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Bolt Check" sheetId="1" r:id="rId1"/>
    <sheet name="AISC Data" sheetId="2" r:id="rId2"/>
    <sheet name="Profile Data" sheetId="3" r:id="rId3"/>
    <sheet name="References" sheetId="4" r:id="rId4"/>
  </sheets>
  <definedNames>
    <definedName name="µ">'Bolt Check'!$D$36</definedName>
    <definedName name="A_bolt">'Bolt Check'!#REF!</definedName>
    <definedName name="Ab_bolt">'Bolt Check'!$B$23</definedName>
    <definedName name="Agv_PL">'Bolt Check'!$B$50</definedName>
    <definedName name="Agv_PL_block">'Bolt Check'!$B$58</definedName>
    <definedName name="Ant_PL_block">'Bolt Check'!$B$59</definedName>
    <definedName name="Anv_PL">'Bolt Check'!$E$50</definedName>
    <definedName name="Anv_PL_block">'Bolt Check'!$E$58</definedName>
    <definedName name="Aw_weld">'Bolt Check'!$C$65</definedName>
    <definedName name="b_PL">'Bolt Check'!$H$11</definedName>
    <definedName name="bolt">'Bolt Check'!#REF!</definedName>
    <definedName name="bolt_d_type">'Bolt Check'!$B$17</definedName>
    <definedName name="bolt_n">'Bolt Check'!#REF!</definedName>
    <definedName name="Bolt_size">'AISC Data'!$B$32:$B$38</definedName>
    <definedName name="Bolt_type">'AISC Data'!$B$12:$B$16</definedName>
    <definedName name="Bolt_type_Table">'AISC Data'!$B$12:$D$16</definedName>
    <definedName name="Bolt_types">'AISC Data'!$B$12:$B$16</definedName>
    <definedName name="Clearance">'Bolt Check'!$I$28</definedName>
    <definedName name="con_type">'Bolt Check'!$B$16</definedName>
    <definedName name="con_type_table">'AISC Data'!$B$19:$B$20</definedName>
    <definedName name="d_bolt">'Bolt Check'!$B$18</definedName>
    <definedName name="Du">'Bolt Check'!$B$37</definedName>
    <definedName name="eq_j2_4">'Bolt Check'!$B$70</definedName>
    <definedName name="eq_j3_1">'Bolt Check'!$C$33</definedName>
    <definedName name="eq_j3_4">'Bolt Check'!$C$38</definedName>
    <definedName name="eq_J3_6a_edge">'Bolt Check'!$B$44</definedName>
    <definedName name="eq_J3_6a_internal">'Bolt Check'!$B$46</definedName>
    <definedName name="eq_j4_3">'Bolt Check'!$C$52</definedName>
    <definedName name="eq_j4_4">'Bolt Check'!$C$54</definedName>
    <definedName name="eq_j4_5">'Bolt Check'!$B$61</definedName>
    <definedName name="ew_weld">'Bolt Check'!$D$64</definedName>
    <definedName name="F_EXX_weld">'Bolt Check'!$D$29</definedName>
    <definedName name="Fnt">'Bolt Check'!#REF!</definedName>
    <definedName name="Fnt_bolt">'Bolt Check'!$B$20</definedName>
    <definedName name="Fnv">'Bolt Check'!#REF!</definedName>
    <definedName name="Fnv_bolt">'Bolt Check'!$B$21</definedName>
    <definedName name="fr_weld">'Bolt Check'!$C$69</definedName>
    <definedName name="ft_weld">'Bolt Check'!$C$68</definedName>
    <definedName name="Fu_beam">'Bolt Check'!$D$13</definedName>
    <definedName name="Fu_col">'Bolt Check'!$B$13</definedName>
    <definedName name="Fu_PL">'Bolt Check'!$H$13</definedName>
    <definedName name="Fu_weld">'Bolt Check'!#REF!</definedName>
    <definedName name="fv_weld">'Bolt Check'!$C$67</definedName>
    <definedName name="Fw_weld">'Bolt Check'!$D$30</definedName>
    <definedName name="Fy_beam">'Bolt Check'!$D$12</definedName>
    <definedName name="Fy_col">'Bolt Check'!$B$12</definedName>
    <definedName name="Fy_PL">'Bolt Check'!$H$12</definedName>
    <definedName name="h_sc">'Bolt Check'!$D$37</definedName>
    <definedName name="hole_factor">'AISC Data'!$B$26:$B$28</definedName>
    <definedName name="hole_factor_table">'AISC Data'!$B$26:$C$28</definedName>
    <definedName name="Iw_weld">'Bolt Check'!$C$66</definedName>
    <definedName name="L_PL">'Bolt Check'!$H$10</definedName>
    <definedName name="L_weld">'Bolt Check'!$D$28</definedName>
    <definedName name="Lc">'Bolt Check'!$E$42</definedName>
    <definedName name="Lc_edge">'Bolt Check'!$B$42</definedName>
    <definedName name="Le_bolt">'Bolt Check'!$E$18</definedName>
    <definedName name="Le_min">'Bolt Check'!$H$18</definedName>
    <definedName name="Mat_beam">'Bolt Check'!$D$11</definedName>
    <definedName name="Mat_col">'Bolt Check'!$B$11</definedName>
    <definedName name="Mat_Hot_rolled">'AISC Data'!$B$3:$B$4</definedName>
    <definedName name="Mat_Hot_rolled_Table">'AISC Data'!$B$3:$F$4</definedName>
    <definedName name="Mat_PL">'Bolt Check'!$H$9</definedName>
    <definedName name="Mat_Plates">'AISC Data'!$B$5:$B$6</definedName>
    <definedName name="Mat_Plates_Table">'AISC Data'!$B$5:$F$6</definedName>
    <definedName name="Mat_weld">'Bolt Check'!$D$26</definedName>
    <definedName name="Mater_Hot_rolled">'AISC Data'!#REF!</definedName>
    <definedName name="Mu">'Bolt Check'!#REF!</definedName>
    <definedName name="Mu_weld">'Bolt Check'!$G$64</definedName>
    <definedName name="N_X">'AISC Data'!#REF!</definedName>
    <definedName name="Nb_bolt">'Bolt Check'!$B$19</definedName>
    <definedName name="Ns_bolt">'Bolt Check'!$E$17</definedName>
    <definedName name="Nu">'Bolt Check'!#REF!</definedName>
    <definedName name="_xlnm.Print_Area" localSheetId="0">'Bolt Check'!$A$1:$I$76</definedName>
    <definedName name="_xlnm.Print_Titles" localSheetId="0">'Bolt Check'!$1:$5</definedName>
    <definedName name="Profile_beam">'Bolt Check'!$D$8</definedName>
    <definedName name="Profile_col">'Bolt Check'!$B$8</definedName>
    <definedName name="Qa">'Bolt Check'!#REF!</definedName>
    <definedName name="Qa_bolt">'Bolt Check'!#REF!</definedName>
    <definedName name="Qu">'Bolt Check'!$B$26</definedName>
    <definedName name="Qu_bolt">'Bolt Check'!$B$27</definedName>
    <definedName name="s_bolt">'Bolt Check'!$E$20</definedName>
    <definedName name="S_max">'Bolt Check'!$H$19</definedName>
    <definedName name="S_min">'Bolt Check'!$H$20</definedName>
    <definedName name="slip_coeff">'AISC Data'!$B$23:$B$24</definedName>
    <definedName name="slip_coeff_table">'AISC Data'!$B$23:$C$24</definedName>
    <definedName name="t_PL">'Bolt Check'!$H$8</definedName>
    <definedName name="Ta">'Bolt Check'!#REF!</definedName>
    <definedName name="Ta_bolt">'Bolt Check'!#REF!</definedName>
    <definedName name="TABLE_J3_4M">'AISC Data'!$B$43:$C$49</definedName>
    <definedName name="TABLEJ3_1M">'AISC Data'!$B$32:$D$38</definedName>
    <definedName name="Tb">'Bolt Check'!#REF!</definedName>
    <definedName name="Tb_bolt">'Bolt Check'!$B$22</definedName>
    <definedName name="tf_beam">'Bolt Check'!$D$10</definedName>
    <definedName name="tf_col">'Bolt Check'!$B$10</definedName>
    <definedName name="Tu">'Bolt Check'!#REF!</definedName>
    <definedName name="Tu_bolt">'Bolt Check'!#REF!</definedName>
    <definedName name="tw_beam">'Bolt Check'!$D$9</definedName>
    <definedName name="tw_col">'Bolt Check'!$B$9</definedName>
    <definedName name="Ubs">'Bolt Check'!$E$57</definedName>
    <definedName name="unit_coeff">'AISC Data'!$F$1</definedName>
    <definedName name="w_min_weld">'Bolt Check'!$H$27</definedName>
    <definedName name="w_weld">'Bolt Check'!$D$27</definedName>
    <definedName name="Weld_Electrodes">'AISC Data'!$B$53:$B$55</definedName>
    <definedName name="Weld_Electrodes_table">'AISC Data'!$B$53:$D$55</definedName>
    <definedName name="φ">'Bolt Check'!#REF!</definedName>
    <definedName name="φ_bolt_bearing">'Bolt Check'!$B$41</definedName>
    <definedName name="φ_bolt_shear">'Bolt Check'!$B$32</definedName>
    <definedName name="φ_bolt_slip">'Bolt Check'!$B$36</definedName>
    <definedName name="φ_PL_block_shear">'Bolt Check'!$B$57</definedName>
    <definedName name="φ_PL_shear">'Bolt Check'!$B$49</definedName>
    <definedName name="φ_PL_weld">'Bolt Check'!$B$64</definedName>
    <definedName name="Ω">'Bolt Check'!#REF!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20" authorId="0">
      <text>
        <r>
          <rPr>
            <b/>
            <sz val="9"/>
            <rFont val="Tahoma"/>
            <family val="2"/>
          </rPr>
          <t>Nominal Tensile
Stress, Fnt</t>
        </r>
        <r>
          <rPr>
            <sz val="9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rFont val="Tahoma"/>
            <family val="2"/>
          </rPr>
          <t>Nominal Shear Stress in Bearing-Type
Connections, Fnv,</t>
        </r>
        <r>
          <rPr>
            <sz val="9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rFont val="Tahoma"/>
            <family val="2"/>
          </rPr>
          <t>No. of Bolts N</t>
        </r>
        <r>
          <rPr>
            <b/>
            <vertAlign val="subscript"/>
            <sz val="9"/>
            <rFont val="Tahoma"/>
            <family val="2"/>
          </rPr>
          <t>b</t>
        </r>
        <r>
          <rPr>
            <sz val="9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rFont val="Tahoma"/>
            <family val="2"/>
          </rPr>
          <t>Bolt area A</t>
        </r>
        <r>
          <rPr>
            <b/>
            <vertAlign val="subscript"/>
            <sz val="9"/>
            <rFont val="Tahoma"/>
            <family val="2"/>
          </rPr>
          <t>b</t>
        </r>
        <r>
          <rPr>
            <sz val="9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rFont val="Tahoma"/>
            <family val="2"/>
          </rPr>
          <t>T</t>
        </r>
        <r>
          <rPr>
            <b/>
            <vertAlign val="subscript"/>
            <sz val="9"/>
            <rFont val="Tahoma"/>
            <family val="2"/>
          </rPr>
          <t>b</t>
        </r>
        <r>
          <rPr>
            <b/>
            <sz val="9"/>
            <rFont val="Tahoma"/>
            <family val="2"/>
          </rPr>
          <t xml:space="preserve"> : Minimum Bolt Pretension, kN 
TABLE J3.1M</t>
        </r>
        <r>
          <rPr>
            <sz val="9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9"/>
            <rFont val="Tahoma"/>
            <family val="2"/>
          </rPr>
          <t xml:space="preserve">Ns = number of slip or shear planes </t>
        </r>
        <r>
          <rPr>
            <sz val="9"/>
            <rFont val="Tahoma"/>
            <family val="2"/>
          </rPr>
          <t xml:space="preserve">
</t>
        </r>
      </text>
    </comment>
    <comment ref="C36" authorId="0">
      <text>
        <r>
          <rPr>
            <b/>
            <sz val="9"/>
            <rFont val="Tahoma"/>
            <family val="2"/>
          </rPr>
          <t>mean slip coefficient</t>
        </r>
        <r>
          <rPr>
            <sz val="9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9"/>
            <rFont val="Tahoma"/>
            <family val="2"/>
          </rPr>
          <t>a multiplier that reflects the ratio of the mean installed bolt pretension
to the specified minimum bolt pretension. The use of other values
may be approved by the engineer of record</t>
        </r>
        <r>
          <rPr>
            <sz val="9"/>
            <rFont val="Tahoma"/>
            <family val="2"/>
          </rPr>
          <t xml:space="preserve">
</t>
        </r>
      </text>
    </comment>
    <comment ref="C37" authorId="0">
      <text>
        <r>
          <rPr>
            <b/>
            <sz val="9"/>
            <rFont val="Tahoma"/>
            <family val="2"/>
          </rPr>
          <t>hole factor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>Le : Bolt edge distance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S : Bolt Spacing</t>
        </r>
      </text>
    </comment>
    <comment ref="A42" authorId="0">
      <text>
        <r>
          <rPr>
            <b/>
            <sz val="9"/>
            <rFont val="Tahoma"/>
            <family val="2"/>
          </rPr>
          <t>clear distance, in the direction of the force, between the edge of the hole
and the edge of the adjacent hole or edge of the material, in. (mm)</t>
        </r>
        <r>
          <rPr>
            <sz val="9"/>
            <rFont val="Tahoma"/>
            <family val="2"/>
          </rPr>
          <t xml:space="preserve">
</t>
        </r>
      </text>
    </comment>
    <comment ref="D42" authorId="0">
      <text>
        <r>
          <rPr>
            <b/>
            <sz val="9"/>
            <rFont val="Tahoma"/>
            <family val="2"/>
          </rPr>
          <t>clear distance, in the direction of the force, between the edge of the hole
and the edge of the adjacent hole or edge of the material, in. (mm)</t>
        </r>
      </text>
    </comment>
    <comment ref="D50" authorId="0">
      <text>
        <r>
          <rPr>
            <b/>
            <sz val="9"/>
            <rFont val="Tahoma"/>
            <family val="2"/>
          </rPr>
          <t>Agv = net area of plate  subject to shear</t>
        </r>
        <r>
          <rPr>
            <sz val="9"/>
            <rFont val="Tahoma"/>
            <family val="2"/>
          </rPr>
          <t xml:space="preserve">
</t>
        </r>
      </text>
    </comment>
    <comment ref="A50" authorId="0">
      <text>
        <r>
          <rPr>
            <b/>
            <sz val="9"/>
            <rFont val="Tahoma"/>
            <family val="2"/>
          </rPr>
          <t>Agv = gross area of plate  subject to shear</t>
        </r>
        <r>
          <rPr>
            <sz val="9"/>
            <rFont val="Tahoma"/>
            <family val="2"/>
          </rPr>
          <t xml:space="preserve">
</t>
        </r>
      </text>
    </comment>
    <comment ref="A58" authorId="0">
      <text>
        <r>
          <rPr>
            <b/>
            <sz val="9"/>
            <rFont val="Tahoma"/>
            <family val="2"/>
          </rPr>
          <t>Agv = gross area of plate block shear surface subject to shear</t>
        </r>
        <r>
          <rPr>
            <sz val="9"/>
            <rFont val="Tahoma"/>
            <family val="2"/>
          </rPr>
          <t xml:space="preserve">
</t>
        </r>
      </text>
    </comment>
    <comment ref="D58" authorId="0">
      <text>
        <r>
          <rPr>
            <b/>
            <sz val="9"/>
            <rFont val="Tahoma"/>
            <family val="2"/>
          </rPr>
          <t>Agv = net area of plate block shear surface subject to shear</t>
        </r>
        <r>
          <rPr>
            <sz val="9"/>
            <rFont val="Tahoma"/>
            <family val="2"/>
          </rPr>
          <t xml:space="preserve">
</t>
        </r>
      </text>
    </comment>
    <comment ref="A59" authorId="0">
      <text>
        <r>
          <rPr>
            <b/>
            <sz val="9"/>
            <rFont val="Tahoma"/>
            <family val="2"/>
          </rPr>
          <t>Agv = net area of plate block shear surface subject to tension</t>
        </r>
        <r>
          <rPr>
            <sz val="9"/>
            <rFont val="Tahoma"/>
            <family val="2"/>
          </rPr>
          <t xml:space="preserve">
</t>
        </r>
      </text>
    </comment>
    <comment ref="D57" authorId="0">
      <text>
        <r>
          <rPr>
            <b/>
            <sz val="9"/>
            <rFont val="Tahoma"/>
            <family val="2"/>
          </rPr>
          <t>Where the tension stress is uniform, Ubs = 1; where the tension stress is nonuniform, Ubs = 0.5.</t>
        </r>
        <r>
          <rPr>
            <sz val="9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rFont val="Tahoma"/>
            <family val="2"/>
          </rPr>
          <t>Factor Shear</t>
        </r>
        <r>
          <rPr>
            <sz val="9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9"/>
            <rFont val="Tahoma"/>
            <family val="2"/>
          </rPr>
          <t>w weld size</t>
        </r>
        <r>
          <rPr>
            <sz val="9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9"/>
            <rFont val="Tahoma"/>
            <family val="2"/>
          </rPr>
          <t>L is weld length = Lplate</t>
        </r>
        <r>
          <rPr>
            <sz val="9"/>
            <rFont val="Tahoma"/>
            <family val="2"/>
          </rPr>
          <t xml:space="preserve">
</t>
        </r>
      </text>
    </comment>
    <comment ref="C64" authorId="0">
      <text>
        <r>
          <rPr>
            <b/>
            <sz val="9"/>
            <rFont val="Tahoma"/>
            <family val="2"/>
          </rPr>
          <t>ew is load eccentricity for weld</t>
        </r>
        <r>
          <rPr>
            <sz val="9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9"/>
            <rFont val="Tahoma"/>
            <family val="2"/>
          </rPr>
          <t>Fw = 0.6 F</t>
        </r>
        <r>
          <rPr>
            <b/>
            <vertAlign val="subscript"/>
            <sz val="9"/>
            <rFont val="Tahoma"/>
            <family val="2"/>
          </rPr>
          <t>EXX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<sst xmlns="http://schemas.openxmlformats.org/spreadsheetml/2006/main" count="219" uniqueCount="162">
  <si>
    <t>mm</t>
  </si>
  <si>
    <t>Bolt Type</t>
  </si>
  <si>
    <r>
      <t>F</t>
    </r>
    <r>
      <rPr>
        <vertAlign val="subscript"/>
        <sz val="11"/>
        <color indexed="8"/>
        <rFont val="Calibri"/>
        <family val="2"/>
      </rPr>
      <t>nv</t>
    </r>
  </si>
  <si>
    <t>TABLE J3.1M</t>
  </si>
  <si>
    <t>Minimum Bolt Pretension, kN∗</t>
  </si>
  <si>
    <t xml:space="preserve">Bolt Size, mm </t>
  </si>
  <si>
    <t>A325M Bolts</t>
  </si>
  <si>
    <t>A490M Bolts</t>
  </si>
  <si>
    <t>A307</t>
  </si>
  <si>
    <t>TABLE J3.2</t>
  </si>
  <si>
    <t>Nominal Stress of Fasteners and Threaded Parts,(MPa)</t>
  </si>
  <si>
    <t>mm2</t>
  </si>
  <si>
    <t>ASTM</t>
  </si>
  <si>
    <t>A36</t>
  </si>
  <si>
    <t>Fy ksi</t>
  </si>
  <si>
    <t>Fu ksi</t>
  </si>
  <si>
    <t>Fy MPa</t>
  </si>
  <si>
    <t>Fu Mpa</t>
  </si>
  <si>
    <t>Hot-rolled structural shapes</t>
  </si>
  <si>
    <t>A992</t>
  </si>
  <si>
    <t>Structural Steel Materials (Table 2-3 SCM page 2-39 to 2-41 &amp; AISC360-05 section A3.1</t>
  </si>
  <si>
    <t>Purpose</t>
  </si>
  <si>
    <t>Input Data:</t>
  </si>
  <si>
    <t>Material</t>
  </si>
  <si>
    <t>Material =</t>
  </si>
  <si>
    <t>N/mm2</t>
  </si>
  <si>
    <t>Profile =</t>
  </si>
  <si>
    <t>b- Beam Data:</t>
  </si>
  <si>
    <t>Fy =</t>
  </si>
  <si>
    <t>Fu =</t>
  </si>
  <si>
    <t>c- Plate Data:</t>
  </si>
  <si>
    <t>Length L =</t>
  </si>
  <si>
    <t xml:space="preserve"> Width b =</t>
  </si>
  <si>
    <t>Plates</t>
  </si>
  <si>
    <t>A325-X</t>
  </si>
  <si>
    <t>A325-N</t>
  </si>
  <si>
    <t>A490-X</t>
  </si>
  <si>
    <t>A490-N</t>
  </si>
  <si>
    <r>
      <t>F</t>
    </r>
    <r>
      <rPr>
        <vertAlign val="subscript"/>
        <sz val="11"/>
        <color indexed="8"/>
        <rFont val="Calibri"/>
        <family val="2"/>
      </rPr>
      <t xml:space="preserve">nt </t>
    </r>
  </si>
  <si>
    <t>Bolt Type =</t>
  </si>
  <si>
    <t>Bolt Dia  d=</t>
  </si>
  <si>
    <t>φ =</t>
  </si>
  <si>
    <t>KN.m</t>
  </si>
  <si>
    <t>KN, Eq J3-1</t>
  </si>
  <si>
    <t>Connection Type</t>
  </si>
  <si>
    <t>Slip-Critical Connection</t>
  </si>
  <si>
    <t>Bearing-Type Connection</t>
  </si>
  <si>
    <t>KN, TABLE J3.1M</t>
  </si>
  <si>
    <t>Class A surfaces</t>
  </si>
  <si>
    <t>Class B surfaces</t>
  </si>
  <si>
    <r>
      <t xml:space="preserve"> </t>
    </r>
    <r>
      <rPr>
        <sz val="11"/>
        <color indexed="8"/>
        <rFont val="Calibri"/>
        <family val="2"/>
      </rPr>
      <t xml:space="preserve">µ </t>
    </r>
    <r>
      <rPr>
        <sz val="11"/>
        <color theme="1"/>
        <rFont val="Calibri"/>
        <family val="2"/>
      </rPr>
      <t>= mean slip coefficient J3-8</t>
    </r>
  </si>
  <si>
    <t xml:space="preserve"> µ =</t>
  </si>
  <si>
    <t>hsc = hole factor J3-8</t>
  </si>
  <si>
    <t>standard size holes</t>
  </si>
  <si>
    <t>oversized and short-slotted holes</t>
  </si>
  <si>
    <t>long-slotted holes</t>
  </si>
  <si>
    <t>KN, Eq J3-4</t>
  </si>
  <si>
    <t>S =</t>
  </si>
  <si>
    <t>KN, Eq J3-6a</t>
  </si>
  <si>
    <t>KN, Eq J4-3</t>
  </si>
  <si>
    <t>KN, Eq J4-4</t>
  </si>
  <si>
    <t>TABLE J3.4M</t>
  </si>
  <si>
    <t>Minimum Edge Distance</t>
  </si>
  <si>
    <t>Bolt d mm</t>
  </si>
  <si>
    <t>At Sheared edges</t>
  </si>
  <si>
    <t>1- Check of Bolt Shear Strength, according J3.6:</t>
  </si>
  <si>
    <t>2- Check of Slip-Critical Strength, according J3.8:</t>
  </si>
  <si>
    <t>3- Check of shear plate bearing Strength at bolts hole, according J3.10:</t>
  </si>
  <si>
    <t>4- Check of shear plate shear Strength, according J4.2:</t>
  </si>
  <si>
    <t>5- Check of shear Plate Block Shear Strength, according J4.3:</t>
  </si>
  <si>
    <t>KN, Eq J4-5</t>
  </si>
  <si>
    <t>6- Check of shear Plate Weld Strength, according J2.4:</t>
  </si>
  <si>
    <t>Con. Type</t>
  </si>
  <si>
    <t>Weld Electrodes</t>
  </si>
  <si>
    <t>E60XX</t>
  </si>
  <si>
    <t>E70XX</t>
  </si>
  <si>
    <t>E80XX</t>
  </si>
  <si>
    <t>Fu N/mm2</t>
  </si>
  <si>
    <t>w =</t>
  </si>
  <si>
    <t>mm4</t>
  </si>
  <si>
    <t xml:space="preserve">                 /φ   </t>
  </si>
  <si>
    <r>
      <rPr>
        <b/>
        <sz val="11"/>
        <color indexed="8"/>
        <rFont val="Calibri"/>
        <family val="2"/>
      </rPr>
      <t xml:space="preserve">   </t>
    </r>
    <r>
      <rPr>
        <b/>
        <u val="single"/>
        <sz val="11"/>
        <color indexed="8"/>
        <rFont val="Calibri"/>
        <family val="2"/>
      </rPr>
      <t>a- Column Data:</t>
    </r>
  </si>
  <si>
    <r>
      <t xml:space="preserve"> </t>
    </r>
    <r>
      <rPr>
        <sz val="10"/>
        <color indexed="8"/>
        <rFont val="Calibri"/>
        <family val="2"/>
      </rPr>
      <t>Thickness</t>
    </r>
    <r>
      <rPr>
        <sz val="11"/>
        <color indexed="8"/>
        <rFont val="Calibri"/>
        <family val="2"/>
      </rPr>
      <t xml:space="preserve"> t =</t>
    </r>
  </si>
  <si>
    <r>
      <t>t</t>
    </r>
    <r>
      <rPr>
        <vertAlign val="subscript"/>
        <sz val="11"/>
        <color indexed="8"/>
        <rFont val="Calibri"/>
        <family val="2"/>
      </rPr>
      <t>w</t>
    </r>
    <r>
      <rPr>
        <sz val="11"/>
        <color indexed="8"/>
        <rFont val="Calibri"/>
        <family val="2"/>
      </rPr>
      <t>=</t>
    </r>
  </si>
  <si>
    <r>
      <t>t</t>
    </r>
    <r>
      <rPr>
        <vertAlign val="subscript"/>
        <sz val="11"/>
        <color indexed="8"/>
        <rFont val="Calibri"/>
        <family val="2"/>
      </rPr>
      <t>f</t>
    </r>
    <r>
      <rPr>
        <sz val="11"/>
        <color indexed="8"/>
        <rFont val="Calibri"/>
        <family val="2"/>
      </rPr>
      <t>=</t>
    </r>
  </si>
  <si>
    <r>
      <rPr>
        <b/>
        <sz val="11"/>
        <color indexed="8"/>
        <rFont val="Calibri"/>
        <family val="2"/>
      </rPr>
      <t xml:space="preserve">   </t>
    </r>
    <r>
      <rPr>
        <b/>
        <u val="single"/>
        <sz val="11"/>
        <color indexed="8"/>
        <rFont val="Calibri"/>
        <family val="2"/>
      </rPr>
      <t>d- Bolt Data:</t>
    </r>
  </si>
  <si>
    <r>
      <t>N</t>
    </r>
    <r>
      <rPr>
        <vertAlign val="subscript"/>
        <sz val="11"/>
        <color indexed="8"/>
        <rFont val="Calibri"/>
        <family val="2"/>
      </rPr>
      <t>s</t>
    </r>
    <r>
      <rPr>
        <sz val="11"/>
        <color indexed="8"/>
        <rFont val="Calibri"/>
        <family val="2"/>
      </rPr>
      <t xml:space="preserve"> =</t>
    </r>
  </si>
  <si>
    <r>
      <t>L</t>
    </r>
    <r>
      <rPr>
        <vertAlign val="sub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=</t>
    </r>
  </si>
  <si>
    <r>
      <t xml:space="preserve"> N</t>
    </r>
    <r>
      <rPr>
        <vertAlign val="subscript"/>
        <sz val="11"/>
        <color indexed="8"/>
        <rFont val="Calibri"/>
        <family val="2"/>
      </rPr>
      <t>b</t>
    </r>
    <r>
      <rPr>
        <sz val="11"/>
        <color indexed="8"/>
        <rFont val="Calibri"/>
        <family val="2"/>
      </rPr>
      <t xml:space="preserve"> =</t>
    </r>
  </si>
  <si>
    <r>
      <t>F</t>
    </r>
    <r>
      <rPr>
        <vertAlign val="subscript"/>
        <sz val="11"/>
        <color indexed="8"/>
        <rFont val="Calibri"/>
        <family val="2"/>
      </rPr>
      <t>nt</t>
    </r>
    <r>
      <rPr>
        <sz val="11"/>
        <color indexed="8"/>
        <rFont val="Calibri"/>
        <family val="2"/>
      </rPr>
      <t xml:space="preserve">  =</t>
    </r>
  </si>
  <si>
    <r>
      <t>F</t>
    </r>
    <r>
      <rPr>
        <vertAlign val="subscript"/>
        <sz val="11"/>
        <color indexed="8"/>
        <rFont val="Calibri"/>
        <family val="2"/>
      </rPr>
      <t>nv</t>
    </r>
    <r>
      <rPr>
        <sz val="11"/>
        <color indexed="8"/>
        <rFont val="Calibri"/>
        <family val="2"/>
      </rPr>
      <t xml:space="preserve">  =</t>
    </r>
  </si>
  <si>
    <r>
      <t>T</t>
    </r>
    <r>
      <rPr>
        <vertAlign val="subscript"/>
        <sz val="11"/>
        <color indexed="8"/>
        <rFont val="Calibri"/>
        <family val="2"/>
      </rPr>
      <t>b</t>
    </r>
    <r>
      <rPr>
        <sz val="11"/>
        <color indexed="8"/>
        <rFont val="Calibri"/>
        <family val="2"/>
      </rPr>
      <t xml:space="preserve"> =</t>
    </r>
  </si>
  <si>
    <r>
      <t>A</t>
    </r>
    <r>
      <rPr>
        <vertAlign val="subscript"/>
        <sz val="11"/>
        <color indexed="8"/>
        <rFont val="Calibri"/>
        <family val="2"/>
      </rPr>
      <t>b</t>
    </r>
    <r>
      <rPr>
        <sz val="11"/>
        <color indexed="8"/>
        <rFont val="Calibri"/>
        <family val="2"/>
      </rPr>
      <t xml:space="preserve"> =</t>
    </r>
  </si>
  <si>
    <r>
      <t>mm</t>
    </r>
    <r>
      <rPr>
        <vertAlign val="superscript"/>
        <sz val="11"/>
        <color indexed="8"/>
        <rFont val="Calibri"/>
        <family val="2"/>
      </rPr>
      <t>2</t>
    </r>
  </si>
  <si>
    <r>
      <t>Q</t>
    </r>
    <r>
      <rPr>
        <vertAlign val="subscript"/>
        <sz val="11"/>
        <color indexed="8"/>
        <rFont val="Calibri"/>
        <family val="2"/>
      </rPr>
      <t>u</t>
    </r>
    <r>
      <rPr>
        <sz val="11"/>
        <color indexed="8"/>
        <rFont val="Calibri"/>
        <family val="2"/>
      </rPr>
      <t xml:space="preserve"> =</t>
    </r>
  </si>
  <si>
    <r>
      <t>Q</t>
    </r>
    <r>
      <rPr>
        <vertAlign val="subscript"/>
        <sz val="11"/>
        <color indexed="8"/>
        <rFont val="Calibri"/>
        <family val="2"/>
      </rPr>
      <t>u/bolt</t>
    </r>
    <r>
      <rPr>
        <sz val="11"/>
        <color indexed="8"/>
        <rFont val="Calibri"/>
        <family val="2"/>
      </rPr>
      <t xml:space="preserve"> =</t>
    </r>
  </si>
  <si>
    <r>
      <t>L</t>
    </r>
    <r>
      <rPr>
        <vertAlign val="subscript"/>
        <sz val="11"/>
        <color indexed="8"/>
        <rFont val="Calibri"/>
        <family val="2"/>
      </rPr>
      <t>w</t>
    </r>
    <r>
      <rPr>
        <sz val="11"/>
        <color indexed="8"/>
        <rFont val="Calibri"/>
        <family val="2"/>
      </rPr>
      <t xml:space="preserve"> =</t>
    </r>
  </si>
  <si>
    <r>
      <t>φR</t>
    </r>
    <r>
      <rPr>
        <b/>
        <vertAlign val="subscript"/>
        <sz val="11"/>
        <color indexed="8"/>
        <rFont val="Calibri"/>
        <family val="2"/>
      </rPr>
      <t>n / bolt</t>
    </r>
    <r>
      <rPr>
        <b/>
        <sz val="11"/>
        <color indexed="8"/>
        <rFont val="Calibri"/>
        <family val="2"/>
      </rPr>
      <t xml:space="preserve"> = </t>
    </r>
  </si>
  <si>
    <r>
      <t>φ F</t>
    </r>
    <r>
      <rPr>
        <b/>
        <vertAlign val="subscript"/>
        <sz val="11"/>
        <color indexed="8"/>
        <rFont val="Calibri"/>
        <family val="2"/>
      </rPr>
      <t>nv</t>
    </r>
    <r>
      <rPr>
        <b/>
        <sz val="11"/>
        <color indexed="8"/>
        <rFont val="Calibri"/>
        <family val="2"/>
      </rPr>
      <t xml:space="preserve"> A</t>
    </r>
    <r>
      <rPr>
        <b/>
        <vertAlign val="subscript"/>
        <sz val="11"/>
        <color indexed="8"/>
        <rFont val="Calibri"/>
        <family val="2"/>
      </rPr>
      <t>b</t>
    </r>
  </si>
  <si>
    <r>
      <t>D</t>
    </r>
    <r>
      <rPr>
        <vertAlign val="subscript"/>
        <sz val="11"/>
        <color indexed="8"/>
        <rFont val="Calibri"/>
        <family val="2"/>
      </rPr>
      <t>u</t>
    </r>
    <r>
      <rPr>
        <sz val="11"/>
        <color indexed="8"/>
        <rFont val="Calibri"/>
        <family val="2"/>
      </rPr>
      <t xml:space="preserve"> =</t>
    </r>
  </si>
  <si>
    <r>
      <t>h</t>
    </r>
    <r>
      <rPr>
        <vertAlign val="subscript"/>
        <sz val="11"/>
        <color indexed="8"/>
        <rFont val="Calibri"/>
        <family val="2"/>
      </rPr>
      <t>sc</t>
    </r>
    <r>
      <rPr>
        <sz val="11"/>
        <color indexed="8"/>
        <rFont val="Calibri"/>
        <family val="2"/>
      </rPr>
      <t xml:space="preserve"> =</t>
    </r>
  </si>
  <si>
    <r>
      <t>φµD</t>
    </r>
    <r>
      <rPr>
        <b/>
        <vertAlign val="subscript"/>
        <sz val="11"/>
        <color indexed="8"/>
        <rFont val="Calibri"/>
        <family val="2"/>
      </rPr>
      <t>u</t>
    </r>
    <r>
      <rPr>
        <b/>
        <sz val="11"/>
        <color indexed="8"/>
        <rFont val="Calibri"/>
        <family val="2"/>
      </rPr>
      <t>h</t>
    </r>
    <r>
      <rPr>
        <b/>
        <vertAlign val="subscript"/>
        <sz val="11"/>
        <color indexed="8"/>
        <rFont val="Calibri"/>
        <family val="2"/>
      </rPr>
      <t>sc</t>
    </r>
    <r>
      <rPr>
        <b/>
        <sz val="11"/>
        <color indexed="8"/>
        <rFont val="Calibri"/>
        <family val="2"/>
      </rPr>
      <t>T</t>
    </r>
    <r>
      <rPr>
        <b/>
        <vertAlign val="subscript"/>
        <sz val="11"/>
        <color indexed="8"/>
        <rFont val="Calibri"/>
        <family val="2"/>
      </rPr>
      <t>b</t>
    </r>
    <r>
      <rPr>
        <b/>
        <sz val="11"/>
        <color indexed="8"/>
        <rFont val="Calibri"/>
        <family val="2"/>
      </rPr>
      <t>N</t>
    </r>
    <r>
      <rPr>
        <b/>
        <vertAlign val="subscript"/>
        <sz val="11"/>
        <color indexed="8"/>
        <rFont val="Calibri"/>
        <family val="2"/>
      </rPr>
      <t>s</t>
    </r>
  </si>
  <si>
    <r>
      <t>L</t>
    </r>
    <r>
      <rPr>
        <vertAlign val="subscript"/>
        <sz val="11"/>
        <color indexed="8"/>
        <rFont val="Calibri"/>
        <family val="2"/>
      </rPr>
      <t>c edge</t>
    </r>
    <r>
      <rPr>
        <sz val="11"/>
        <color indexed="8"/>
        <rFont val="Calibri"/>
        <family val="2"/>
      </rPr>
      <t xml:space="preserve"> =</t>
    </r>
  </si>
  <si>
    <r>
      <t>L</t>
    </r>
    <r>
      <rPr>
        <vertAlign val="subscript"/>
        <sz val="11"/>
        <color indexed="8"/>
        <rFont val="Calibri"/>
        <family val="2"/>
      </rPr>
      <t xml:space="preserve">c  </t>
    </r>
    <r>
      <rPr>
        <sz val="11"/>
        <color indexed="8"/>
        <rFont val="Calibri"/>
        <family val="2"/>
      </rPr>
      <t>=</t>
    </r>
  </si>
  <si>
    <r>
      <t>φR</t>
    </r>
    <r>
      <rPr>
        <b/>
        <vertAlign val="subscript"/>
        <sz val="11"/>
        <color indexed="8"/>
        <rFont val="Calibri"/>
        <family val="2"/>
      </rPr>
      <t>n /edge  bolt</t>
    </r>
    <r>
      <rPr>
        <b/>
        <sz val="11"/>
        <color indexed="8"/>
        <rFont val="Calibri"/>
        <family val="2"/>
      </rPr>
      <t xml:space="preserve"> = </t>
    </r>
  </si>
  <si>
    <r>
      <t>φ*min.[ 1.2 L</t>
    </r>
    <r>
      <rPr>
        <b/>
        <vertAlign val="subscript"/>
        <sz val="11"/>
        <color indexed="8"/>
        <rFont val="Calibri"/>
        <family val="2"/>
      </rPr>
      <t xml:space="preserve">c </t>
    </r>
    <r>
      <rPr>
        <b/>
        <sz val="11"/>
        <color indexed="8"/>
        <rFont val="Calibri"/>
        <family val="2"/>
      </rPr>
      <t xml:space="preserve">t Fu </t>
    </r>
    <r>
      <rPr>
        <b/>
        <sz val="12"/>
        <color indexed="8"/>
        <rFont val="Calibri"/>
        <family val="2"/>
      </rPr>
      <t>&amp;</t>
    </r>
    <r>
      <rPr>
        <b/>
        <sz val="11"/>
        <color indexed="8"/>
        <rFont val="Calibri"/>
        <family val="2"/>
      </rPr>
      <t xml:space="preserve"> 2.4 d t F</t>
    </r>
    <r>
      <rPr>
        <b/>
        <vertAlign val="subscript"/>
        <sz val="11"/>
        <color indexed="8"/>
        <rFont val="Calibri"/>
        <family val="2"/>
      </rPr>
      <t>u</t>
    </r>
    <r>
      <rPr>
        <b/>
        <sz val="11"/>
        <color indexed="8"/>
        <rFont val="Calibri"/>
        <family val="2"/>
      </rPr>
      <t>]</t>
    </r>
  </si>
  <si>
    <r>
      <t>φR</t>
    </r>
    <r>
      <rPr>
        <b/>
        <vertAlign val="subscript"/>
        <sz val="11"/>
        <color indexed="8"/>
        <rFont val="Calibri"/>
        <family val="2"/>
      </rPr>
      <t>n /Internal bolt</t>
    </r>
    <r>
      <rPr>
        <b/>
        <sz val="11"/>
        <color indexed="8"/>
        <rFont val="Calibri"/>
        <family val="2"/>
      </rPr>
      <t xml:space="preserve"> = </t>
    </r>
  </si>
  <si>
    <r>
      <t>A</t>
    </r>
    <r>
      <rPr>
        <vertAlign val="subscript"/>
        <sz val="11"/>
        <color indexed="8"/>
        <rFont val="Calibri"/>
        <family val="2"/>
      </rPr>
      <t>gv</t>
    </r>
    <r>
      <rPr>
        <sz val="11"/>
        <color indexed="8"/>
        <rFont val="Calibri"/>
        <family val="2"/>
      </rPr>
      <t xml:space="preserve"> =</t>
    </r>
  </si>
  <si>
    <r>
      <t>A</t>
    </r>
    <r>
      <rPr>
        <vertAlign val="subscript"/>
        <sz val="11"/>
        <color indexed="8"/>
        <rFont val="Calibri"/>
        <family val="2"/>
      </rPr>
      <t>nv</t>
    </r>
    <r>
      <rPr>
        <sz val="11"/>
        <color indexed="8"/>
        <rFont val="Calibri"/>
        <family val="2"/>
      </rPr>
      <t xml:space="preserve"> =</t>
    </r>
  </si>
  <si>
    <r>
      <rPr>
        <sz val="11"/>
        <color indexed="8"/>
        <rFont val="Calibri"/>
        <family val="2"/>
      </rPr>
      <t xml:space="preserve">                 </t>
    </r>
    <r>
      <rPr>
        <b/>
        <i/>
        <u val="single"/>
        <sz val="11"/>
        <color indexed="8"/>
        <rFont val="Calibri"/>
        <family val="2"/>
      </rPr>
      <t>a- Check of shear plate shear yielding strength:</t>
    </r>
  </si>
  <si>
    <r>
      <t>φR</t>
    </r>
    <r>
      <rPr>
        <b/>
        <vertAlign val="subscript"/>
        <sz val="11"/>
        <color indexed="8"/>
        <rFont val="Calibri"/>
        <family val="2"/>
      </rPr>
      <t>n / plate</t>
    </r>
    <r>
      <rPr>
        <b/>
        <sz val="11"/>
        <color indexed="8"/>
        <rFont val="Calibri"/>
        <family val="2"/>
      </rPr>
      <t xml:space="preserve"> = </t>
    </r>
  </si>
  <si>
    <r>
      <t>φ 0.6F</t>
    </r>
    <r>
      <rPr>
        <b/>
        <vertAlign val="subscript"/>
        <sz val="11"/>
        <color indexed="8"/>
        <rFont val="Calibri"/>
        <family val="2"/>
      </rPr>
      <t>y</t>
    </r>
    <r>
      <rPr>
        <b/>
        <sz val="11"/>
        <color indexed="8"/>
        <rFont val="Calibri"/>
        <family val="2"/>
      </rPr>
      <t xml:space="preserve"> A</t>
    </r>
    <r>
      <rPr>
        <b/>
        <vertAlign val="subscript"/>
        <sz val="11"/>
        <color indexed="8"/>
        <rFont val="Calibri"/>
        <family val="2"/>
      </rPr>
      <t>gv</t>
    </r>
  </si>
  <si>
    <r>
      <rPr>
        <sz val="11"/>
        <color indexed="8"/>
        <rFont val="Calibri"/>
        <family val="2"/>
      </rPr>
      <t xml:space="preserve">                 </t>
    </r>
    <r>
      <rPr>
        <b/>
        <i/>
        <u val="single"/>
        <sz val="11"/>
        <color indexed="8"/>
        <rFont val="Calibri"/>
        <family val="2"/>
      </rPr>
      <t>b- Check of shear plate shear rupture strength:</t>
    </r>
  </si>
  <si>
    <r>
      <t>φ 0.6F</t>
    </r>
    <r>
      <rPr>
        <b/>
        <vertAlign val="subscript"/>
        <sz val="11"/>
        <color indexed="8"/>
        <rFont val="Calibri"/>
        <family val="2"/>
      </rPr>
      <t>u</t>
    </r>
    <r>
      <rPr>
        <b/>
        <sz val="11"/>
        <color indexed="8"/>
        <rFont val="Calibri"/>
        <family val="2"/>
      </rPr>
      <t xml:space="preserve"> A</t>
    </r>
    <r>
      <rPr>
        <b/>
        <vertAlign val="subscript"/>
        <sz val="11"/>
        <color indexed="8"/>
        <rFont val="Calibri"/>
        <family val="2"/>
      </rPr>
      <t>nv</t>
    </r>
  </si>
  <si>
    <r>
      <t>U</t>
    </r>
    <r>
      <rPr>
        <vertAlign val="subscript"/>
        <sz val="11"/>
        <color indexed="8"/>
        <rFont val="Calibri"/>
        <family val="2"/>
      </rPr>
      <t>bs</t>
    </r>
    <r>
      <rPr>
        <sz val="11"/>
        <color indexed="8"/>
        <rFont val="Calibri"/>
        <family val="2"/>
      </rPr>
      <t xml:space="preserve"> =</t>
    </r>
  </si>
  <si>
    <r>
      <t>A</t>
    </r>
    <r>
      <rPr>
        <vertAlign val="subscript"/>
        <sz val="11"/>
        <color indexed="8"/>
        <rFont val="Calibri"/>
        <family val="2"/>
      </rPr>
      <t>nt</t>
    </r>
    <r>
      <rPr>
        <sz val="11"/>
        <color indexed="8"/>
        <rFont val="Calibri"/>
        <family val="2"/>
      </rPr>
      <t xml:space="preserve"> =</t>
    </r>
  </si>
  <si>
    <r>
      <t>φ*min.[ 0.6F</t>
    </r>
    <r>
      <rPr>
        <b/>
        <vertAlign val="subscript"/>
        <sz val="11"/>
        <color indexed="8"/>
        <rFont val="Calibri"/>
        <family val="2"/>
      </rPr>
      <t>u</t>
    </r>
    <r>
      <rPr>
        <b/>
        <sz val="11"/>
        <color indexed="8"/>
        <rFont val="Calibri"/>
        <family val="2"/>
      </rPr>
      <t xml:space="preserve"> A</t>
    </r>
    <r>
      <rPr>
        <b/>
        <vertAlign val="subscript"/>
        <sz val="11"/>
        <color indexed="8"/>
        <rFont val="Calibri"/>
        <family val="2"/>
      </rPr>
      <t>nv</t>
    </r>
    <r>
      <rPr>
        <b/>
        <sz val="11"/>
        <color indexed="8"/>
        <rFont val="Calibri"/>
        <family val="2"/>
      </rPr>
      <t xml:space="preserve"> + U</t>
    </r>
    <r>
      <rPr>
        <b/>
        <vertAlign val="subscript"/>
        <sz val="11"/>
        <color indexed="8"/>
        <rFont val="Calibri"/>
        <family val="2"/>
      </rPr>
      <t>bs</t>
    </r>
    <r>
      <rPr>
        <b/>
        <sz val="11"/>
        <color indexed="8"/>
        <rFont val="Calibri"/>
        <family val="2"/>
      </rPr>
      <t xml:space="preserve"> F</t>
    </r>
    <r>
      <rPr>
        <b/>
        <vertAlign val="subscript"/>
        <sz val="11"/>
        <color indexed="8"/>
        <rFont val="Calibri"/>
        <family val="2"/>
      </rPr>
      <t>u</t>
    </r>
    <r>
      <rPr>
        <b/>
        <sz val="11"/>
        <color indexed="8"/>
        <rFont val="Calibri"/>
        <family val="2"/>
      </rPr>
      <t xml:space="preserve"> A</t>
    </r>
    <r>
      <rPr>
        <b/>
        <vertAlign val="subscript"/>
        <sz val="11"/>
        <color indexed="8"/>
        <rFont val="Calibri"/>
        <family val="2"/>
      </rPr>
      <t>nt</t>
    </r>
    <r>
      <rPr>
        <b/>
        <sz val="11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&amp;</t>
    </r>
    <r>
      <rPr>
        <b/>
        <sz val="11"/>
        <color indexed="8"/>
        <rFont val="Calibri"/>
        <family val="2"/>
      </rPr>
      <t xml:space="preserve"> 0.6F</t>
    </r>
    <r>
      <rPr>
        <b/>
        <vertAlign val="subscript"/>
        <sz val="11"/>
        <color indexed="8"/>
        <rFont val="Calibri"/>
        <family val="2"/>
      </rPr>
      <t>y</t>
    </r>
    <r>
      <rPr>
        <b/>
        <sz val="11"/>
        <color indexed="8"/>
        <rFont val="Calibri"/>
        <family val="2"/>
      </rPr>
      <t xml:space="preserve"> A</t>
    </r>
    <r>
      <rPr>
        <b/>
        <vertAlign val="subscript"/>
        <sz val="11"/>
        <color indexed="8"/>
        <rFont val="Calibri"/>
        <family val="2"/>
      </rPr>
      <t>gv</t>
    </r>
    <r>
      <rPr>
        <b/>
        <sz val="11"/>
        <color indexed="8"/>
        <rFont val="Calibri"/>
        <family val="2"/>
      </rPr>
      <t xml:space="preserve"> + U</t>
    </r>
    <r>
      <rPr>
        <b/>
        <vertAlign val="subscript"/>
        <sz val="11"/>
        <color indexed="8"/>
        <rFont val="Calibri"/>
        <family val="2"/>
      </rPr>
      <t>bs</t>
    </r>
    <r>
      <rPr>
        <b/>
        <sz val="11"/>
        <color indexed="8"/>
        <rFont val="Calibri"/>
        <family val="2"/>
      </rPr>
      <t xml:space="preserve"> F</t>
    </r>
    <r>
      <rPr>
        <b/>
        <vertAlign val="subscript"/>
        <sz val="11"/>
        <color indexed="8"/>
        <rFont val="Calibri"/>
        <family val="2"/>
      </rPr>
      <t>u</t>
    </r>
    <r>
      <rPr>
        <b/>
        <sz val="11"/>
        <color indexed="8"/>
        <rFont val="Calibri"/>
        <family val="2"/>
      </rPr>
      <t>A</t>
    </r>
    <r>
      <rPr>
        <b/>
        <vertAlign val="subscript"/>
        <sz val="11"/>
        <color indexed="8"/>
        <rFont val="Calibri"/>
        <family val="2"/>
      </rPr>
      <t>nt</t>
    </r>
    <r>
      <rPr>
        <b/>
        <sz val="11"/>
        <color indexed="8"/>
        <rFont val="Calibri"/>
        <family val="2"/>
      </rPr>
      <t xml:space="preserve"> ]</t>
    </r>
  </si>
  <si>
    <r>
      <t>e</t>
    </r>
    <r>
      <rPr>
        <vertAlign val="subscript"/>
        <sz val="11"/>
        <color indexed="8"/>
        <rFont val="Calibri"/>
        <family val="2"/>
      </rPr>
      <t>w</t>
    </r>
    <r>
      <rPr>
        <sz val="11"/>
        <color indexed="8"/>
        <rFont val="Calibri"/>
        <family val="2"/>
      </rPr>
      <t xml:space="preserve"> =</t>
    </r>
  </si>
  <si>
    <r>
      <t>M</t>
    </r>
    <r>
      <rPr>
        <vertAlign val="subscript"/>
        <sz val="11"/>
        <color indexed="8"/>
        <rFont val="Calibri"/>
        <family val="2"/>
      </rPr>
      <t>u / weld</t>
    </r>
  </si>
  <si>
    <r>
      <t>A</t>
    </r>
    <r>
      <rPr>
        <vertAlign val="subscript"/>
        <sz val="11"/>
        <color indexed="8"/>
        <rFont val="Calibri"/>
        <family val="2"/>
      </rPr>
      <t>w</t>
    </r>
    <r>
      <rPr>
        <sz val="11"/>
        <color indexed="8"/>
        <rFont val="Calibri"/>
        <family val="2"/>
      </rPr>
      <t xml:space="preserve"> =</t>
    </r>
  </si>
  <si>
    <r>
      <t>2* 0.707w * L</t>
    </r>
    <r>
      <rPr>
        <vertAlign val="subscript"/>
        <sz val="11"/>
        <color indexed="8"/>
        <rFont val="Calibri"/>
        <family val="2"/>
      </rPr>
      <t>w</t>
    </r>
  </si>
  <si>
    <r>
      <t>I</t>
    </r>
    <r>
      <rPr>
        <vertAlign val="subscript"/>
        <sz val="11"/>
        <color indexed="8"/>
        <rFont val="Calibri"/>
        <family val="2"/>
      </rPr>
      <t>w</t>
    </r>
    <r>
      <rPr>
        <sz val="11"/>
        <color indexed="8"/>
        <rFont val="Calibri"/>
        <family val="2"/>
      </rPr>
      <t xml:space="preserve"> =</t>
    </r>
  </si>
  <si>
    <r>
      <t>f</t>
    </r>
    <r>
      <rPr>
        <vertAlign val="subscript"/>
        <sz val="11"/>
        <color indexed="8"/>
        <rFont val="Calibri"/>
        <family val="2"/>
      </rPr>
      <t>v</t>
    </r>
    <r>
      <rPr>
        <sz val="11"/>
        <color indexed="8"/>
        <rFont val="Calibri"/>
        <family val="2"/>
      </rPr>
      <t xml:space="preserve"> =</t>
    </r>
  </si>
  <si>
    <r>
      <t>f</t>
    </r>
    <r>
      <rPr>
        <vertAlign val="subscript"/>
        <sz val="11"/>
        <color indexed="8"/>
        <rFont val="Calibri"/>
        <family val="2"/>
      </rPr>
      <t>t</t>
    </r>
    <r>
      <rPr>
        <sz val="11"/>
        <color indexed="8"/>
        <rFont val="Calibri"/>
        <family val="2"/>
      </rPr>
      <t xml:space="preserve"> =</t>
    </r>
  </si>
  <si>
    <r>
      <t>M</t>
    </r>
    <r>
      <rPr>
        <vertAlign val="subscript"/>
        <sz val="11"/>
        <color indexed="8"/>
        <rFont val="Calibri"/>
        <family val="2"/>
      </rPr>
      <t>u / weld</t>
    </r>
    <r>
      <rPr>
        <sz val="11"/>
        <color indexed="8"/>
        <rFont val="Calibri"/>
        <family val="2"/>
      </rPr>
      <t xml:space="preserve"> *y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/I</t>
    </r>
    <r>
      <rPr>
        <vertAlign val="subscript"/>
        <sz val="11"/>
        <color indexed="8"/>
        <rFont val="Calibri"/>
        <family val="2"/>
      </rPr>
      <t>w</t>
    </r>
  </si>
  <si>
    <r>
      <t>2*0.707w*L</t>
    </r>
    <r>
      <rPr>
        <vertAlign val="subscript"/>
        <sz val="11"/>
        <color indexed="8"/>
        <rFont val="Calibri"/>
        <family val="2"/>
      </rPr>
      <t>w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/12</t>
    </r>
  </si>
  <si>
    <r>
      <t>F</t>
    </r>
    <r>
      <rPr>
        <vertAlign val="subscript"/>
        <sz val="11"/>
        <color indexed="8"/>
        <rFont val="Calibri"/>
        <family val="2"/>
      </rPr>
      <t>w</t>
    </r>
    <r>
      <rPr>
        <sz val="11"/>
        <color indexed="8"/>
        <rFont val="Calibri"/>
        <family val="2"/>
      </rPr>
      <t xml:space="preserve"> =</t>
    </r>
  </si>
  <si>
    <r>
      <t>F</t>
    </r>
    <r>
      <rPr>
        <vertAlign val="subscript"/>
        <sz val="11"/>
        <color indexed="8"/>
        <rFont val="Calibri"/>
        <family val="2"/>
      </rPr>
      <t>EXX</t>
    </r>
    <r>
      <rPr>
        <sz val="11"/>
        <color indexed="8"/>
        <rFont val="Calibri"/>
        <family val="2"/>
      </rPr>
      <t>=</t>
    </r>
  </si>
  <si>
    <r>
      <t>R</t>
    </r>
    <r>
      <rPr>
        <vertAlign val="subscript"/>
        <sz val="11"/>
        <color indexed="8"/>
        <rFont val="Calibri"/>
        <family val="2"/>
      </rPr>
      <t>n</t>
    </r>
    <r>
      <rPr>
        <sz val="11"/>
        <color indexed="8"/>
        <rFont val="Calibri"/>
        <family val="2"/>
      </rPr>
      <t>/A</t>
    </r>
    <r>
      <rPr>
        <vertAlign val="subscript"/>
        <sz val="11"/>
        <color indexed="8"/>
        <rFont val="Calibri"/>
        <family val="2"/>
      </rPr>
      <t>w</t>
    </r>
  </si>
  <si>
    <r>
      <t>φR</t>
    </r>
    <r>
      <rPr>
        <b/>
        <vertAlign val="subscript"/>
        <sz val="11"/>
        <color indexed="8"/>
        <rFont val="Calibri"/>
        <family val="2"/>
      </rPr>
      <t>n / weld</t>
    </r>
    <r>
      <rPr>
        <b/>
        <sz val="11"/>
        <color indexed="8"/>
        <rFont val="Calibri"/>
        <family val="2"/>
      </rPr>
      <t xml:space="preserve">= </t>
    </r>
  </si>
  <si>
    <r>
      <t xml:space="preserve">        F</t>
    </r>
    <r>
      <rPr>
        <vertAlign val="subscript"/>
        <sz val="11"/>
        <color indexed="8"/>
        <rFont val="Calibri"/>
        <family val="2"/>
      </rPr>
      <t>w</t>
    </r>
    <r>
      <rPr>
        <sz val="11"/>
        <color indexed="8"/>
        <rFont val="Calibri"/>
        <family val="2"/>
      </rPr>
      <t xml:space="preserve"> =</t>
    </r>
  </si>
  <si>
    <t>KN, Eq J2-4</t>
  </si>
  <si>
    <t>Summary:</t>
  </si>
  <si>
    <t>Use</t>
  </si>
  <si>
    <t>mm, J3.4</t>
  </si>
  <si>
    <t>mm, J3.5</t>
  </si>
  <si>
    <t>mm, J3.3</t>
  </si>
  <si>
    <t>N/mm2, TABLE J2.5</t>
  </si>
  <si>
    <t xml:space="preserve">Weld </t>
  </si>
  <si>
    <r>
      <t>w</t>
    </r>
    <r>
      <rPr>
        <vertAlign val="subscript"/>
        <sz val="11"/>
        <color indexed="8"/>
        <rFont val="Calibri"/>
        <family val="2"/>
      </rPr>
      <t>min</t>
    </r>
  </si>
  <si>
    <t>TABLE J2.4</t>
  </si>
  <si>
    <t>Project :-</t>
  </si>
  <si>
    <t>Project</t>
  </si>
  <si>
    <t>Designed by:-</t>
  </si>
  <si>
    <t>Building :-</t>
  </si>
  <si>
    <t>Checked by:-</t>
  </si>
  <si>
    <t>Element:-</t>
  </si>
  <si>
    <t>Date:-</t>
  </si>
  <si>
    <t>Location:-</t>
  </si>
  <si>
    <t>building</t>
  </si>
  <si>
    <t>C101</t>
  </si>
  <si>
    <t>M.A.S.</t>
  </si>
  <si>
    <t>Check of Shear Plate bolted connection according AISC360-05 (LRFD)</t>
  </si>
  <si>
    <t>REV. 0.0</t>
  </si>
  <si>
    <r>
      <rPr>
        <b/>
        <sz val="11"/>
        <color indexed="8"/>
        <rFont val="Calibri"/>
        <family val="2"/>
      </rPr>
      <t xml:space="preserve">   </t>
    </r>
    <r>
      <rPr>
        <b/>
        <u val="single"/>
        <sz val="11"/>
        <color indexed="8"/>
        <rFont val="Calibri"/>
        <family val="2"/>
      </rPr>
      <t>e- Connetion applied loads:</t>
    </r>
  </si>
  <si>
    <t>f- Weld Data:</t>
  </si>
  <si>
    <t>References :-</t>
  </si>
  <si>
    <t>1- AISC360-05 LRFD</t>
  </si>
  <si>
    <t>2- Chapter 7, Simple connections</t>
  </si>
  <si>
    <t xml:space="preserve"> Steel Design by William T. Segui _4th Ed-2007-0495244716_AISC-05B</t>
  </si>
  <si>
    <r>
      <t xml:space="preserve">This sheet is created by M. Abushady 
</t>
    </r>
    <r>
      <rPr>
        <u val="single"/>
        <sz val="11"/>
        <color indexed="8"/>
        <rFont val="Calibri"/>
        <family val="2"/>
      </rPr>
      <t xml:space="preserve">For New versions check </t>
    </r>
    <r>
      <rPr>
        <b/>
        <sz val="11"/>
        <color indexed="12"/>
        <rFont val="Calibri"/>
        <family val="2"/>
      </rPr>
      <t>http://mohamedabushady.blogspot.com/</t>
    </r>
    <r>
      <rPr>
        <sz val="11"/>
        <color theme="1"/>
        <rFont val="Calibri"/>
        <family val="2"/>
      </rPr>
      <t xml:space="preserve">
</t>
    </r>
    <r>
      <rPr>
        <u val="single"/>
        <sz val="11"/>
        <color indexed="8"/>
        <rFont val="Calibri"/>
        <family val="2"/>
      </rPr>
      <t>For comments &amp; notes on this sheet</t>
    </r>
    <r>
      <rPr>
        <sz val="11"/>
        <color theme="1"/>
        <rFont val="Calibri"/>
        <family val="2"/>
      </rPr>
      <t xml:space="preserve">, Send an e-mail to </t>
    </r>
    <r>
      <rPr>
        <b/>
        <sz val="11"/>
        <color indexed="12"/>
        <rFont val="Calibri"/>
        <family val="2"/>
      </rPr>
      <t>m.ali.abushady@gmail.com</t>
    </r>
  </si>
  <si>
    <t>http://mohamedabushady.blogspot.com/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</si>
</sst>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=&quot;\ General"/>
    <numFmt numFmtId="165" formatCode="\ 0.0"/>
    <numFmt numFmtId="166" formatCode="&quot; φ Fnv * Ab = &quot;\ 0.00"/>
    <numFmt numFmtId="167" formatCode="\ &quot;=&quot;\ 0.0"/>
    <numFmt numFmtId="168" formatCode="&quot;=&quot;\ 0.0\ &quot;mm&quot;"/>
    <numFmt numFmtId="169" formatCode="0\ &quot;mm&quot;"/>
    <numFmt numFmtId="170" formatCode="\ 0"/>
    <numFmt numFmtId="171" formatCode="\ &quot;=&quot;\ 0.00\ &quot;Rn&quot;"/>
    <numFmt numFmtId="172" formatCode="\ &quot;=&quot;\ 0.0000\ &quot;Rn&quot;"/>
    <numFmt numFmtId="173" formatCode="\ &quot;=&quot;\ 0.00"/>
    <numFmt numFmtId="174" formatCode="&quot;=&quot;\ 0.0"/>
    <numFmt numFmtId="175" formatCode="\ &quot;=&quot;0&quot;mm&quot;"/>
    <numFmt numFmtId="176" formatCode="[$-409]dd\-mmm\-yy;@"/>
    <numFmt numFmtId="177" formatCode="General\ &quot;KN&quot;"/>
    <numFmt numFmtId="178" formatCode="General\ &quot;mm&quot;"/>
    <numFmt numFmtId="179" formatCode="\ 0.0\ &quot;N/mm2&quot;"/>
    <numFmt numFmtId="180" formatCode="0.0\ &quot;KN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vertAlign val="subscript"/>
      <sz val="9"/>
      <name val="Tahoma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u val="single"/>
      <sz val="11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rgb="FF0000FF"/>
      <name val="Calibri"/>
      <family val="2"/>
    </font>
    <font>
      <b/>
      <sz val="11"/>
      <color rgb="FF00B05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u val="single"/>
      <sz val="11"/>
      <color rgb="FF00B050"/>
      <name val="Calibri"/>
      <family val="2"/>
    </font>
    <font>
      <b/>
      <i/>
      <u val="single"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00B050"/>
      <name val="Calibri"/>
      <family val="2"/>
    </font>
    <font>
      <b/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7" fillId="0" borderId="0" xfId="0" applyFont="1" applyAlignment="1">
      <alignment vertical="center" textRotation="90"/>
    </xf>
    <xf numFmtId="0" fontId="0" fillId="33" borderId="10" xfId="0" applyFill="1" applyBorder="1" applyAlignment="1">
      <alignment horizontal="center" vertical="center"/>
    </xf>
    <xf numFmtId="1" fontId="58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" fontId="58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 wrapText="1"/>
    </xf>
    <xf numFmtId="1" fontId="59" fillId="0" borderId="10" xfId="0" applyNumberFormat="1" applyFont="1" applyBorder="1" applyAlignment="1">
      <alignment horizontal="center"/>
    </xf>
    <xf numFmtId="0" fontId="6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60" fillId="0" borderId="11" xfId="0" applyFont="1" applyBorder="1" applyAlignment="1" applyProtection="1">
      <alignment/>
      <protection/>
    </xf>
    <xf numFmtId="0" fontId="60" fillId="0" borderId="11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right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61" fillId="0" borderId="0" xfId="0" applyFont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165" fontId="59" fillId="0" borderId="0" xfId="0" applyNumberFormat="1" applyFont="1" applyBorder="1" applyAlignment="1" applyProtection="1">
      <alignment horizontal="center" vertical="center"/>
      <protection/>
    </xf>
    <xf numFmtId="165" fontId="59" fillId="0" borderId="0" xfId="0" applyNumberFormat="1" applyFont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 vertical="center"/>
      <protection/>
    </xf>
    <xf numFmtId="174" fontId="59" fillId="0" borderId="0" xfId="0" applyNumberFormat="1" applyFont="1" applyBorder="1" applyAlignment="1" applyProtection="1">
      <alignment horizontal="left" vertical="center"/>
      <protection/>
    </xf>
    <xf numFmtId="0" fontId="55" fillId="0" borderId="0" xfId="0" applyFont="1" applyBorder="1" applyAlignment="1" applyProtection="1">
      <alignment horizontal="left" vertical="center"/>
      <protection/>
    </xf>
    <xf numFmtId="0" fontId="55" fillId="0" borderId="12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175" fontId="59" fillId="0" borderId="0" xfId="0" applyNumberFormat="1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/>
      <protection/>
    </xf>
    <xf numFmtId="170" fontId="59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60" fillId="0" borderId="11" xfId="0" applyFont="1" applyBorder="1" applyAlignment="1" applyProtection="1">
      <alignment horizontal="left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55" fillId="0" borderId="11" xfId="0" applyFont="1" applyBorder="1" applyAlignment="1" applyProtection="1">
      <alignment horizontal="right"/>
      <protection/>
    </xf>
    <xf numFmtId="0" fontId="55" fillId="0" borderId="0" xfId="0" applyFont="1" applyBorder="1" applyAlignment="1" applyProtection="1">
      <alignment/>
      <protection/>
    </xf>
    <xf numFmtId="167" fontId="59" fillId="0" borderId="0" xfId="0" applyNumberFormat="1" applyFont="1" applyBorder="1" applyAlignment="1" applyProtection="1">
      <alignment horizontal="left" vertical="center"/>
      <protection/>
    </xf>
    <xf numFmtId="0" fontId="63" fillId="0" borderId="0" xfId="0" applyFont="1" applyBorder="1" applyAlignment="1" applyProtection="1">
      <alignment/>
      <protection/>
    </xf>
    <xf numFmtId="166" fontId="55" fillId="0" borderId="0" xfId="0" applyNumberFormat="1" applyFont="1" applyBorder="1" applyAlignment="1" applyProtection="1">
      <alignment/>
      <protection/>
    </xf>
    <xf numFmtId="0" fontId="55" fillId="0" borderId="0" xfId="0" applyFont="1" applyBorder="1" applyAlignment="1" applyProtection="1">
      <alignment vertical="center"/>
      <protection/>
    </xf>
    <xf numFmtId="167" fontId="59" fillId="0" borderId="0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6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64" fillId="0" borderId="11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 horizontal="left"/>
      <protection/>
    </xf>
    <xf numFmtId="172" fontId="59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173" fontId="59" fillId="0" borderId="0" xfId="0" applyNumberFormat="1" applyFont="1" applyBorder="1" applyAlignment="1" applyProtection="1">
      <alignment horizontal="left" vertical="center"/>
      <protection/>
    </xf>
    <xf numFmtId="179" fontId="59" fillId="0" borderId="0" xfId="0" applyNumberFormat="1" applyFont="1" applyBorder="1" applyAlignment="1" applyProtection="1">
      <alignment horizontal="center" vertical="center"/>
      <protection/>
    </xf>
    <xf numFmtId="0" fontId="65" fillId="0" borderId="12" xfId="56" applyFont="1" applyBorder="1" applyAlignment="1" applyProtection="1">
      <alignment horizontal="left" vertical="top"/>
      <protection locked="0"/>
    </xf>
    <xf numFmtId="0" fontId="0" fillId="0" borderId="14" xfId="56" applyFill="1" applyBorder="1" applyProtection="1">
      <alignment/>
      <protection locked="0"/>
    </xf>
    <xf numFmtId="0" fontId="65" fillId="0" borderId="14" xfId="56" applyFont="1" applyBorder="1" applyAlignment="1" applyProtection="1">
      <alignment vertical="top"/>
      <protection locked="0"/>
    </xf>
    <xf numFmtId="0" fontId="0" fillId="0" borderId="14" xfId="56" applyBorder="1" applyProtection="1">
      <alignment/>
      <protection locked="0"/>
    </xf>
    <xf numFmtId="0" fontId="0" fillId="0" borderId="14" xfId="56" applyBorder="1" applyAlignment="1" applyProtection="1">
      <alignment horizontal="left" vertical="top"/>
      <protection locked="0"/>
    </xf>
    <xf numFmtId="0" fontId="0" fillId="0" borderId="0" xfId="56" applyBorder="1" applyProtection="1">
      <alignment/>
      <protection locked="0"/>
    </xf>
    <xf numFmtId="0" fontId="65" fillId="0" borderId="0" xfId="56" applyFont="1" applyBorder="1" applyAlignment="1" applyProtection="1">
      <alignment vertical="top"/>
      <protection locked="0"/>
    </xf>
    <xf numFmtId="176" fontId="66" fillId="0" borderId="12" xfId="56" applyNumberFormat="1" applyFont="1" applyBorder="1" applyAlignment="1" applyProtection="1">
      <alignment horizontal="left" vertical="top"/>
      <protection locked="0"/>
    </xf>
    <xf numFmtId="0" fontId="59" fillId="0" borderId="14" xfId="0" applyFont="1" applyBorder="1" applyAlignment="1" applyProtection="1">
      <alignment/>
      <protection/>
    </xf>
    <xf numFmtId="0" fontId="55" fillId="0" borderId="13" xfId="0" applyFont="1" applyBorder="1" applyAlignment="1" applyProtection="1">
      <alignment horizontal="right"/>
      <protection/>
    </xf>
    <xf numFmtId="166" fontId="55" fillId="0" borderId="14" xfId="0" applyNumberFormat="1" applyFont="1" applyBorder="1" applyAlignment="1" applyProtection="1">
      <alignment/>
      <protection/>
    </xf>
    <xf numFmtId="167" fontId="59" fillId="0" borderId="14" xfId="0" applyNumberFormat="1" applyFont="1" applyBorder="1" applyAlignment="1" applyProtection="1">
      <alignment horizontal="left" vertical="center"/>
      <protection/>
    </xf>
    <xf numFmtId="0" fontId="55" fillId="0" borderId="14" xfId="0" applyFont="1" applyBorder="1" applyAlignment="1" applyProtection="1">
      <alignment horizontal="left" vertical="center"/>
      <protection/>
    </xf>
    <xf numFmtId="0" fontId="62" fillId="0" borderId="15" xfId="56" applyFont="1" applyBorder="1" applyAlignment="1" applyProtection="1">
      <alignment horizontal="right" vertical="top"/>
      <protection locked="0"/>
    </xf>
    <xf numFmtId="0" fontId="62" fillId="0" borderId="19" xfId="0" applyFont="1" applyBorder="1" applyAlignment="1" applyProtection="1">
      <alignment/>
      <protection/>
    </xf>
    <xf numFmtId="0" fontId="0" fillId="0" borderId="11" xfId="56" applyBorder="1" applyProtection="1">
      <alignment/>
      <protection locked="0"/>
    </xf>
    <xf numFmtId="0" fontId="67" fillId="0" borderId="11" xfId="56" applyFont="1" applyBorder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3" xfId="56" applyBorder="1" applyProtection="1">
      <alignment/>
      <protection locked="0"/>
    </xf>
    <xf numFmtId="164" fontId="61" fillId="0" borderId="20" xfId="0" applyNumberFormat="1" applyFont="1" applyBorder="1" applyAlignment="1" applyProtection="1">
      <alignment horizontal="center" vertical="center"/>
      <protection locked="0"/>
    </xf>
    <xf numFmtId="178" fontId="61" fillId="0" borderId="20" xfId="0" applyNumberFormat="1" applyFont="1" applyBorder="1" applyAlignment="1" applyProtection="1">
      <alignment horizontal="center" vertical="center"/>
      <protection locked="0"/>
    </xf>
    <xf numFmtId="0" fontId="61" fillId="0" borderId="20" xfId="0" applyFont="1" applyBorder="1" applyAlignment="1" applyProtection="1">
      <alignment horizontal="center" vertical="center"/>
      <protection locked="0"/>
    </xf>
    <xf numFmtId="177" fontId="61" fillId="0" borderId="20" xfId="0" applyNumberFormat="1" applyFont="1" applyBorder="1" applyAlignment="1" applyProtection="1">
      <alignment horizontal="center" vertical="center"/>
      <protection locked="0"/>
    </xf>
    <xf numFmtId="168" fontId="61" fillId="0" borderId="20" xfId="0" applyNumberFormat="1" applyFont="1" applyBorder="1" applyAlignment="1" applyProtection="1">
      <alignment horizontal="left" vertical="center"/>
      <protection locked="0"/>
    </xf>
    <xf numFmtId="169" fontId="61" fillId="0" borderId="20" xfId="0" applyNumberFormat="1" applyFont="1" applyBorder="1" applyAlignment="1" applyProtection="1">
      <alignment horizontal="left" vertical="center"/>
      <protection locked="0"/>
    </xf>
    <xf numFmtId="0" fontId="55" fillId="0" borderId="0" xfId="0" applyFont="1" applyBorder="1" applyAlignment="1" applyProtection="1">
      <alignment horizontal="center" vertical="center"/>
      <protection/>
    </xf>
    <xf numFmtId="180" fontId="59" fillId="0" borderId="0" xfId="0" applyNumberFormat="1" applyFont="1" applyBorder="1" applyAlignment="1" applyProtection="1">
      <alignment horizontal="center" vertical="center"/>
      <protection/>
    </xf>
    <xf numFmtId="0" fontId="68" fillId="0" borderId="0" xfId="0" applyFont="1" applyAlignment="1">
      <alignment/>
    </xf>
    <xf numFmtId="0" fontId="59" fillId="0" borderId="21" xfId="0" applyFont="1" applyBorder="1" applyAlignment="1" applyProtection="1">
      <alignment horizontal="left"/>
      <protection/>
    </xf>
    <xf numFmtId="0" fontId="59" fillId="0" borderId="22" xfId="0" applyFont="1" applyBorder="1" applyAlignment="1" applyProtection="1">
      <alignment horizontal="left"/>
      <protection/>
    </xf>
    <xf numFmtId="0" fontId="59" fillId="0" borderId="19" xfId="0" applyFont="1" applyBorder="1" applyAlignment="1" applyProtection="1">
      <alignment horizontal="left"/>
      <protection/>
    </xf>
    <xf numFmtId="0" fontId="55" fillId="0" borderId="11" xfId="0" applyFont="1" applyBorder="1" applyAlignment="1" applyProtection="1">
      <alignment horizontal="center"/>
      <protection/>
    </xf>
    <xf numFmtId="0" fontId="55" fillId="0" borderId="0" xfId="0" applyFont="1" applyBorder="1" applyAlignment="1" applyProtection="1">
      <alignment horizont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69" fillId="0" borderId="21" xfId="0" applyFont="1" applyBorder="1" applyAlignment="1" applyProtection="1">
      <alignment horizontal="left"/>
      <protection/>
    </xf>
    <xf numFmtId="0" fontId="69" fillId="0" borderId="22" xfId="0" applyFont="1" applyBorder="1" applyAlignment="1" applyProtection="1">
      <alignment horizontal="left"/>
      <protection/>
    </xf>
    <xf numFmtId="0" fontId="55" fillId="0" borderId="0" xfId="0" applyFont="1" applyBorder="1" applyAlignment="1" applyProtection="1">
      <alignment horizontal="left"/>
      <protection/>
    </xf>
    <xf numFmtId="0" fontId="55" fillId="0" borderId="0" xfId="0" applyFont="1" applyBorder="1" applyAlignment="1" applyProtection="1">
      <alignment horizontal="left" vertical="center"/>
      <protection/>
    </xf>
    <xf numFmtId="0" fontId="59" fillId="0" borderId="0" xfId="0" applyFont="1" applyBorder="1" applyAlignment="1" applyProtection="1">
      <alignment horizontal="left"/>
      <protection/>
    </xf>
    <xf numFmtId="0" fontId="55" fillId="0" borderId="11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right"/>
      <protection/>
    </xf>
    <xf numFmtId="0" fontId="61" fillId="0" borderId="21" xfId="0" applyFont="1" applyBorder="1" applyAlignment="1" applyProtection="1">
      <alignment horizontal="center"/>
      <protection locked="0"/>
    </xf>
    <xf numFmtId="0" fontId="61" fillId="0" borderId="19" xfId="0" applyFont="1" applyBorder="1" applyAlignment="1" applyProtection="1">
      <alignment horizontal="center"/>
      <protection locked="0"/>
    </xf>
    <xf numFmtId="0" fontId="0" fillId="0" borderId="0" xfId="56" applyBorder="1" applyAlignment="1" applyProtection="1">
      <alignment horizontal="left"/>
      <protection locked="0"/>
    </xf>
    <xf numFmtId="171" fontId="59" fillId="0" borderId="0" xfId="0" applyNumberFormat="1" applyFont="1" applyBorder="1" applyAlignment="1" applyProtection="1">
      <alignment horizontal="center" vertical="center"/>
      <protection/>
    </xf>
    <xf numFmtId="0" fontId="60" fillId="0" borderId="0" xfId="0" applyFont="1" applyAlignment="1">
      <alignment horizontal="left" wrapText="1"/>
    </xf>
    <xf numFmtId="0" fontId="57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left" wrapText="1"/>
    </xf>
    <xf numFmtId="0" fontId="0" fillId="0" borderId="17" xfId="0" applyFill="1" applyBorder="1" applyAlignment="1" applyProtection="1">
      <alignment horizontal="left" vertical="top" wrapText="1"/>
      <protection/>
    </xf>
    <xf numFmtId="0" fontId="0" fillId="0" borderId="18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12" xfId="0" applyFill="1" applyBorder="1" applyAlignment="1" applyProtection="1">
      <alignment horizontal="left" vertical="top" wrapText="1"/>
      <protection/>
    </xf>
    <xf numFmtId="0" fontId="0" fillId="0" borderId="14" xfId="0" applyFill="1" applyBorder="1" applyAlignment="1" applyProtection="1">
      <alignment horizontal="left" vertical="top" wrapText="1"/>
      <protection/>
    </xf>
    <xf numFmtId="0" fontId="0" fillId="0" borderId="15" xfId="0" applyFill="1" applyBorder="1" applyAlignment="1" applyProtection="1">
      <alignment horizontal="left" vertical="top" wrapText="1"/>
      <protection/>
    </xf>
    <xf numFmtId="0" fontId="49" fillId="0" borderId="0" xfId="52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color rgb="FFFF000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theme="0" tint="-0.24993999302387238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theme="0" tint="-0.24993999302387238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theme="0" tint="-0.24993999302387238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theme="9" tint="0.5999600291252136"/>
        </patternFill>
      </fill>
      <border/>
    </dxf>
    <dxf>
      <font>
        <color rgb="FFFF0000"/>
      </font>
      <fill>
        <patternFill>
          <bgColor theme="0" tint="-0.24993999302387238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28</xdr:row>
      <xdr:rowOff>9525</xdr:rowOff>
    </xdr:from>
    <xdr:to>
      <xdr:col>8</xdr:col>
      <xdr:colOff>647700</xdr:colOff>
      <xdr:row>36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6000750"/>
          <a:ext cx="13335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41</xdr:row>
      <xdr:rowOff>0</xdr:rowOff>
    </xdr:from>
    <xdr:to>
      <xdr:col>8</xdr:col>
      <xdr:colOff>447675</xdr:colOff>
      <xdr:row>46</xdr:row>
      <xdr:rowOff>9525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8696325"/>
          <a:ext cx="1371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55</xdr:row>
      <xdr:rowOff>28575</xdr:rowOff>
    </xdr:from>
    <xdr:to>
      <xdr:col>8</xdr:col>
      <xdr:colOff>581025</xdr:colOff>
      <xdr:row>62</xdr:row>
      <xdr:rowOff>38100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11620500"/>
          <a:ext cx="11715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68</xdr:row>
      <xdr:rowOff>38100</xdr:rowOff>
    </xdr:from>
    <xdr:to>
      <xdr:col>1</xdr:col>
      <xdr:colOff>523875</xdr:colOff>
      <xdr:row>68</xdr:row>
      <xdr:rowOff>276225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14478000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0</xdr:row>
      <xdr:rowOff>0</xdr:rowOff>
    </xdr:from>
    <xdr:to>
      <xdr:col>15</xdr:col>
      <xdr:colOff>333375</xdr:colOff>
      <xdr:row>16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0"/>
          <a:ext cx="316230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8</xdr:row>
      <xdr:rowOff>95250</xdr:rowOff>
    </xdr:from>
    <xdr:to>
      <xdr:col>10</xdr:col>
      <xdr:colOff>0</xdr:colOff>
      <xdr:row>29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1838325"/>
          <a:ext cx="3657600" cy="427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29</xdr:row>
      <xdr:rowOff>152400</xdr:rowOff>
    </xdr:from>
    <xdr:to>
      <xdr:col>10</xdr:col>
      <xdr:colOff>209550</xdr:colOff>
      <xdr:row>38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71925" y="6124575"/>
          <a:ext cx="39338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38</xdr:row>
      <xdr:rowOff>152400</xdr:rowOff>
    </xdr:from>
    <xdr:to>
      <xdr:col>10</xdr:col>
      <xdr:colOff>571500</xdr:colOff>
      <xdr:row>54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8029575"/>
          <a:ext cx="42386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55</xdr:row>
      <xdr:rowOff>133350</xdr:rowOff>
    </xdr:from>
    <xdr:to>
      <xdr:col>9</xdr:col>
      <xdr:colOff>304800</xdr:colOff>
      <xdr:row>67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71625" y="11506200"/>
          <a:ext cx="58197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hamedabushady.blogspot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3.00390625" style="26" customWidth="1"/>
    <col min="2" max="2" width="15.28125" style="26" customWidth="1"/>
    <col min="3" max="3" width="11.421875" style="26" customWidth="1"/>
    <col min="4" max="4" width="10.8515625" style="26" customWidth="1"/>
    <col min="5" max="5" width="7.8515625" style="26" customWidth="1"/>
    <col min="6" max="6" width="7.57421875" style="26" customWidth="1"/>
    <col min="7" max="7" width="3.57421875" style="26" customWidth="1"/>
    <col min="8" max="8" width="9.140625" style="26" customWidth="1"/>
    <col min="9" max="9" width="12.57421875" style="26" customWidth="1"/>
    <col min="10" max="11" width="9.8515625" style="26" customWidth="1"/>
    <col min="12" max="12" width="7.8515625" style="26" customWidth="1"/>
    <col min="13" max="13" width="10.00390625" style="26" customWidth="1"/>
    <col min="14" max="14" width="7.8515625" style="26" customWidth="1"/>
    <col min="15" max="16384" width="9.140625" style="26" customWidth="1"/>
  </cols>
  <sheetData>
    <row r="1" spans="1:14" ht="16.5" customHeight="1" thickBot="1">
      <c r="A1" s="110" t="s">
        <v>152</v>
      </c>
      <c r="B1" s="111"/>
      <c r="C1" s="111"/>
      <c r="D1" s="111"/>
      <c r="E1" s="111"/>
      <c r="F1" s="111"/>
      <c r="G1" s="111"/>
      <c r="H1" s="111"/>
      <c r="I1" s="90" t="s">
        <v>153</v>
      </c>
      <c r="J1" s="125" t="s">
        <v>160</v>
      </c>
      <c r="K1" s="125"/>
      <c r="L1" s="125"/>
      <c r="M1" s="126"/>
      <c r="N1" s="25"/>
    </row>
    <row r="2" spans="1:14" ht="15">
      <c r="A2" s="91"/>
      <c r="B2" s="81"/>
      <c r="C2" s="81" t="s">
        <v>141</v>
      </c>
      <c r="D2" s="82" t="s">
        <v>142</v>
      </c>
      <c r="E2" s="81"/>
      <c r="F2" s="81"/>
      <c r="G2" s="120" t="s">
        <v>143</v>
      </c>
      <c r="H2" s="120"/>
      <c r="I2" s="76" t="s">
        <v>151</v>
      </c>
      <c r="J2" s="127"/>
      <c r="K2" s="127"/>
      <c r="L2" s="127"/>
      <c r="M2" s="128"/>
      <c r="N2" s="25"/>
    </row>
    <row r="3" spans="1:14" ht="15.75">
      <c r="A3" s="92"/>
      <c r="B3" s="81"/>
      <c r="C3" s="81" t="s">
        <v>144</v>
      </c>
      <c r="D3" s="82" t="s">
        <v>149</v>
      </c>
      <c r="E3" s="81"/>
      <c r="F3" s="81"/>
      <c r="G3" s="120" t="s">
        <v>145</v>
      </c>
      <c r="H3" s="120"/>
      <c r="I3" s="76" t="s">
        <v>151</v>
      </c>
      <c r="J3" s="127"/>
      <c r="K3" s="127"/>
      <c r="L3" s="127"/>
      <c r="M3" s="128"/>
      <c r="N3" s="25"/>
    </row>
    <row r="4" spans="1:14" ht="15.75">
      <c r="A4" s="92"/>
      <c r="B4" s="81"/>
      <c r="C4" s="81" t="s">
        <v>146</v>
      </c>
      <c r="D4" s="82" t="s">
        <v>150</v>
      </c>
      <c r="E4" s="81"/>
      <c r="F4" s="81"/>
      <c r="G4" s="81" t="s">
        <v>147</v>
      </c>
      <c r="H4" s="93"/>
      <c r="I4" s="83">
        <f ca="1">TODAY()</f>
        <v>42058</v>
      </c>
      <c r="J4" s="127"/>
      <c r="K4" s="127"/>
      <c r="L4" s="127"/>
      <c r="M4" s="128"/>
      <c r="N4" s="25"/>
    </row>
    <row r="5" spans="1:14" ht="15.75" thickBot="1">
      <c r="A5" s="94"/>
      <c r="B5" s="79"/>
      <c r="C5" s="77" t="s">
        <v>148</v>
      </c>
      <c r="D5" s="78"/>
      <c r="E5" s="79"/>
      <c r="F5" s="80"/>
      <c r="G5" s="80"/>
      <c r="H5" s="80"/>
      <c r="I5" s="89"/>
      <c r="J5" s="127"/>
      <c r="K5" s="127"/>
      <c r="L5" s="127"/>
      <c r="M5" s="128"/>
      <c r="N5" s="25"/>
    </row>
    <row r="6" spans="1:13" ht="15.75" thickBot="1">
      <c r="A6" s="30" t="s">
        <v>22</v>
      </c>
      <c r="B6" s="28"/>
      <c r="C6" s="28"/>
      <c r="D6" s="28"/>
      <c r="E6" s="28"/>
      <c r="F6" s="28"/>
      <c r="G6" s="28"/>
      <c r="H6" s="28"/>
      <c r="I6" s="29"/>
      <c r="J6" s="129"/>
      <c r="K6" s="129"/>
      <c r="L6" s="129"/>
      <c r="M6" s="130"/>
    </row>
    <row r="7" spans="1:13" ht="15.75" thickBot="1">
      <c r="A7" s="31" t="s">
        <v>81</v>
      </c>
      <c r="B7" s="32"/>
      <c r="C7" s="34" t="s">
        <v>27</v>
      </c>
      <c r="D7" s="32"/>
      <c r="E7" s="33"/>
      <c r="F7" s="28"/>
      <c r="G7" s="34" t="s">
        <v>30</v>
      </c>
      <c r="H7" s="32"/>
      <c r="I7" s="35"/>
      <c r="J7" s="131" t="s">
        <v>161</v>
      </c>
      <c r="K7" s="132"/>
      <c r="L7" s="132"/>
      <c r="M7" s="132"/>
    </row>
    <row r="8" spans="1:12" ht="15.75" thickBot="1">
      <c r="A8" s="36" t="s">
        <v>26</v>
      </c>
      <c r="B8" s="37"/>
      <c r="C8" s="38" t="s">
        <v>26</v>
      </c>
      <c r="D8" s="37"/>
      <c r="E8" s="28"/>
      <c r="F8" s="116" t="s">
        <v>82</v>
      </c>
      <c r="G8" s="117"/>
      <c r="H8" s="97">
        <v>8</v>
      </c>
      <c r="I8" s="29" t="s">
        <v>0</v>
      </c>
      <c r="K8" s="28"/>
      <c r="L8" s="39"/>
    </row>
    <row r="9" spans="1:13" ht="18.75" thickBot="1">
      <c r="A9" s="36" t="s">
        <v>83</v>
      </c>
      <c r="B9" s="96">
        <v>6</v>
      </c>
      <c r="C9" s="38" t="s">
        <v>83</v>
      </c>
      <c r="D9" s="97">
        <v>6</v>
      </c>
      <c r="E9" s="28" t="s">
        <v>0</v>
      </c>
      <c r="F9" s="116" t="s">
        <v>24</v>
      </c>
      <c r="G9" s="117"/>
      <c r="H9" s="95" t="s">
        <v>13</v>
      </c>
      <c r="I9" s="29"/>
      <c r="K9" s="28"/>
      <c r="L9" s="39"/>
      <c r="M9" s="40"/>
    </row>
    <row r="10" spans="1:12" ht="18.75" thickBot="1">
      <c r="A10" s="36" t="s">
        <v>84</v>
      </c>
      <c r="B10" s="96">
        <v>12</v>
      </c>
      <c r="C10" s="38" t="s">
        <v>84</v>
      </c>
      <c r="D10" s="97">
        <v>12</v>
      </c>
      <c r="E10" s="28" t="s">
        <v>0</v>
      </c>
      <c r="F10" s="116" t="s">
        <v>31</v>
      </c>
      <c r="G10" s="116"/>
      <c r="H10" s="41">
        <f>2*Le_bolt+(Nb_bolt-1)*s_bolt</f>
        <v>210</v>
      </c>
      <c r="I10" s="29" t="s">
        <v>0</v>
      </c>
      <c r="K10" s="28"/>
      <c r="L10" s="39"/>
    </row>
    <row r="11" spans="1:12" ht="15.75" thickBot="1">
      <c r="A11" s="36" t="s">
        <v>24</v>
      </c>
      <c r="B11" s="95" t="s">
        <v>13</v>
      </c>
      <c r="C11" s="38" t="s">
        <v>24</v>
      </c>
      <c r="D11" s="95" t="s">
        <v>13</v>
      </c>
      <c r="E11" s="28"/>
      <c r="F11" s="116" t="s">
        <v>32</v>
      </c>
      <c r="G11" s="116"/>
      <c r="H11" s="41">
        <f>2*Le_bolt+Clearance</f>
        <v>70</v>
      </c>
      <c r="I11" s="29" t="s">
        <v>0</v>
      </c>
      <c r="K11" s="28"/>
      <c r="L11" s="39"/>
    </row>
    <row r="12" spans="1:13" ht="15">
      <c r="A12" s="36" t="s">
        <v>28</v>
      </c>
      <c r="B12" s="75">
        <f>VLOOKUP(Mat_col,Mat_Hot_rolled_Table,2,FALSE)</f>
        <v>250</v>
      </c>
      <c r="C12" s="38" t="s">
        <v>28</v>
      </c>
      <c r="D12" s="42">
        <f>VLOOKUP(Mat_beam,Mat_Hot_rolled_Table,2,FALSE)</f>
        <v>250</v>
      </c>
      <c r="E12" s="28" t="s">
        <v>25</v>
      </c>
      <c r="F12" s="116" t="s">
        <v>28</v>
      </c>
      <c r="G12" s="116"/>
      <c r="H12" s="42">
        <f>VLOOKUP(Mat_PL,Mat_Plates_Table,2,FALSE)</f>
        <v>250</v>
      </c>
      <c r="I12" s="29" t="s">
        <v>25</v>
      </c>
      <c r="K12" s="28"/>
      <c r="L12" s="39"/>
      <c r="M12" s="43"/>
    </row>
    <row r="13" spans="1:13" ht="15">
      <c r="A13" s="36" t="s">
        <v>29</v>
      </c>
      <c r="B13" s="75">
        <f>VLOOKUP(Mat_col,Mat_Hot_rolled_Table,3,FALSE)</f>
        <v>400</v>
      </c>
      <c r="C13" s="38" t="s">
        <v>29</v>
      </c>
      <c r="D13" s="42">
        <f>VLOOKUP(Mat_beam,Mat_Hot_rolled_Table,3,FALSE)</f>
        <v>400</v>
      </c>
      <c r="E13" s="28" t="s">
        <v>25</v>
      </c>
      <c r="F13" s="116" t="s">
        <v>29</v>
      </c>
      <c r="G13" s="116"/>
      <c r="H13" s="42">
        <f>VLOOKUP(Mat_PL,Mat_Plates_Table,3,FALSE)</f>
        <v>400</v>
      </c>
      <c r="I13" s="29" t="s">
        <v>25</v>
      </c>
      <c r="K13" s="28"/>
      <c r="L13" s="39"/>
      <c r="M13" s="43"/>
    </row>
    <row r="14" spans="1:11" ht="15">
      <c r="A14" s="27"/>
      <c r="B14" s="28"/>
      <c r="C14" s="28"/>
      <c r="D14" s="28"/>
      <c r="E14" s="28"/>
      <c r="F14" s="28"/>
      <c r="G14" s="28"/>
      <c r="H14" s="28"/>
      <c r="I14" s="29"/>
      <c r="J14" s="28"/>
      <c r="K14" s="28"/>
    </row>
    <row r="15" spans="1:11" ht="15.75" thickBot="1">
      <c r="A15" s="31" t="s">
        <v>85</v>
      </c>
      <c r="B15" s="28"/>
      <c r="C15" s="28"/>
      <c r="D15" s="28"/>
      <c r="E15" s="28"/>
      <c r="F15" s="28"/>
      <c r="G15" s="28"/>
      <c r="H15" s="28"/>
      <c r="I15" s="29"/>
      <c r="J15" s="32"/>
      <c r="K15" s="33"/>
    </row>
    <row r="16" spans="1:11" ht="15.75" thickBot="1">
      <c r="A16" s="44" t="s">
        <v>72</v>
      </c>
      <c r="B16" s="118" t="s">
        <v>45</v>
      </c>
      <c r="C16" s="119"/>
      <c r="D16" s="28"/>
      <c r="E16" s="28"/>
      <c r="F16" s="28"/>
      <c r="G16" s="28"/>
      <c r="H16" s="28"/>
      <c r="I16" s="29"/>
      <c r="J16" s="32"/>
      <c r="K16" s="33"/>
    </row>
    <row r="17" spans="1:11" ht="18.75" thickBot="1">
      <c r="A17" s="36" t="s">
        <v>39</v>
      </c>
      <c r="B17" s="97" t="s">
        <v>35</v>
      </c>
      <c r="C17" s="28"/>
      <c r="D17" s="38" t="s">
        <v>86</v>
      </c>
      <c r="E17" s="97">
        <v>1</v>
      </c>
      <c r="F17" s="28"/>
      <c r="G17" s="28"/>
      <c r="H17" s="28"/>
      <c r="I17" s="29"/>
      <c r="J17" s="37"/>
      <c r="K17" s="28"/>
    </row>
    <row r="18" spans="1:11" ht="18.75" thickBot="1">
      <c r="A18" s="36" t="s">
        <v>40</v>
      </c>
      <c r="B18" s="97">
        <v>24</v>
      </c>
      <c r="C18" s="28" t="s">
        <v>0</v>
      </c>
      <c r="D18" s="38" t="s">
        <v>87</v>
      </c>
      <c r="E18" s="97">
        <v>30</v>
      </c>
      <c r="F18" s="115" t="str">
        <f>IF(Le_bolt&gt;=Le_min,"mm &gt;Lemin","mm &lt;Lemin")</f>
        <v>mm &lt;Lemin</v>
      </c>
      <c r="G18" s="112"/>
      <c r="H18" s="45">
        <f>VLOOKUP(d_bolt,TABLE_J3_4M,2,FALSE)</f>
        <v>42</v>
      </c>
      <c r="I18" s="47" t="s">
        <v>134</v>
      </c>
      <c r="J18" s="28"/>
      <c r="K18" s="28"/>
    </row>
    <row r="19" spans="1:11" ht="18.75" thickBot="1">
      <c r="A19" s="36" t="s">
        <v>88</v>
      </c>
      <c r="B19" s="97">
        <v>4</v>
      </c>
      <c r="C19" s="28"/>
      <c r="D19" s="28"/>
      <c r="E19" s="28"/>
      <c r="F19" s="108" t="str">
        <f>IF(Le_bolt&lt;=S_max,"&lt;Smax","&gt;Smax")</f>
        <v>&lt;Smax</v>
      </c>
      <c r="G19" s="108"/>
      <c r="H19" s="45">
        <f>MIN(150,MIN(tw_beam,t_PL)*12)</f>
        <v>72</v>
      </c>
      <c r="I19" s="47" t="s">
        <v>135</v>
      </c>
      <c r="J19" s="46"/>
      <c r="K19" s="28"/>
    </row>
    <row r="20" spans="1:11" ht="18.75" thickBot="1">
      <c r="A20" s="36" t="s">
        <v>89</v>
      </c>
      <c r="B20" s="42">
        <f>VLOOKUP(bolt_d_type,Bolt_type_Table,2,FALSE)</f>
        <v>620</v>
      </c>
      <c r="C20" s="28" t="s">
        <v>25</v>
      </c>
      <c r="D20" s="38" t="s">
        <v>57</v>
      </c>
      <c r="E20" s="97">
        <v>50</v>
      </c>
      <c r="F20" s="107" t="str">
        <f>IF(s_bolt&gt;=S_min,"mm &gt;Smin","mm &lt;Smin")</f>
        <v>mm &lt;Smin</v>
      </c>
      <c r="G20" s="108"/>
      <c r="H20" s="45">
        <f>2.67*d_bolt</f>
        <v>64.08</v>
      </c>
      <c r="I20" s="47" t="s">
        <v>136</v>
      </c>
      <c r="J20" s="46"/>
      <c r="K20" s="28"/>
    </row>
    <row r="21" spans="1:11" ht="18">
      <c r="A21" s="36" t="s">
        <v>90</v>
      </c>
      <c r="B21" s="42">
        <f>VLOOKUP(bolt_d_type,Bolt_type_Table,3,FALSE)</f>
        <v>330</v>
      </c>
      <c r="C21" s="28" t="s">
        <v>25</v>
      </c>
      <c r="D21" s="38"/>
      <c r="E21" s="37"/>
      <c r="F21" s="108" t="str">
        <f>IF(s_bolt&lt;=S_max,"&lt;Smax","&gt;Smax")</f>
        <v>&lt;Smax</v>
      </c>
      <c r="G21" s="108"/>
      <c r="H21" s="45">
        <f>S_max</f>
        <v>72</v>
      </c>
      <c r="I21" s="47" t="s">
        <v>135</v>
      </c>
      <c r="J21" s="46"/>
      <c r="K21" s="28"/>
    </row>
    <row r="22" spans="1:11" ht="18">
      <c r="A22" s="36" t="s">
        <v>91</v>
      </c>
      <c r="B22" s="42">
        <f>IF(OR(bolt_d_type="A325-X",bolt_d_type="A325-N"),VLOOKUP(d_bolt,TABLEJ3_1M,2,FALSE),IF(OR(bolt_d_type="A490-X",bolt_d_type="A490-N"),VLOOKUP(d_bolt,TABLEJ3_1M,3,FALSE),0))</f>
        <v>205</v>
      </c>
      <c r="C22" s="28" t="s">
        <v>47</v>
      </c>
      <c r="D22" s="28"/>
      <c r="E22" s="28"/>
      <c r="F22" s="28"/>
      <c r="G22" s="28"/>
      <c r="H22" s="28"/>
      <c r="I22" s="29"/>
      <c r="J22" s="28"/>
      <c r="K22" s="28"/>
    </row>
    <row r="23" spans="1:11" ht="18">
      <c r="A23" s="36" t="s">
        <v>92</v>
      </c>
      <c r="B23" s="42">
        <f>PI()*d_bolt^2/4</f>
        <v>452.3893421169302</v>
      </c>
      <c r="C23" s="28" t="s">
        <v>93</v>
      </c>
      <c r="D23" s="28"/>
      <c r="E23" s="28"/>
      <c r="F23" s="28"/>
      <c r="G23" s="28"/>
      <c r="H23" s="28"/>
      <c r="I23" s="29"/>
      <c r="J23" s="28"/>
      <c r="K23" s="28"/>
    </row>
    <row r="24" spans="1:11" ht="15">
      <c r="A24" s="36"/>
      <c r="B24" s="42"/>
      <c r="C24" s="28"/>
      <c r="D24" s="28"/>
      <c r="E24" s="28"/>
      <c r="F24" s="28"/>
      <c r="G24" s="28"/>
      <c r="H24" s="28"/>
      <c r="I24" s="29"/>
      <c r="J24" s="28"/>
      <c r="K24" s="28"/>
    </row>
    <row r="25" spans="1:11" ht="15.75" thickBot="1">
      <c r="A25" s="31" t="s">
        <v>154</v>
      </c>
      <c r="B25" s="32"/>
      <c r="D25" s="34" t="s">
        <v>155</v>
      </c>
      <c r="E25" s="28"/>
      <c r="F25" s="28"/>
      <c r="G25" s="28"/>
      <c r="H25" s="46"/>
      <c r="I25" s="29"/>
      <c r="J25" s="28"/>
      <c r="K25" s="28"/>
    </row>
    <row r="26" spans="1:11" ht="18.75" thickBot="1">
      <c r="A26" s="36" t="s">
        <v>94</v>
      </c>
      <c r="B26" s="98">
        <v>65</v>
      </c>
      <c r="C26" s="38" t="s">
        <v>138</v>
      </c>
      <c r="D26" s="99" t="s">
        <v>75</v>
      </c>
      <c r="E26" s="28"/>
      <c r="F26" s="28"/>
      <c r="G26" s="28"/>
      <c r="H26" s="28"/>
      <c r="I26" s="29"/>
      <c r="J26" s="28"/>
      <c r="K26" s="28"/>
    </row>
    <row r="27" spans="1:11" ht="18.75" thickBot="1">
      <c r="A27" s="36" t="s">
        <v>95</v>
      </c>
      <c r="B27" s="102">
        <f>Qu/Nb_bolt</f>
        <v>16.25</v>
      </c>
      <c r="C27" s="38" t="s">
        <v>78</v>
      </c>
      <c r="D27" s="97">
        <v>4</v>
      </c>
      <c r="E27" s="28" t="s">
        <v>0</v>
      </c>
      <c r="F27" s="48" t="str">
        <f>IF(w_weld&gt;=w_min_weld,"&gt;","&lt;")</f>
        <v>&gt;</v>
      </c>
      <c r="G27" s="49" t="s">
        <v>139</v>
      </c>
      <c r="H27" s="50">
        <f>IF(MIN(tw_beam,t_PL)&lt;=6,3,IF(MIN(tw_beam,t_PL)&lt;=13,5,IF(MIN(tw_beam,t_PL)&lt;=19,6,8)))</f>
        <v>3</v>
      </c>
      <c r="I27" s="51" t="s">
        <v>140</v>
      </c>
      <c r="K27" s="28"/>
    </row>
    <row r="28" spans="1:11" ht="18.75" thickBot="1">
      <c r="A28" s="27"/>
      <c r="B28" s="28"/>
      <c r="C28" s="38" t="s">
        <v>96</v>
      </c>
      <c r="D28" s="52">
        <f>L_PL</f>
        <v>210</v>
      </c>
      <c r="E28" s="28" t="s">
        <v>0</v>
      </c>
      <c r="F28" s="28"/>
      <c r="G28" s="28"/>
      <c r="H28" s="28"/>
      <c r="I28" s="100">
        <v>10</v>
      </c>
      <c r="J28" s="28"/>
      <c r="K28" s="28"/>
    </row>
    <row r="29" spans="1:11" ht="18">
      <c r="A29" s="27"/>
      <c r="B29" s="28"/>
      <c r="C29" s="38" t="s">
        <v>127</v>
      </c>
      <c r="D29" s="42">
        <f>VLOOKUP(Mat_weld,Weld_Electrodes_table,2,FALSE)</f>
        <v>482.63301050999996</v>
      </c>
      <c r="E29" s="53" t="s">
        <v>137</v>
      </c>
      <c r="F29" s="53"/>
      <c r="G29" s="28"/>
      <c r="H29" s="28"/>
      <c r="I29" s="29"/>
      <c r="J29" s="28"/>
      <c r="K29" s="28"/>
    </row>
    <row r="30" spans="1:11" ht="18">
      <c r="A30" s="27"/>
      <c r="B30" s="28"/>
      <c r="C30" s="49" t="s">
        <v>126</v>
      </c>
      <c r="D30" s="42">
        <f>0.6*F_EXX_weld</f>
        <v>289.57980630599997</v>
      </c>
      <c r="E30" s="53" t="s">
        <v>137</v>
      </c>
      <c r="F30" s="53"/>
      <c r="G30" s="28"/>
      <c r="H30" s="28"/>
      <c r="I30" s="29"/>
      <c r="J30" s="28"/>
      <c r="K30" s="28"/>
    </row>
    <row r="31" spans="1:11" ht="15">
      <c r="A31" s="54" t="s">
        <v>65</v>
      </c>
      <c r="B31" s="28"/>
      <c r="C31" s="28"/>
      <c r="D31" s="28"/>
      <c r="E31" s="28"/>
      <c r="F31" s="28"/>
      <c r="G31" s="28"/>
      <c r="H31" s="28"/>
      <c r="I31" s="29"/>
      <c r="J31" s="28"/>
      <c r="K31" s="28"/>
    </row>
    <row r="32" spans="1:11" ht="15">
      <c r="A32" s="36" t="s">
        <v>41</v>
      </c>
      <c r="B32" s="55">
        <v>0.75</v>
      </c>
      <c r="C32" s="28"/>
      <c r="D32" s="28"/>
      <c r="E32" s="28"/>
      <c r="F32" s="28"/>
      <c r="G32" s="28"/>
      <c r="H32" s="28"/>
      <c r="I32" s="29"/>
      <c r="J32" s="28"/>
      <c r="K32" s="28"/>
    </row>
    <row r="33" spans="1:11" ht="18">
      <c r="A33" s="56" t="s">
        <v>97</v>
      </c>
      <c r="B33" s="57" t="s">
        <v>98</v>
      </c>
      <c r="C33" s="58">
        <f>φ_bolt_shear*Fnv_bolt*Ab_bolt/1000</f>
        <v>111.96636217394023</v>
      </c>
      <c r="D33" s="28" t="s">
        <v>43</v>
      </c>
      <c r="E33" s="113" t="str">
        <f>IF(eq_j3_1&lt;Qu_bolt,"&lt; Qu/bolt NOT OK","&gt;Qu/bolt OK")</f>
        <v>&gt;Qu/bolt OK</v>
      </c>
      <c r="F33" s="113"/>
      <c r="G33" s="46"/>
      <c r="H33" s="46"/>
      <c r="I33" s="29"/>
      <c r="J33" s="28"/>
      <c r="K33" s="28"/>
    </row>
    <row r="34" spans="1:11" ht="15">
      <c r="A34" s="56"/>
      <c r="B34" s="57"/>
      <c r="C34" s="58"/>
      <c r="D34" s="28"/>
      <c r="E34" s="46"/>
      <c r="F34" s="46"/>
      <c r="G34" s="46"/>
      <c r="H34" s="46"/>
      <c r="I34" s="29"/>
      <c r="J34" s="28"/>
      <c r="K34" s="28"/>
    </row>
    <row r="35" spans="1:11" ht="15.75" thickBot="1">
      <c r="A35" s="54" t="s">
        <v>66</v>
      </c>
      <c r="B35" s="28"/>
      <c r="C35" s="28"/>
      <c r="D35" s="28"/>
      <c r="E35" s="28"/>
      <c r="F35" s="28"/>
      <c r="G35" s="28"/>
      <c r="H35" s="28"/>
      <c r="I35" s="29"/>
      <c r="J35" s="28"/>
      <c r="K35" s="28"/>
    </row>
    <row r="36" spans="1:11" ht="15.75" thickBot="1">
      <c r="A36" s="36" t="s">
        <v>41</v>
      </c>
      <c r="B36" s="55">
        <v>1</v>
      </c>
      <c r="C36" s="38" t="s">
        <v>51</v>
      </c>
      <c r="D36" s="97">
        <v>0.35</v>
      </c>
      <c r="E36" s="59" t="str">
        <f>VLOOKUP(µ,slip_coeff_table,2,FALSE)</f>
        <v>Class A surfaces</v>
      </c>
      <c r="F36" s="28"/>
      <c r="G36" s="28"/>
      <c r="H36" s="28"/>
      <c r="I36" s="29"/>
      <c r="J36" s="28"/>
      <c r="K36" s="28"/>
    </row>
    <row r="37" spans="1:11" ht="18.75" thickBot="1">
      <c r="A37" s="36" t="s">
        <v>99</v>
      </c>
      <c r="B37" s="97">
        <v>1.13</v>
      </c>
      <c r="C37" s="38" t="s">
        <v>100</v>
      </c>
      <c r="D37" s="97">
        <v>1</v>
      </c>
      <c r="E37" s="59" t="str">
        <f>VLOOKUP(h_sc,hole_factor_table,2,FALSE)</f>
        <v>standard size holes</v>
      </c>
      <c r="F37" s="28"/>
      <c r="G37" s="28"/>
      <c r="H37" s="28"/>
      <c r="I37" s="29"/>
      <c r="J37" s="28"/>
      <c r="K37" s="28"/>
    </row>
    <row r="38" spans="1:11" ht="18">
      <c r="A38" s="56" t="s">
        <v>97</v>
      </c>
      <c r="B38" s="60" t="s">
        <v>101</v>
      </c>
      <c r="C38" s="58">
        <f>IF(con_type="Slip-Critical Connection",φ_bolt_slip*µ*Du*h_sc*Tb_bolt*Ns_bolt,"N/A")</f>
        <v>81.07749999999999</v>
      </c>
      <c r="D38" s="28" t="s">
        <v>56</v>
      </c>
      <c r="E38" s="109" t="str">
        <f>IF(eq_j3_4="N/A","N/A For Bearing Con.",IF(eq_j3_4&lt;Qu_bolt,"&lt; Qu/bolt NOT OK","&gt;Qu/bolt OK"))</f>
        <v>&gt;Qu/bolt OK</v>
      </c>
      <c r="F38" s="109"/>
      <c r="G38" s="109"/>
      <c r="H38" s="61"/>
      <c r="I38" s="29"/>
      <c r="J38" s="28"/>
      <c r="K38" s="28"/>
    </row>
    <row r="39" spans="1:11" ht="15.75" thickBot="1">
      <c r="A39" s="85"/>
      <c r="B39" s="86"/>
      <c r="C39" s="87"/>
      <c r="D39" s="64"/>
      <c r="E39" s="88"/>
      <c r="F39" s="88"/>
      <c r="G39" s="88"/>
      <c r="H39" s="88"/>
      <c r="I39" s="65"/>
      <c r="J39" s="28"/>
      <c r="K39" s="28"/>
    </row>
    <row r="40" spans="1:11" ht="15">
      <c r="A40" s="66" t="s">
        <v>67</v>
      </c>
      <c r="B40" s="67"/>
      <c r="C40" s="67"/>
      <c r="D40" s="67"/>
      <c r="E40" s="67"/>
      <c r="F40" s="67"/>
      <c r="G40" s="67"/>
      <c r="H40" s="67"/>
      <c r="I40" s="68"/>
      <c r="J40" s="28"/>
      <c r="K40" s="28"/>
    </row>
    <row r="41" spans="1:11" ht="15">
      <c r="A41" s="36" t="s">
        <v>41</v>
      </c>
      <c r="B41" s="55">
        <v>0.75</v>
      </c>
      <c r="C41" s="28"/>
      <c r="D41" s="28"/>
      <c r="E41" s="28"/>
      <c r="F41" s="28"/>
      <c r="G41" s="28"/>
      <c r="H41" s="28"/>
      <c r="I41" s="29"/>
      <c r="J41" s="28"/>
      <c r="K41" s="28"/>
    </row>
    <row r="42" spans="1:11" ht="18">
      <c r="A42" s="36" t="s">
        <v>102</v>
      </c>
      <c r="B42" s="42">
        <f>Le_bolt-(d_bolt+2)/2</f>
        <v>17</v>
      </c>
      <c r="C42" s="28" t="s">
        <v>0</v>
      </c>
      <c r="D42" s="38" t="s">
        <v>103</v>
      </c>
      <c r="E42" s="42">
        <f>s_bolt-(d_bolt+2)</f>
        <v>24</v>
      </c>
      <c r="F42" s="28" t="s">
        <v>0</v>
      </c>
      <c r="G42" s="28"/>
      <c r="H42" s="28"/>
      <c r="I42" s="29"/>
      <c r="J42" s="28"/>
      <c r="K42" s="28"/>
    </row>
    <row r="43" spans="1:11" ht="18">
      <c r="A43" s="56" t="s">
        <v>104</v>
      </c>
      <c r="B43" s="112" t="s">
        <v>105</v>
      </c>
      <c r="C43" s="112"/>
      <c r="D43" s="112"/>
      <c r="E43" s="28"/>
      <c r="F43" s="28"/>
      <c r="G43" s="28"/>
      <c r="H43" s="28"/>
      <c r="I43" s="29"/>
      <c r="J43" s="28"/>
      <c r="K43" s="28"/>
    </row>
    <row r="44" spans="1:11" ht="15">
      <c r="A44" s="27"/>
      <c r="B44" s="62" t="str">
        <f>IF(con_type="Bearing-Type Connection",φ_bolt_bearing*MIN(1.2*Lc_edge*t_PL*Fu_PL,2.4*d_bolt*t_PL*Fu_PL)/1000,"N/A")</f>
        <v>N/A</v>
      </c>
      <c r="C44" s="28" t="s">
        <v>58</v>
      </c>
      <c r="D44" s="109" t="str">
        <f>IF(eq_J3_6a_edge="N/A","N/A for Slip Con.",IF(eq_J3_6a_edge&lt;Qu_bolt,"&lt; Qu/bolt NOT OK","&gt;Qu/bolt OK"))</f>
        <v>N/A for Slip Con.</v>
      </c>
      <c r="E44" s="109"/>
      <c r="F44" s="101"/>
      <c r="H44" s="61"/>
      <c r="I44" s="29"/>
      <c r="J44" s="28"/>
      <c r="K44" s="28"/>
    </row>
    <row r="45" spans="1:11" ht="18">
      <c r="A45" s="56" t="s">
        <v>106</v>
      </c>
      <c r="B45" s="112" t="s">
        <v>105</v>
      </c>
      <c r="C45" s="112"/>
      <c r="D45" s="112"/>
      <c r="E45" s="28"/>
      <c r="F45" s="28"/>
      <c r="G45" s="28"/>
      <c r="H45" s="28"/>
      <c r="I45" s="29"/>
      <c r="J45" s="28"/>
      <c r="K45" s="28"/>
    </row>
    <row r="46" spans="1:11" ht="15">
      <c r="A46" s="27"/>
      <c r="B46" s="62" t="str">
        <f>IF(con_type="Bearing-Type Connection",φ_bolt_bearing*MIN(1.2*Lc*t_PL*Fu_PL,2.4*d_bolt*t_PL*Fu_PL)/1000,"N/A")</f>
        <v>N/A</v>
      </c>
      <c r="C46" s="28" t="s">
        <v>58</v>
      </c>
      <c r="D46" s="109" t="str">
        <f>IF(eq_J3_6a_internal="N/A","N/A for Slip Con.",IF(eq_J3_6a_internal&lt;Qu_bolt,"&lt; Qu/bolt NOT OK","&gt;Qu/bolt OK"))</f>
        <v>N/A for Slip Con.</v>
      </c>
      <c r="E46" s="109"/>
      <c r="F46" s="101"/>
      <c r="H46" s="61"/>
      <c r="I46" s="29"/>
      <c r="J46" s="28"/>
      <c r="K46" s="28"/>
    </row>
    <row r="47" spans="1:11" ht="15">
      <c r="A47" s="27"/>
      <c r="B47" s="28"/>
      <c r="C47" s="28"/>
      <c r="D47" s="28"/>
      <c r="E47" s="28"/>
      <c r="F47" s="28"/>
      <c r="G47" s="28"/>
      <c r="H47" s="28"/>
      <c r="I47" s="29"/>
      <c r="J47" s="28"/>
      <c r="K47" s="28"/>
    </row>
    <row r="48" spans="1:11" ht="15">
      <c r="A48" s="54" t="s">
        <v>68</v>
      </c>
      <c r="B48" s="28"/>
      <c r="C48" s="28"/>
      <c r="D48" s="28"/>
      <c r="E48" s="28"/>
      <c r="F48" s="28"/>
      <c r="G48" s="28"/>
      <c r="H48" s="28"/>
      <c r="I48" s="29"/>
      <c r="J48" s="28"/>
      <c r="K48" s="28"/>
    </row>
    <row r="49" spans="1:11" ht="15">
      <c r="A49" s="36" t="s">
        <v>41</v>
      </c>
      <c r="B49" s="55">
        <v>0.75</v>
      </c>
      <c r="C49" s="28"/>
      <c r="D49" s="28"/>
      <c r="E49" s="28"/>
      <c r="F49" s="28"/>
      <c r="G49" s="28"/>
      <c r="H49" s="28"/>
      <c r="I49" s="29"/>
      <c r="J49" s="28"/>
      <c r="K49" s="28"/>
    </row>
    <row r="50" spans="1:11" ht="18">
      <c r="A50" s="36" t="s">
        <v>107</v>
      </c>
      <c r="B50" s="42">
        <f>L_PL*t_PL</f>
        <v>1680</v>
      </c>
      <c r="C50" s="28" t="s">
        <v>11</v>
      </c>
      <c r="D50" s="38" t="s">
        <v>108</v>
      </c>
      <c r="E50" s="42">
        <f>(L_PL-Nb_bolt*(d_bolt+2))*t_PL</f>
        <v>848</v>
      </c>
      <c r="F50" s="28" t="s">
        <v>11</v>
      </c>
      <c r="G50" s="28"/>
      <c r="H50" s="28"/>
      <c r="I50" s="29"/>
      <c r="J50" s="28"/>
      <c r="K50" s="28"/>
    </row>
    <row r="51" spans="1:11" ht="15">
      <c r="A51" s="69" t="s">
        <v>109</v>
      </c>
      <c r="B51" s="28"/>
      <c r="C51" s="28"/>
      <c r="D51" s="28"/>
      <c r="E51" s="28"/>
      <c r="F51" s="28"/>
      <c r="G51" s="28"/>
      <c r="H51" s="28"/>
      <c r="I51" s="29"/>
      <c r="J51" s="28"/>
      <c r="K51" s="28"/>
    </row>
    <row r="52" spans="1:11" ht="18">
      <c r="A52" s="56" t="s">
        <v>110</v>
      </c>
      <c r="B52" s="57" t="s">
        <v>111</v>
      </c>
      <c r="C52" s="58">
        <f>φ_PL_shear*0.6*Fy_PL*Agv_PL/1000</f>
        <v>188.99999999999997</v>
      </c>
      <c r="D52" s="28" t="s">
        <v>59</v>
      </c>
      <c r="E52" s="113" t="str">
        <f>IF(eq_j4_3&lt;Qu,"&lt; Qu NOT OK","&gt;Qu OK")</f>
        <v>&gt;Qu OK</v>
      </c>
      <c r="F52" s="113"/>
      <c r="G52" s="46"/>
      <c r="H52" s="46"/>
      <c r="I52" s="29"/>
      <c r="J52" s="28"/>
      <c r="K52" s="28"/>
    </row>
    <row r="53" spans="1:11" ht="15">
      <c r="A53" s="69" t="s">
        <v>112</v>
      </c>
      <c r="B53" s="28"/>
      <c r="C53" s="28"/>
      <c r="D53" s="28"/>
      <c r="E53" s="28"/>
      <c r="F53" s="28"/>
      <c r="G53" s="28"/>
      <c r="H53" s="28"/>
      <c r="I53" s="29"/>
      <c r="J53" s="28"/>
      <c r="K53" s="28"/>
    </row>
    <row r="54" spans="1:11" ht="18">
      <c r="A54" s="56" t="s">
        <v>110</v>
      </c>
      <c r="B54" s="57" t="s">
        <v>113</v>
      </c>
      <c r="C54" s="58">
        <f>φ_PL_shear*0.6*Fu_PL*Anv_PL/1000</f>
        <v>152.63999999999996</v>
      </c>
      <c r="D54" s="28" t="s">
        <v>60</v>
      </c>
      <c r="E54" s="113" t="str">
        <f>IF(eq_j4_4&lt;Qu,"&lt; Qu NOT OK","&gt;Qu OK")</f>
        <v>&gt;Qu OK</v>
      </c>
      <c r="F54" s="113"/>
      <c r="G54" s="46"/>
      <c r="H54" s="46"/>
      <c r="I54" s="29"/>
      <c r="J54" s="28"/>
      <c r="K54" s="28"/>
    </row>
    <row r="55" spans="1:11" ht="15">
      <c r="A55" s="27"/>
      <c r="B55" s="28"/>
      <c r="C55" s="28"/>
      <c r="D55" s="28"/>
      <c r="E55" s="28"/>
      <c r="F55" s="28"/>
      <c r="G55" s="28"/>
      <c r="H55" s="28"/>
      <c r="I55" s="29"/>
      <c r="J55" s="28"/>
      <c r="K55" s="28"/>
    </row>
    <row r="56" spans="1:11" ht="15.75" thickBot="1">
      <c r="A56" s="54" t="s">
        <v>69</v>
      </c>
      <c r="B56" s="28"/>
      <c r="C56" s="28"/>
      <c r="D56" s="28"/>
      <c r="E56" s="28"/>
      <c r="F56" s="28"/>
      <c r="G56" s="28"/>
      <c r="H56" s="28"/>
      <c r="I56" s="29"/>
      <c r="J56" s="28"/>
      <c r="K56" s="28"/>
    </row>
    <row r="57" spans="1:11" ht="18.75" thickBot="1">
      <c r="A57" s="36" t="s">
        <v>41</v>
      </c>
      <c r="B57" s="55">
        <v>0.75</v>
      </c>
      <c r="C57" s="28"/>
      <c r="D57" s="38" t="s">
        <v>114</v>
      </c>
      <c r="E57" s="97">
        <v>1</v>
      </c>
      <c r="F57" s="28"/>
      <c r="G57" s="28"/>
      <c r="H57" s="28"/>
      <c r="I57" s="29"/>
      <c r="J57" s="28"/>
      <c r="K57" s="28"/>
    </row>
    <row r="58" spans="1:11" ht="18">
      <c r="A58" s="36" t="s">
        <v>107</v>
      </c>
      <c r="B58" s="42">
        <f>t_PL*(L_PL-Le_bolt)</f>
        <v>1440</v>
      </c>
      <c r="C58" s="28" t="s">
        <v>11</v>
      </c>
      <c r="D58" s="38" t="s">
        <v>108</v>
      </c>
      <c r="E58" s="42">
        <f>t_PL*(L_PL-Le_bolt-(Nb_bolt-0.5)*(d_bolt+2))</f>
        <v>712</v>
      </c>
      <c r="F58" s="28" t="s">
        <v>11</v>
      </c>
      <c r="G58" s="28"/>
      <c r="H58" s="28"/>
      <c r="I58" s="29"/>
      <c r="J58" s="28"/>
      <c r="K58" s="28"/>
    </row>
    <row r="59" spans="1:11" ht="18">
      <c r="A59" s="36" t="s">
        <v>115</v>
      </c>
      <c r="B59" s="42">
        <f>t_PL*(Le_bolt-0.5*(d_bolt+2))</f>
        <v>136</v>
      </c>
      <c r="C59" s="28" t="s">
        <v>11</v>
      </c>
      <c r="D59" s="38"/>
      <c r="E59" s="42"/>
      <c r="F59" s="28"/>
      <c r="G59" s="28"/>
      <c r="H59" s="28"/>
      <c r="I59" s="29"/>
      <c r="J59" s="28"/>
      <c r="K59" s="28"/>
    </row>
    <row r="60" spans="1:11" ht="18">
      <c r="A60" s="56" t="s">
        <v>110</v>
      </c>
      <c r="B60" s="112" t="s">
        <v>116</v>
      </c>
      <c r="C60" s="112"/>
      <c r="D60" s="112"/>
      <c r="E60" s="112"/>
      <c r="F60" s="112"/>
      <c r="G60" s="70"/>
      <c r="H60" s="28"/>
      <c r="I60" s="29"/>
      <c r="J60" s="28"/>
      <c r="K60" s="28"/>
    </row>
    <row r="61" spans="1:11" ht="15">
      <c r="A61" s="27"/>
      <c r="B61" s="58">
        <f>φ_PL_block_shear*MIN(0.6*Fu_PL*Anv_PL_block+Ubs*Fu_PL*Ant_PL_block,0.6*Fy_PL*Agv_PL_block+Ubs*Fu_PL*Ant_PL_block)/1000</f>
        <v>168.96</v>
      </c>
      <c r="C61" s="28" t="s">
        <v>70</v>
      </c>
      <c r="D61" s="28"/>
      <c r="E61" s="113" t="str">
        <f>IF(eq_j4_5&lt;Qu,"&lt; Qu NOT OK","&gt;Qu OK")</f>
        <v>&gt;Qu OK</v>
      </c>
      <c r="F61" s="113"/>
      <c r="G61" s="46"/>
      <c r="H61" s="28"/>
      <c r="I61" s="29"/>
      <c r="J61" s="28"/>
      <c r="K61" s="28"/>
    </row>
    <row r="62" spans="1:11" ht="15">
      <c r="A62" s="27"/>
      <c r="B62" s="28"/>
      <c r="C62" s="28"/>
      <c r="D62" s="28"/>
      <c r="E62" s="28"/>
      <c r="F62" s="28"/>
      <c r="G62" s="28"/>
      <c r="H62" s="28"/>
      <c r="I62" s="29"/>
      <c r="J62" s="28"/>
      <c r="K62" s="28"/>
    </row>
    <row r="63" spans="1:11" ht="15">
      <c r="A63" s="54" t="s">
        <v>71</v>
      </c>
      <c r="B63" s="28"/>
      <c r="C63" s="28"/>
      <c r="D63" s="28"/>
      <c r="E63" s="28"/>
      <c r="F63" s="28"/>
      <c r="G63" s="28"/>
      <c r="H63" s="28"/>
      <c r="I63" s="29"/>
      <c r="J63" s="28"/>
      <c r="K63" s="28"/>
    </row>
    <row r="64" spans="1:11" ht="18">
      <c r="A64" s="36" t="s">
        <v>41</v>
      </c>
      <c r="B64" s="55">
        <v>0.75</v>
      </c>
      <c r="C64" s="38" t="s">
        <v>117</v>
      </c>
      <c r="D64" s="42">
        <f>Le_bolt+Clearance</f>
        <v>40</v>
      </c>
      <c r="E64" s="28" t="s">
        <v>0</v>
      </c>
      <c r="F64" s="38" t="s">
        <v>118</v>
      </c>
      <c r="G64" s="121">
        <f>ew_weld/1000</f>
        <v>0.04</v>
      </c>
      <c r="H64" s="121"/>
      <c r="I64" s="29" t="s">
        <v>42</v>
      </c>
      <c r="J64" s="28"/>
      <c r="K64" s="28"/>
    </row>
    <row r="65" spans="1:11" ht="18">
      <c r="A65" s="36" t="s">
        <v>119</v>
      </c>
      <c r="B65" s="28" t="s">
        <v>120</v>
      </c>
      <c r="C65" s="58">
        <f>2*0.707*w_weld*L_weld</f>
        <v>1187.76</v>
      </c>
      <c r="D65" s="28" t="s">
        <v>11</v>
      </c>
      <c r="E65" s="28"/>
      <c r="F65" s="28"/>
      <c r="G65" s="28"/>
      <c r="H65" s="28"/>
      <c r="I65" s="29"/>
      <c r="J65" s="28"/>
      <c r="K65" s="28"/>
    </row>
    <row r="66" spans="1:11" ht="18.75">
      <c r="A66" s="36" t="s">
        <v>121</v>
      </c>
      <c r="B66" s="28" t="s">
        <v>125</v>
      </c>
      <c r="C66" s="58">
        <f>2*0.707*w_weld*L_weld^3/12</f>
        <v>4365018</v>
      </c>
      <c r="D66" s="28" t="s">
        <v>79</v>
      </c>
      <c r="E66" s="28"/>
      <c r="F66" s="28"/>
      <c r="G66" s="28"/>
      <c r="H66" s="28"/>
      <c r="I66" s="29"/>
      <c r="J66" s="28"/>
      <c r="K66" s="28"/>
    </row>
    <row r="67" spans="1:11" ht="18">
      <c r="A67" s="36" t="s">
        <v>122</v>
      </c>
      <c r="B67" s="28" t="s">
        <v>128</v>
      </c>
      <c r="C67" s="71">
        <f>1000/Aw_weld</f>
        <v>0.8419209267865562</v>
      </c>
      <c r="D67" s="28" t="s">
        <v>25</v>
      </c>
      <c r="E67" s="28"/>
      <c r="F67" s="28"/>
      <c r="G67" s="28"/>
      <c r="H67" s="28"/>
      <c r="I67" s="29"/>
      <c r="J67" s="28"/>
      <c r="K67" s="28"/>
    </row>
    <row r="68" spans="1:11" ht="18">
      <c r="A68" s="36" t="s">
        <v>123</v>
      </c>
      <c r="B68" s="28" t="s">
        <v>124</v>
      </c>
      <c r="C68" s="71">
        <f>Mu_weld*10^5*(L_weld/2)/Iw_weld</f>
        <v>0.09621953448989214</v>
      </c>
      <c r="D68" s="28" t="s">
        <v>25</v>
      </c>
      <c r="E68" s="28"/>
      <c r="F68" s="28"/>
      <c r="G68" s="28"/>
      <c r="H68" s="28"/>
      <c r="I68" s="29"/>
      <c r="J68" s="28"/>
      <c r="K68" s="28"/>
    </row>
    <row r="69" spans="1:11" ht="24.75" customHeight="1">
      <c r="A69" s="72" t="s">
        <v>130</v>
      </c>
      <c r="B69" s="73" t="s">
        <v>80</v>
      </c>
      <c r="C69" s="71">
        <f>SQRT(fv_weld^2+ft_weld^2)/φ_PL_weld</f>
        <v>1.1298684649333381</v>
      </c>
      <c r="D69" s="28" t="s">
        <v>25</v>
      </c>
      <c r="E69" s="28"/>
      <c r="F69" s="28"/>
      <c r="G69" s="46"/>
      <c r="H69" s="28"/>
      <c r="I69" s="29"/>
      <c r="J69" s="28"/>
      <c r="K69" s="28"/>
    </row>
    <row r="70" spans="1:11" ht="18">
      <c r="A70" s="56" t="s">
        <v>129</v>
      </c>
      <c r="B70" s="74">
        <f>Fw_weld/fr_weld</f>
        <v>256.29514876590974</v>
      </c>
      <c r="C70" s="28" t="s">
        <v>131</v>
      </c>
      <c r="D70" s="113" t="str">
        <f>IF(eq_j2_4&lt;Qu,"&lt; Qu NOT OK","&gt;Qu OK")</f>
        <v>&gt;Qu OK</v>
      </c>
      <c r="E70" s="113"/>
      <c r="F70" s="28"/>
      <c r="G70" s="28"/>
      <c r="H70" s="28"/>
      <c r="I70" s="29"/>
      <c r="J70" s="28"/>
      <c r="K70" s="28"/>
    </row>
    <row r="71" spans="1:11" ht="15">
      <c r="A71" s="36"/>
      <c r="B71" s="28"/>
      <c r="C71" s="28"/>
      <c r="D71" s="28"/>
      <c r="E71" s="28"/>
      <c r="F71" s="28"/>
      <c r="G71" s="28"/>
      <c r="H71" s="28"/>
      <c r="I71" s="29"/>
      <c r="J71" s="28"/>
      <c r="K71" s="28"/>
    </row>
    <row r="72" spans="1:11" ht="15">
      <c r="A72" s="54" t="s">
        <v>132</v>
      </c>
      <c r="B72" s="28"/>
      <c r="C72" s="28"/>
      <c r="D72" s="28"/>
      <c r="E72" s="28"/>
      <c r="F72" s="28"/>
      <c r="G72" s="28"/>
      <c r="H72" s="28"/>
      <c r="I72" s="29"/>
      <c r="J72" s="28"/>
      <c r="K72" s="28"/>
    </row>
    <row r="73" spans="1:11" ht="15">
      <c r="A73" s="56" t="s">
        <v>133</v>
      </c>
      <c r="B73" s="114" t="str">
        <f>CONCATENATE("Plate   ",L_PL," X ",b_PL," X ",t_PL,"  mm,  ",Mat_PL)</f>
        <v>Plate   210 X 70 X 8  mm,  A36</v>
      </c>
      <c r="C73" s="114"/>
      <c r="D73" s="114"/>
      <c r="E73" s="114"/>
      <c r="F73" s="114"/>
      <c r="G73" s="114"/>
      <c r="H73" s="114"/>
      <c r="I73" s="29"/>
      <c r="J73" s="28"/>
      <c r="K73" s="28"/>
    </row>
    <row r="74" spans="1:11" ht="15">
      <c r="A74" s="56" t="s">
        <v>133</v>
      </c>
      <c r="B74" s="114" t="str">
        <f>CONCATENATE(Nb_bolt," Bolts ",d_bolt," mm diameter  ",bolt_d_type)</f>
        <v>4 Bolts 24 mm diameter  A325-N</v>
      </c>
      <c r="C74" s="114"/>
      <c r="D74" s="114"/>
      <c r="E74" s="114"/>
      <c r="F74" s="114"/>
      <c r="G74" s="114"/>
      <c r="H74" s="114"/>
      <c r="I74" s="29"/>
      <c r="J74" s="28"/>
      <c r="K74" s="28"/>
    </row>
    <row r="75" spans="1:11" ht="15.75" thickBot="1">
      <c r="A75" s="56" t="s">
        <v>133</v>
      </c>
      <c r="B75" s="114" t="str">
        <f>CONCATENATE(w_weld," mm ",Mat_weld," Fillet Weld with Length =  ",L_weld," mm both plate sides")</f>
        <v>4 mm E70XX Fillet Weld with Length =  210 mm both plate sides</v>
      </c>
      <c r="C75" s="114"/>
      <c r="D75" s="114"/>
      <c r="E75" s="114"/>
      <c r="F75" s="114"/>
      <c r="G75" s="114"/>
      <c r="H75" s="114"/>
      <c r="I75" s="29"/>
      <c r="J75" s="28"/>
      <c r="K75" s="28"/>
    </row>
    <row r="76" spans="1:11" ht="15.75" thickBot="1">
      <c r="A76" s="63"/>
      <c r="B76" s="104" t="str">
        <f>CONCATENATE("Connection Capacity = ",CEILING(MIN(eq_j3_1*Nb_bolt,IF(con_type="Slip-Critical Connection",eq_j3_4*Nb_bolt,eq_J3_6a_edge+eq_J3_6a_internal*(Nb_bolt-1)),eq_j4_3,eq_j4_4,eq_j4_5,eq_j2_4),0.01)," KN, As ",con_type)</f>
        <v>Connection Capacity = 152.64 KN, As Slip-Critical Connection</v>
      </c>
      <c r="C76" s="105"/>
      <c r="D76" s="105"/>
      <c r="E76" s="105"/>
      <c r="F76" s="105"/>
      <c r="G76" s="106"/>
      <c r="H76" s="84"/>
      <c r="I76" s="65"/>
      <c r="J76" s="28"/>
      <c r="K76" s="28"/>
    </row>
    <row r="77" spans="1:11" ht="1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0:11" ht="15">
      <c r="J91" s="28"/>
      <c r="K91" s="28"/>
    </row>
    <row r="92" spans="10:11" ht="15">
      <c r="J92" s="28"/>
      <c r="K92" s="28"/>
    </row>
    <row r="93" spans="10:11" ht="15">
      <c r="J93" s="28"/>
      <c r="K93" s="28"/>
    </row>
    <row r="94" spans="10:11" ht="15">
      <c r="J94" s="28"/>
      <c r="K94" s="28"/>
    </row>
    <row r="95" spans="10:11" ht="15">
      <c r="J95" s="28"/>
      <c r="K95" s="28"/>
    </row>
    <row r="96" spans="10:11" ht="15">
      <c r="J96" s="28"/>
      <c r="K96" s="28"/>
    </row>
    <row r="97" spans="10:11" ht="15">
      <c r="J97" s="28"/>
      <c r="K97" s="28"/>
    </row>
    <row r="98" spans="10:11" ht="15">
      <c r="J98" s="28"/>
      <c r="K98" s="28"/>
    </row>
    <row r="99" spans="10:11" ht="15">
      <c r="J99" s="28"/>
      <c r="K99" s="28"/>
    </row>
    <row r="100" spans="10:11" ht="15">
      <c r="J100" s="28"/>
      <c r="K100" s="28"/>
    </row>
    <row r="101" spans="10:11" ht="15">
      <c r="J101" s="28"/>
      <c r="K101" s="28"/>
    </row>
    <row r="102" spans="10:11" ht="15">
      <c r="J102" s="28"/>
      <c r="K102" s="28"/>
    </row>
    <row r="103" spans="10:11" ht="15">
      <c r="J103" s="28"/>
      <c r="K103" s="28"/>
    </row>
    <row r="104" spans="10:11" ht="15">
      <c r="J104" s="28"/>
      <c r="K104" s="28"/>
    </row>
    <row r="105" spans="10:11" ht="15">
      <c r="J105" s="28"/>
      <c r="K105" s="28"/>
    </row>
    <row r="106" spans="10:11" ht="15">
      <c r="J106" s="28"/>
      <c r="K106" s="28"/>
    </row>
    <row r="107" spans="10:11" ht="15">
      <c r="J107" s="28"/>
      <c r="K107" s="28"/>
    </row>
    <row r="108" spans="10:11" ht="15">
      <c r="J108" s="28"/>
      <c r="K108" s="28"/>
    </row>
    <row r="109" spans="10:11" ht="15">
      <c r="J109" s="28"/>
      <c r="K109" s="28"/>
    </row>
    <row r="110" spans="10:11" ht="15">
      <c r="J110" s="28"/>
      <c r="K110" s="28"/>
    </row>
    <row r="111" spans="10:11" ht="15">
      <c r="J111" s="28"/>
      <c r="K111" s="28"/>
    </row>
    <row r="112" ht="15">
      <c r="K112" s="28"/>
    </row>
    <row r="113" ht="15">
      <c r="K113" s="28"/>
    </row>
    <row r="114" ht="15">
      <c r="K114" s="28"/>
    </row>
    <row r="115" ht="15">
      <c r="K115" s="28"/>
    </row>
    <row r="116" ht="15">
      <c r="K116" s="28"/>
    </row>
    <row r="117" ht="15">
      <c r="K117" s="28"/>
    </row>
    <row r="118" ht="15">
      <c r="K118" s="28"/>
    </row>
    <row r="119" ht="15">
      <c r="K119" s="28"/>
    </row>
    <row r="120" ht="15">
      <c r="K120" s="28"/>
    </row>
    <row r="121" ht="15">
      <c r="K121" s="28"/>
    </row>
    <row r="122" ht="15">
      <c r="K122" s="28"/>
    </row>
    <row r="123" ht="15">
      <c r="K123" s="28"/>
    </row>
    <row r="124" ht="15">
      <c r="K124" s="28"/>
    </row>
    <row r="125" ht="15">
      <c r="K125" s="28"/>
    </row>
    <row r="126" ht="15">
      <c r="K126" s="28"/>
    </row>
    <row r="127" ht="15">
      <c r="K127" s="28"/>
    </row>
    <row r="128" ht="15">
      <c r="K128" s="28"/>
    </row>
    <row r="129" ht="15">
      <c r="K129" s="28"/>
    </row>
    <row r="130" ht="15">
      <c r="K130" s="28"/>
    </row>
    <row r="131" ht="15">
      <c r="K131" s="28"/>
    </row>
    <row r="132" ht="15">
      <c r="K132" s="28"/>
    </row>
    <row r="133" ht="15">
      <c r="K133" s="28"/>
    </row>
    <row r="134" ht="15">
      <c r="K134" s="28"/>
    </row>
    <row r="135" ht="15">
      <c r="K135" s="28"/>
    </row>
    <row r="136" ht="15">
      <c r="K136" s="28"/>
    </row>
  </sheetData>
  <sheetProtection password="CA9C" sheet="1" objects="1" scenarios="1"/>
  <mergeCells count="31">
    <mergeCell ref="J1:M6"/>
    <mergeCell ref="B75:H75"/>
    <mergeCell ref="G2:H2"/>
    <mergeCell ref="G3:H3"/>
    <mergeCell ref="G64:H64"/>
    <mergeCell ref="E61:F61"/>
    <mergeCell ref="F11:G11"/>
    <mergeCell ref="F12:G12"/>
    <mergeCell ref="E52:F52"/>
    <mergeCell ref="B16:C16"/>
    <mergeCell ref="E54:F54"/>
    <mergeCell ref="F9:G9"/>
    <mergeCell ref="F10:G10"/>
    <mergeCell ref="B73:H73"/>
    <mergeCell ref="D46:E46"/>
    <mergeCell ref="F21:G21"/>
    <mergeCell ref="F18:G18"/>
    <mergeCell ref="F19:G19"/>
    <mergeCell ref="F8:G8"/>
    <mergeCell ref="D70:E70"/>
    <mergeCell ref="F13:G13"/>
    <mergeCell ref="D44:E44"/>
    <mergeCell ref="B76:G76"/>
    <mergeCell ref="F20:G20"/>
    <mergeCell ref="E38:G38"/>
    <mergeCell ref="A1:H1"/>
    <mergeCell ref="B60:F60"/>
    <mergeCell ref="E33:F33"/>
    <mergeCell ref="B74:H74"/>
    <mergeCell ref="B43:D43"/>
    <mergeCell ref="B45:D45"/>
  </mergeCells>
  <conditionalFormatting sqref="E33:H34">
    <cfRule type="cellIs" priority="20" dxfId="15" operator="equal">
      <formula>"&lt; Qu/bolt NOT OK"</formula>
    </cfRule>
  </conditionalFormatting>
  <conditionalFormatting sqref="D44">
    <cfRule type="cellIs" priority="18" dxfId="15" operator="equal">
      <formula>"&lt; Qu/bolt NOT OK"</formula>
    </cfRule>
  </conditionalFormatting>
  <conditionalFormatting sqref="D44">
    <cfRule type="cellIs" priority="16" dxfId="16" operator="equal">
      <formula>"N/A for Slip Con."</formula>
    </cfRule>
  </conditionalFormatting>
  <conditionalFormatting sqref="D46">
    <cfRule type="cellIs" priority="15" dxfId="15" operator="equal">
      <formula>"&lt; Qu/bolt NOT OK"</formula>
    </cfRule>
  </conditionalFormatting>
  <conditionalFormatting sqref="D46">
    <cfRule type="cellIs" priority="14" dxfId="16" operator="equal">
      <formula>"N/A for Slip Con."</formula>
    </cfRule>
  </conditionalFormatting>
  <conditionalFormatting sqref="E38:E39">
    <cfRule type="cellIs" priority="13" dxfId="15" operator="equal">
      <formula>"&lt; Qu/bolt NOT OK"</formula>
    </cfRule>
  </conditionalFormatting>
  <conditionalFormatting sqref="E39:H39 E38">
    <cfRule type="cellIs" priority="12" dxfId="16" operator="equal">
      <formula>"N/A For Bearing Con."</formula>
    </cfRule>
  </conditionalFormatting>
  <conditionalFormatting sqref="E52:H52">
    <cfRule type="cellIs" priority="11" dxfId="15" operator="equal">
      <formula>"&lt; Qu NOT OK"</formula>
    </cfRule>
  </conditionalFormatting>
  <conditionalFormatting sqref="E54:H54">
    <cfRule type="cellIs" priority="9" dxfId="15" operator="equal">
      <formula>"&lt; Qu NOT OK"</formula>
    </cfRule>
  </conditionalFormatting>
  <conditionalFormatting sqref="F18">
    <cfRule type="cellIs" priority="8" dxfId="15" operator="equal">
      <formula>"mm &lt;Lemin"</formula>
    </cfRule>
  </conditionalFormatting>
  <conditionalFormatting sqref="F19 F21">
    <cfRule type="cellIs" priority="7" dxfId="15" operator="equal">
      <formula>"&gt;Smax"</formula>
    </cfRule>
  </conditionalFormatting>
  <conditionalFormatting sqref="F20">
    <cfRule type="cellIs" priority="5" dxfId="15" operator="equal">
      <formula>"mm &lt;Smin"</formula>
    </cfRule>
  </conditionalFormatting>
  <conditionalFormatting sqref="E61">
    <cfRule type="cellIs" priority="4" dxfId="15" operator="equal">
      <formula>"&lt; Qu NOT OK"</formula>
    </cfRule>
  </conditionalFormatting>
  <conditionalFormatting sqref="D70">
    <cfRule type="cellIs" priority="2" dxfId="15" operator="equal">
      <formula>"&lt; Qu NOT OK"</formula>
    </cfRule>
  </conditionalFormatting>
  <conditionalFormatting sqref="F27">
    <cfRule type="cellIs" priority="1" dxfId="15" operator="equal">
      <formula>"&lt;"</formula>
    </cfRule>
  </conditionalFormatting>
  <dataValidations count="8">
    <dataValidation type="list" allowBlank="1" showInputMessage="1" showErrorMessage="1" sqref="B18">
      <formula1>Bolt_size</formula1>
    </dataValidation>
    <dataValidation type="list" allowBlank="1" showInputMessage="1" showErrorMessage="1" sqref="B17">
      <formula1>Bolt_type</formula1>
    </dataValidation>
    <dataValidation type="list" allowBlank="1" showInputMessage="1" showErrorMessage="1" sqref="B11 D11">
      <formula1>Mat_Hot_rolled</formula1>
    </dataValidation>
    <dataValidation type="list" allowBlank="1" showInputMessage="1" showErrorMessage="1" sqref="H9">
      <formula1>Mat_Plates</formula1>
    </dataValidation>
    <dataValidation type="list" allowBlank="1" showInputMessage="1" showErrorMessage="1" sqref="B16">
      <formula1>con_type_table</formula1>
    </dataValidation>
    <dataValidation type="list" allowBlank="1" showInputMessage="1" showErrorMessage="1" sqref="D36">
      <formula1>slip_coeff</formula1>
    </dataValidation>
    <dataValidation type="list" allowBlank="1" showInputMessage="1" showErrorMessage="1" sqref="D37">
      <formula1>hole_factor</formula1>
    </dataValidation>
    <dataValidation type="list" allowBlank="1" showInputMessage="1" showErrorMessage="1" sqref="D26">
      <formula1>Weld_Electrodes</formula1>
    </dataValidation>
  </dataValidations>
  <hyperlinks>
    <hyperlink ref="J7" r:id="rId1" display="http://mohamedabushady.blogspot.com/"/>
  </hyperlinks>
  <printOptions/>
  <pageMargins left="0.7" right="0.7" top="0.75" bottom="0.75" header="0.3" footer="0.3"/>
  <pageSetup fitToWidth="2" horizontalDpi="600" verticalDpi="600" orientation="portrait" scale="99" r:id="rId5"/>
  <headerFooter>
    <oddFooter>&amp;L&amp;8Check of Shear Plate bolted connection according AISC360-05 (LRFD)&amp;CPage &amp;P of &amp;N&amp;RM.A.S.</oddFooter>
  </headerFooter>
  <rowBreaks count="1" manualBreakCount="1">
    <brk id="39" max="8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52">
      <selection activeCell="M20" sqref="M20"/>
    </sheetView>
  </sheetViews>
  <sheetFormatPr defaultColWidth="9.140625" defaultRowHeight="15"/>
  <cols>
    <col min="1" max="1" width="23.421875" style="0" customWidth="1"/>
    <col min="2" max="2" width="14.57421875" style="0" customWidth="1"/>
    <col min="3" max="3" width="11.28125" style="2" customWidth="1"/>
    <col min="4" max="4" width="9.57421875" style="2" customWidth="1"/>
    <col min="6" max="6" width="10.00390625" style="0" bestFit="1" customWidth="1"/>
    <col min="7" max="8" width="9.57421875" style="0" bestFit="1" customWidth="1"/>
  </cols>
  <sheetData>
    <row r="1" spans="1:7" ht="32.25" customHeight="1">
      <c r="A1" s="122" t="s">
        <v>20</v>
      </c>
      <c r="B1" s="122"/>
      <c r="C1" s="122"/>
      <c r="D1" s="122"/>
      <c r="E1" s="122"/>
      <c r="G1">
        <v>6.894757293</v>
      </c>
    </row>
    <row r="2" spans="1:6" ht="15">
      <c r="A2" t="s">
        <v>21</v>
      </c>
      <c r="B2" s="5" t="s">
        <v>12</v>
      </c>
      <c r="C2" s="5" t="s">
        <v>16</v>
      </c>
      <c r="D2" s="5" t="s">
        <v>17</v>
      </c>
      <c r="E2" s="5" t="s">
        <v>14</v>
      </c>
      <c r="F2" s="5" t="s">
        <v>15</v>
      </c>
    </row>
    <row r="3" spans="1:8" ht="15" customHeight="1">
      <c r="A3" s="123" t="s">
        <v>18</v>
      </c>
      <c r="B3" s="11" t="s">
        <v>13</v>
      </c>
      <c r="C3" s="12">
        <v>250</v>
      </c>
      <c r="D3" s="12">
        <v>400</v>
      </c>
      <c r="E3" s="11">
        <v>36</v>
      </c>
      <c r="F3" s="11">
        <v>58</v>
      </c>
      <c r="G3" s="7">
        <f aca="true" t="shared" si="0" ref="G3:H6">E3*$G$1</f>
        <v>248.21126254799998</v>
      </c>
      <c r="H3" s="7">
        <f t="shared" si="0"/>
        <v>399.895922994</v>
      </c>
    </row>
    <row r="4" spans="1:8" ht="15">
      <c r="A4" s="123"/>
      <c r="B4" s="11" t="s">
        <v>19</v>
      </c>
      <c r="C4" s="12">
        <v>345</v>
      </c>
      <c r="D4" s="12">
        <v>448</v>
      </c>
      <c r="E4" s="13">
        <v>50</v>
      </c>
      <c r="F4" s="13">
        <v>65</v>
      </c>
      <c r="G4" s="7">
        <f t="shared" si="0"/>
        <v>344.73786465</v>
      </c>
      <c r="H4" s="7">
        <f t="shared" si="0"/>
        <v>448.159224045</v>
      </c>
    </row>
    <row r="5" spans="1:8" ht="15">
      <c r="A5" s="123" t="s">
        <v>33</v>
      </c>
      <c r="B5" s="14" t="s">
        <v>13</v>
      </c>
      <c r="C5" s="15">
        <v>250</v>
      </c>
      <c r="D5" s="15">
        <v>400</v>
      </c>
      <c r="E5" s="14">
        <v>36</v>
      </c>
      <c r="F5" s="14">
        <v>58</v>
      </c>
      <c r="G5" s="7">
        <f t="shared" si="0"/>
        <v>248.21126254799998</v>
      </c>
      <c r="H5" s="7">
        <f t="shared" si="0"/>
        <v>399.895922994</v>
      </c>
    </row>
    <row r="6" spans="1:8" ht="15">
      <c r="A6" s="123"/>
      <c r="B6" s="14"/>
      <c r="C6" s="15"/>
      <c r="D6" s="15"/>
      <c r="E6" s="16"/>
      <c r="F6" s="16"/>
      <c r="G6" s="7">
        <f t="shared" si="0"/>
        <v>0</v>
      </c>
      <c r="H6" s="7">
        <f t="shared" si="0"/>
        <v>0</v>
      </c>
    </row>
    <row r="7" spans="1:8" ht="15">
      <c r="A7" s="10"/>
      <c r="G7" s="7"/>
      <c r="H7" s="7"/>
    </row>
    <row r="8" spans="1:8" ht="15">
      <c r="A8" s="10"/>
      <c r="G8" s="7"/>
      <c r="H8" s="7"/>
    </row>
    <row r="9" spans="1:8" ht="15">
      <c r="A9" s="10"/>
      <c r="B9" t="s">
        <v>9</v>
      </c>
      <c r="G9" s="7"/>
      <c r="H9" s="7"/>
    </row>
    <row r="10" spans="1:8" ht="30.75" customHeight="1">
      <c r="A10" s="10"/>
      <c r="B10" s="124" t="s">
        <v>10</v>
      </c>
      <c r="C10" s="124"/>
      <c r="D10" s="124"/>
      <c r="G10" s="7"/>
      <c r="H10" s="7"/>
    </row>
    <row r="11" spans="1:8" ht="15" customHeight="1">
      <c r="A11" s="10"/>
      <c r="B11" s="17" t="s">
        <v>1</v>
      </c>
      <c r="C11" s="17" t="s">
        <v>38</v>
      </c>
      <c r="D11" s="17" t="s">
        <v>2</v>
      </c>
      <c r="G11" s="7"/>
      <c r="H11" s="7"/>
    </row>
    <row r="12" spans="1:8" ht="15">
      <c r="A12" s="10"/>
      <c r="B12" s="18" t="s">
        <v>8</v>
      </c>
      <c r="C12" s="19">
        <v>310</v>
      </c>
      <c r="D12" s="19">
        <v>165</v>
      </c>
      <c r="G12" s="7"/>
      <c r="H12" s="7"/>
    </row>
    <row r="13" spans="2:4" ht="15">
      <c r="B13" s="1" t="s">
        <v>34</v>
      </c>
      <c r="C13" s="4">
        <v>620</v>
      </c>
      <c r="D13" s="4">
        <v>414</v>
      </c>
    </row>
    <row r="14" spans="2:4" ht="15">
      <c r="B14" s="1" t="s">
        <v>35</v>
      </c>
      <c r="C14" s="9">
        <v>620</v>
      </c>
      <c r="D14" s="9">
        <v>330</v>
      </c>
    </row>
    <row r="15" spans="2:4" ht="15">
      <c r="B15" s="18" t="s">
        <v>36</v>
      </c>
      <c r="C15" s="19">
        <v>780</v>
      </c>
      <c r="D15" s="19">
        <v>520</v>
      </c>
    </row>
    <row r="16" spans="1:8" ht="15">
      <c r="A16" s="10"/>
      <c r="B16" s="18" t="s">
        <v>37</v>
      </c>
      <c r="C16" s="19">
        <v>780</v>
      </c>
      <c r="D16" s="19">
        <v>414</v>
      </c>
      <c r="G16" s="7"/>
      <c r="H16" s="7"/>
    </row>
    <row r="17" spans="7:8" ht="15">
      <c r="G17" s="7"/>
      <c r="H17" s="7"/>
    </row>
    <row r="18" ht="15">
      <c r="B18" t="s">
        <v>44</v>
      </c>
    </row>
    <row r="19" spans="2:4" ht="15">
      <c r="B19" s="21" t="s">
        <v>46</v>
      </c>
      <c r="D19"/>
    </row>
    <row r="20" spans="2:4" ht="15">
      <c r="B20" s="21" t="s">
        <v>45</v>
      </c>
      <c r="D20"/>
    </row>
    <row r="21" ht="15"/>
    <row r="22" ht="15">
      <c r="B22" t="s">
        <v>50</v>
      </c>
    </row>
    <row r="23" spans="2:4" ht="15">
      <c r="B23" s="9">
        <v>0.35</v>
      </c>
      <c r="C23" s="1" t="s">
        <v>48</v>
      </c>
      <c r="D23"/>
    </row>
    <row r="24" spans="2:4" ht="15">
      <c r="B24" s="9">
        <v>0.5</v>
      </c>
      <c r="C24" s="1" t="s">
        <v>49</v>
      </c>
      <c r="D24"/>
    </row>
    <row r="25" spans="2:6" ht="15">
      <c r="B25" t="s">
        <v>52</v>
      </c>
      <c r="F25" s="1"/>
    </row>
    <row r="26" spans="2:3" ht="15">
      <c r="B26" s="20">
        <v>1</v>
      </c>
      <c r="C26" s="22" t="s">
        <v>53</v>
      </c>
    </row>
    <row r="27" spans="2:3" ht="17.25" customHeight="1">
      <c r="B27" s="20">
        <v>0.85</v>
      </c>
      <c r="C27" s="22" t="s">
        <v>54</v>
      </c>
    </row>
    <row r="28" spans="2:3" ht="15">
      <c r="B28" s="20">
        <v>0.7</v>
      </c>
      <c r="C28" s="22" t="s">
        <v>55</v>
      </c>
    </row>
    <row r="29" ht="15">
      <c r="B29" t="s">
        <v>3</v>
      </c>
    </row>
    <row r="30" ht="15">
      <c r="B30" t="s">
        <v>4</v>
      </c>
    </row>
    <row r="31" spans="2:4" ht="30">
      <c r="B31" s="6" t="s">
        <v>5</v>
      </c>
      <c r="C31" s="6" t="s">
        <v>6</v>
      </c>
      <c r="D31" s="6" t="s">
        <v>7</v>
      </c>
    </row>
    <row r="32" spans="2:4" ht="15">
      <c r="B32" s="20">
        <v>16</v>
      </c>
      <c r="C32" s="20">
        <v>91</v>
      </c>
      <c r="D32" s="20">
        <v>114</v>
      </c>
    </row>
    <row r="33" spans="2:4" ht="15">
      <c r="B33" s="20">
        <v>20</v>
      </c>
      <c r="C33" s="20">
        <v>142</v>
      </c>
      <c r="D33" s="20">
        <v>179</v>
      </c>
    </row>
    <row r="34" spans="2:4" ht="15">
      <c r="B34" s="20">
        <v>22</v>
      </c>
      <c r="C34" s="20">
        <v>176</v>
      </c>
      <c r="D34" s="20">
        <v>221</v>
      </c>
    </row>
    <row r="35" spans="2:4" ht="15">
      <c r="B35" s="20">
        <v>24</v>
      </c>
      <c r="C35" s="20">
        <v>205</v>
      </c>
      <c r="D35" s="20">
        <v>257</v>
      </c>
    </row>
    <row r="36" spans="2:4" ht="15">
      <c r="B36" s="20">
        <v>27</v>
      </c>
      <c r="C36" s="20">
        <v>267</v>
      </c>
      <c r="D36" s="20">
        <v>334</v>
      </c>
    </row>
    <row r="37" spans="2:4" ht="15">
      <c r="B37" s="20">
        <v>30</v>
      </c>
      <c r="C37" s="20">
        <v>326</v>
      </c>
      <c r="D37" s="20">
        <v>408</v>
      </c>
    </row>
    <row r="38" spans="2:4" ht="15">
      <c r="B38" s="20">
        <v>36</v>
      </c>
      <c r="C38" s="20">
        <v>475</v>
      </c>
      <c r="D38" s="20">
        <v>595</v>
      </c>
    </row>
    <row r="39" ht="15"/>
    <row r="40" ht="18" customHeight="1">
      <c r="B40" t="s">
        <v>61</v>
      </c>
    </row>
    <row r="41" ht="15">
      <c r="B41" t="s">
        <v>62</v>
      </c>
    </row>
    <row r="42" spans="2:4" ht="32.25" customHeight="1">
      <c r="B42" s="3" t="s">
        <v>63</v>
      </c>
      <c r="C42" s="8" t="s">
        <v>64</v>
      </c>
      <c r="D42" s="23"/>
    </row>
    <row r="43" spans="2:4" ht="15">
      <c r="B43" s="20">
        <v>16</v>
      </c>
      <c r="C43" s="20">
        <v>28</v>
      </c>
      <c r="D43" s="5"/>
    </row>
    <row r="44" spans="2:4" ht="15">
      <c r="B44" s="20">
        <v>20</v>
      </c>
      <c r="C44" s="20">
        <v>34</v>
      </c>
      <c r="D44" s="5"/>
    </row>
    <row r="45" spans="2:4" ht="15">
      <c r="B45" s="20">
        <v>22</v>
      </c>
      <c r="C45" s="20">
        <v>38</v>
      </c>
      <c r="D45" s="5"/>
    </row>
    <row r="46" spans="2:4" ht="15">
      <c r="B46" s="20">
        <v>24</v>
      </c>
      <c r="C46" s="20">
        <v>42</v>
      </c>
      <c r="D46" s="5"/>
    </row>
    <row r="47" spans="2:4" ht="15">
      <c r="B47" s="20">
        <v>27</v>
      </c>
      <c r="C47" s="20">
        <v>48</v>
      </c>
      <c r="D47" s="5"/>
    </row>
    <row r="48" spans="2:4" ht="15">
      <c r="B48" s="20">
        <v>30</v>
      </c>
      <c r="C48" s="20">
        <v>52</v>
      </c>
      <c r="D48" s="5"/>
    </row>
    <row r="49" spans="2:4" ht="15">
      <c r="B49" s="20">
        <v>36</v>
      </c>
      <c r="C49" s="20">
        <v>64</v>
      </c>
      <c r="D49" s="5"/>
    </row>
    <row r="50" ht="15"/>
    <row r="51" ht="15">
      <c r="B51" t="s">
        <v>73</v>
      </c>
    </row>
    <row r="52" spans="2:4" ht="15">
      <c r="B52" s="1" t="s">
        <v>23</v>
      </c>
      <c r="C52" s="9" t="s">
        <v>77</v>
      </c>
      <c r="D52" s="9" t="s">
        <v>15</v>
      </c>
    </row>
    <row r="53" spans="2:4" ht="15">
      <c r="B53" s="1" t="s">
        <v>74</v>
      </c>
      <c r="C53" s="24">
        <f>D53*$G$1</f>
        <v>413.68543758</v>
      </c>
      <c r="D53" s="9">
        <v>60</v>
      </c>
    </row>
    <row r="54" spans="2:4" ht="15">
      <c r="B54" s="1" t="s">
        <v>75</v>
      </c>
      <c r="C54" s="24">
        <f>D54*$G$1</f>
        <v>482.63301050999996</v>
      </c>
      <c r="D54" s="9">
        <v>70</v>
      </c>
    </row>
    <row r="55" spans="2:4" ht="15">
      <c r="B55" s="1" t="s">
        <v>76</v>
      </c>
      <c r="C55" s="24">
        <f>D55*$G$1</f>
        <v>551.5805834399999</v>
      </c>
      <c r="D55" s="9">
        <v>80</v>
      </c>
    </row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</sheetData>
  <sheetProtection password="CA9C" sheet="1" objects="1" scenarios="1"/>
  <mergeCells count="4">
    <mergeCell ref="A1:E1"/>
    <mergeCell ref="A3:A4"/>
    <mergeCell ref="A5:A6"/>
    <mergeCell ref="B10:D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D12" sqref="D12"/>
    </sheetView>
  </sheetViews>
  <sheetFormatPr defaultColWidth="9.140625" defaultRowHeight="15"/>
  <sheetData>
    <row r="1" ht="18.75">
      <c r="A1" s="103" t="s">
        <v>156</v>
      </c>
    </row>
    <row r="2" ht="15">
      <c r="A2" t="s">
        <v>157</v>
      </c>
    </row>
    <row r="3" ht="15">
      <c r="A3" t="s">
        <v>158</v>
      </c>
    </row>
    <row r="4" ht="15">
      <c r="B4" t="s">
        <v>159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2015-02-23T10:41:12Z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