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E:\Engenharia\Excel\Engenharia AISC\"/>
    </mc:Choice>
  </mc:AlternateContent>
  <bookViews>
    <workbookView xWindow="480" yWindow="135" windowWidth="18240" windowHeight="11790"/>
  </bookViews>
  <sheets>
    <sheet name="Single-Plate Connections" sheetId="1" r:id="rId1"/>
    <sheet name="Conversão de Unidades" sheetId="2" r:id="rId2"/>
  </sheets>
  <functionGroups builtInGroupCount="18"/>
  <definedNames>
    <definedName name="a">'Single-Plate Connections'!$E$23</definedName>
    <definedName name="Ab">'Single-Plate Connections'!$Y$12</definedName>
    <definedName name="Ae">'Single-Plate Connections'!$G$51</definedName>
    <definedName name="Aea">'Single-Plate Connections'!$S$51</definedName>
    <definedName name="Aep">'Single-Plate Connections'!$M$51</definedName>
    <definedName name="Aepa">'Single-Plate Connections'!$Y$51</definedName>
    <definedName name="Afi">'Single-Plate Connections'!$C$70</definedName>
    <definedName name="Ag">'Single-Plate Connections'!$D$49</definedName>
    <definedName name="Aga">'Single-Plate Connections'!$P$49</definedName>
    <definedName name="AgL">'Single-Plate Connections'!$E$35</definedName>
    <definedName name="Agp">'Single-Plate Connections'!$J$49</definedName>
    <definedName name="Agpa">'Single-Plate Connections'!$V$49</definedName>
    <definedName name="Agpaf">'Single-Plate Connections'!$V$72</definedName>
    <definedName name="Agt">'Single-Plate Connections'!$D$56</definedName>
    <definedName name="Agta">'Single-Plate Connections'!$P$56</definedName>
    <definedName name="Agtae">'Single-Plate Connections'!$P$62</definedName>
    <definedName name="Agtp">'Single-Plate Connections'!$J$56</definedName>
    <definedName name="Agtpa">'Single-Plate Connections'!$V$56</definedName>
    <definedName name="Agtpae">'Single-Plate Connections'!$V$62</definedName>
    <definedName name="Agv">'Single-Plate Connections'!$D$57</definedName>
    <definedName name="Agva">'Single-Plate Connections'!$P$57</definedName>
    <definedName name="Agvae">'Single-Plate Connections'!$P$63</definedName>
    <definedName name="Agvp">'Single-Plate Connections'!$J$57</definedName>
    <definedName name="Agvpa">'Single-Plate Connections'!$V$57</definedName>
    <definedName name="Agvpae">'Single-Plate Connections'!$V$63</definedName>
    <definedName name="Ant">'Single-Plate Connections'!$G$56</definedName>
    <definedName name="Anta">'Single-Plate Connections'!$S$56</definedName>
    <definedName name="Antae">'Single-Plate Connections'!$S$62</definedName>
    <definedName name="Antp">'Single-Plate Connections'!$M$56</definedName>
    <definedName name="Antpa">'Single-Plate Connections'!$Y$56</definedName>
    <definedName name="Antpae">'Single-Plate Connections'!$Y$62</definedName>
    <definedName name="Anv">'Single-Plate Connections'!$G$57</definedName>
    <definedName name="Anva">'Single-Plate Connections'!$S$57</definedName>
    <definedName name="Anvae">'Single-Plate Connections'!$S$63</definedName>
    <definedName name="Anvp">'Single-Plate Connections'!$M$57</definedName>
    <definedName name="Anvpa">'Single-Plate Connections'!$Y$57</definedName>
    <definedName name="Anvpae">'Single-Plate Connections'!$Y$63</definedName>
    <definedName name="_xlnm.Print_Area" localSheetId="0">'Single-Plate Connections'!$A$1:$Z$99</definedName>
    <definedName name="Awn">'Single-Plate Connections'!$C$69</definedName>
    <definedName name="bfi">'Single-Plate Connections'!$B$14</definedName>
    <definedName name="bfs">'Single-Plate Connections'!$B$12</definedName>
    <definedName name="Clinha">'Single-Plate Connections'!$E$195</definedName>
    <definedName name="coefC">'Single-Plate Connections'!$E$193</definedName>
    <definedName name="Config">'Single-Plate Connections'!$U$24</definedName>
    <definedName name="d">'Single-Plate Connections'!$B$11</definedName>
    <definedName name="db">'Single-Plate Connections'!$F$27</definedName>
    <definedName name="dbmm">'Single-Plate Connections'!$B$7</definedName>
    <definedName name="dbSI">'Single-Plate Connections'!$V$12</definedName>
    <definedName name="dc">'Single-Plate Connections'!$E$14</definedName>
    <definedName name="de">'Single-Plate Connections'!$S$16</definedName>
    <definedName name="deh">'Single-Plate Connections'!$B$26</definedName>
    <definedName name="delta">'Single-Plate Connections'!$X$43</definedName>
    <definedName name="DELTAmax">'Single-Plate Connections'!$E$190</definedName>
    <definedName name="dev">'Single-Plate Connections'!$B$25</definedName>
    <definedName name="df">'Single-Plate Connections'!$E$28</definedName>
    <definedName name="dfi">'Single-Plate Connections'!$L$70</definedName>
    <definedName name="dfs">'Single-Plate Connections'!$E$24</definedName>
    <definedName name="dh">'Single-Plate Connections'!$B$182</definedName>
    <definedName name="di">'Single-Plate Connections'!$S$15</definedName>
    <definedName name="dih">'Single-Plate Connections'!$B$24</definedName>
    <definedName name="div">'Single-Plate Connections'!$B$23</definedName>
    <definedName name="dmax">'Single-Plate Connections'!$E$188</definedName>
    <definedName name="dp">'Single-Plate Connections'!$E$32</definedName>
    <definedName name="dpf">'Single-Plate Connections'!$Y$71</definedName>
    <definedName name="dv">'Single-Plate Connections'!$B$181</definedName>
    <definedName name="dw">'Single-Plate Connections'!$L$69</definedName>
    <definedName name="dwt">'Single-Plate Connections'!$V$71</definedName>
    <definedName name="e">'Single-Plate Connections'!$E$15</definedName>
    <definedName name="ep">'Single-Plate Connections'!$E$26</definedName>
    <definedName name="Erro">'Single-Plate Connections'!$E$192</definedName>
    <definedName name="ex">'Single-Plate Connections'!$B$183</definedName>
    <definedName name="f">'Single-Plate Connections'!$B$74</definedName>
    <definedName name="Fcr">'Single-Plate Connections'!$Q$73</definedName>
    <definedName name="Fcrp">'Single-Plate Connections'!$J$88</definedName>
    <definedName name="fd">'Single-Plate Connections'!$D$79</definedName>
    <definedName name="Fn">'Single-Plate Connections'!$V$13</definedName>
    <definedName name="folga">'Single-Plate Connections'!$E$25</definedName>
    <definedName name="Fu">'Single-Plate Connections'!$C$18</definedName>
    <definedName name="Fup">'Single-Plate Connections'!$C$34</definedName>
    <definedName name="Fy">'Single-Plate Connections'!$C$17</definedName>
    <definedName name="FyL">'Single-Plate Connections'!$D$25</definedName>
    <definedName name="Fyp">'Single-Plate Connections'!$C$33</definedName>
    <definedName name="g">'Single-Plate Connections'!#REF!</definedName>
    <definedName name="ho">'Single-Plate Connections'!$B$73</definedName>
    <definedName name="Ixn">'Single-Plate Connections'!$Q$69</definedName>
    <definedName name="k">'Single-Plate Connections'!$D$74</definedName>
    <definedName name="lambda">'Single-Plate Connections'!$K$80</definedName>
    <definedName name="lambdap">'Single-Plate Connections'!$I$87</definedName>
    <definedName name="Lce">'Single-Plate Connections'!$G$52</definedName>
    <definedName name="Lcea">'Single-Plate Connections'!$S$52</definedName>
    <definedName name="Lcep">'Single-Plate Connections'!$M$52</definedName>
    <definedName name="Lcepa">'Single-Plate Connections'!$Y$52</definedName>
    <definedName name="Lci">'Single-Plate Connections'!$D$52</definedName>
    <definedName name="Lcia">'Single-Plate Connections'!$P$52</definedName>
    <definedName name="Lcip">'Single-Plate Connections'!$J$52</definedName>
    <definedName name="Lcipa">'Single-Plate Connections'!$V$52</definedName>
    <definedName name="Mdp">'Single-Plate Connections'!$R$34</definedName>
    <definedName name="Mdv">'Single-Plate Connections'!$O$34</definedName>
    <definedName name="Mmax">'Single-Plate Connections'!$X$32</definedName>
    <definedName name="Nd">'Single-Plate Connections'!$L$34</definedName>
    <definedName name="nlp">'Single-Plate Connections'!$F$21</definedName>
    <definedName name="np">'Single-Plate Connections'!$E$181</definedName>
    <definedName name="npl">'Single-Plate Connections'!$F$22</definedName>
    <definedName name="Pd">'Single-Plate Connections'!$X$42</definedName>
    <definedName name="Perfil">'Single-Plate Connections'!$D$10</definedName>
    <definedName name="Pn">'Single-Plate Connections'!$E$191</definedName>
    <definedName name="Q">'Single-Plate Connections'!$T$80</definedName>
    <definedName name="Qp">'Single-Plate Connections'!$R$87</definedName>
    <definedName name="r0">'Single-Plate Connections'!$E$184</definedName>
    <definedName name="Rb">'Single-Plate Connections'!$X$14</definedName>
    <definedName name="rec">'Single-Plate Connections'!$E$13</definedName>
    <definedName name="Rult">'Single-Plate Connections'!$E$189</definedName>
    <definedName name="tfi">'Single-Plate Connections'!$B$15</definedName>
    <definedName name="tfs">'Single-Plate Connections'!$B$13</definedName>
    <definedName name="Tipo">'Single-Plate Connections'!$C$27</definedName>
    <definedName name="TipoLig">'Single-Plate Connections'!$U$20</definedName>
    <definedName name="TipoRec">'Single-Plate Connections'!$D$12</definedName>
    <definedName name="_xlnm.Print_Titles" localSheetId="0">'Single-Plate Connections'!$1:$9</definedName>
    <definedName name="tL">'Single-Plate Connections'!$D$23</definedName>
    <definedName name="tmaxp">'Single-Plate Connections'!$W$34</definedName>
    <definedName name="tmaxv">'Single-Plate Connections'!$W$33</definedName>
    <definedName name="tp">'Single-Plate Connections'!$B$32</definedName>
    <definedName name="tw">'Single-Plate Connections'!$B$16</definedName>
    <definedName name="U">'Single-Plate Connections'!$D$51</definedName>
    <definedName name="Ua">'Single-Plate Connections'!$P$51</definedName>
    <definedName name="Ubs">'Single-Plate Connections'!$D$58</definedName>
    <definedName name="Ubsa">'Single-Plate Connections'!$P$58</definedName>
    <definedName name="Ubsae">'Single-Plate Connections'!$P$64</definedName>
    <definedName name="Ubsp">'Single-Plate Connections'!$J$58</definedName>
    <definedName name="Ubspa">'Single-Plate Connections'!$V$58</definedName>
    <definedName name="Ubspae">'Single-Plate Connections'!$V$64</definedName>
    <definedName name="Up">'Single-Plate Connections'!$J$51</definedName>
    <definedName name="Upa">'Single-Plate Connections'!$V$51</definedName>
    <definedName name="Vd">'Single-Plate Connections'!$I$34</definedName>
    <definedName name="wxn">'Single-Plate Connections'!$Q$70</definedName>
    <definedName name="xCG">'Single-Plate Connections'!$E$182</definedName>
    <definedName name="xCI">'Single-Plate Connections'!$E$185</definedName>
    <definedName name="yCG">'Single-Plate Connections'!$E$183</definedName>
    <definedName name="YCGfi">'Single-Plate Connections'!$H$70</definedName>
    <definedName name="YCGn">'Single-Plate Connections'!$H$71</definedName>
    <definedName name="YCGw">'Single-Plate Connections'!$H$69</definedName>
    <definedName name="yCI">'Single-Plate Connections'!$E$186</definedName>
    <definedName name="Znet">'Single-Plate Connections'!$B$87</definedName>
    <definedName name="Zplp">'Single-Plate Connections'!$B$84</definedName>
  </definedNames>
  <calcPr calcId="152511" fullCalcOnLoad="1"/>
</workbook>
</file>

<file path=xl/calcChain.xml><?xml version="1.0" encoding="utf-8"?>
<calcChain xmlns="http://schemas.openxmlformats.org/spreadsheetml/2006/main">
  <c r="E195" i="1" l="1"/>
  <c r="Y30" i="1" s="1"/>
  <c r="U205" i="1"/>
  <c r="S205" i="1"/>
  <c r="Q205" i="1"/>
  <c r="W205" i="1"/>
  <c r="E188" i="1"/>
  <c r="E23" i="1"/>
  <c r="S67" i="1"/>
  <c r="S66" i="1"/>
  <c r="S65" i="1"/>
  <c r="S63" i="1"/>
  <c r="S62" i="1"/>
  <c r="P63" i="1"/>
  <c r="P62" i="1"/>
  <c r="V62" i="1"/>
  <c r="Y62" i="1" s="1"/>
  <c r="X81" i="1"/>
  <c r="W80" i="1"/>
  <c r="W79" i="1"/>
  <c r="Y78" i="1"/>
  <c r="Y77" i="1"/>
  <c r="Y76" i="1"/>
  <c r="Y75" i="1"/>
  <c r="V76" i="1"/>
  <c r="V75" i="1"/>
  <c r="Y73" i="1"/>
  <c r="Y71" i="1"/>
  <c r="V72" i="1"/>
  <c r="V71" i="1"/>
  <c r="P56" i="1"/>
  <c r="S56" i="1" s="1"/>
  <c r="S52" i="1"/>
  <c r="R53" i="1" s="1"/>
  <c r="P52" i="1"/>
  <c r="P51" i="1"/>
  <c r="P49" i="1"/>
  <c r="S48" i="1" s="1"/>
  <c r="E38" i="1" s="1"/>
  <c r="F38" i="1" s="1"/>
  <c r="C69" i="1"/>
  <c r="V52" i="1"/>
  <c r="R42" i="1"/>
  <c r="Q42" i="1"/>
  <c r="R39" i="1"/>
  <c r="Q39" i="1"/>
  <c r="X43" i="1"/>
  <c r="AB32" i="1"/>
  <c r="G52" i="1"/>
  <c r="D52" i="1"/>
  <c r="F53" i="1"/>
  <c r="D49" i="1"/>
  <c r="G51" i="1" s="1"/>
  <c r="G50" i="1" s="1"/>
  <c r="E39" i="1" s="1"/>
  <c r="F39" i="1" s="1"/>
  <c r="E28" i="1"/>
  <c r="C34" i="1"/>
  <c r="E88" i="1" s="1"/>
  <c r="C33" i="1"/>
  <c r="M48" i="1" s="1"/>
  <c r="E18" i="2"/>
  <c r="Y44" i="1" s="1"/>
  <c r="E6" i="2"/>
  <c r="B25" i="1"/>
  <c r="X42" i="1"/>
  <c r="V13" i="1"/>
  <c r="E25" i="1"/>
  <c r="P57" i="1" s="1"/>
  <c r="B23" i="1"/>
  <c r="A29" i="1" s="1"/>
  <c r="D58" i="1"/>
  <c r="R106" i="1"/>
  <c r="R108" i="1" s="1"/>
  <c r="R105" i="1"/>
  <c r="R104" i="1"/>
  <c r="R103" i="1"/>
  <c r="R102" i="1"/>
  <c r="R101" i="1"/>
  <c r="R81" i="1"/>
  <c r="H70" i="1"/>
  <c r="H69" i="1"/>
  <c r="H71" i="1"/>
  <c r="C70" i="1"/>
  <c r="D79" i="1"/>
  <c r="B74" i="1"/>
  <c r="B73" i="1"/>
  <c r="L81" i="1"/>
  <c r="J57" i="1"/>
  <c r="M57" i="1" s="1"/>
  <c r="J58" i="1"/>
  <c r="Y18" i="1"/>
  <c r="Y17" i="1"/>
  <c r="E189" i="1"/>
  <c r="E193" i="1" s="1"/>
  <c r="V12" i="1"/>
  <c r="X54" i="1" s="1"/>
  <c r="E181" i="1"/>
  <c r="D16" i="1"/>
  <c r="D100" i="1"/>
  <c r="C18" i="2"/>
  <c r="E17" i="2"/>
  <c r="K80" i="1" s="1"/>
  <c r="T80" i="1" s="1"/>
  <c r="E16" i="2"/>
  <c r="C16" i="2"/>
  <c r="C14" i="2"/>
  <c r="C13" i="2"/>
  <c r="E11" i="2"/>
  <c r="C11" i="2"/>
  <c r="E10" i="2"/>
  <c r="C10" i="2"/>
  <c r="C9" i="2"/>
  <c r="E9" i="2"/>
  <c r="E8" i="2"/>
  <c r="C8" i="2"/>
  <c r="C6" i="2"/>
  <c r="E5" i="2"/>
  <c r="C5" i="2"/>
  <c r="E4" i="2"/>
  <c r="C4" i="2"/>
  <c r="E3" i="2"/>
  <c r="C3" i="2"/>
  <c r="AB13" i="1" s="1"/>
  <c r="AC15" i="1" s="1"/>
  <c r="E190" i="1"/>
  <c r="E24" i="1"/>
  <c r="B181" i="1"/>
  <c r="J49" i="1"/>
  <c r="B24" i="1"/>
  <c r="B182" i="1" s="1"/>
  <c r="E32" i="1"/>
  <c r="B84" i="1" s="1"/>
  <c r="E85" i="1" s="1"/>
  <c r="E15" i="1"/>
  <c r="O34" i="1"/>
  <c r="D57" i="1"/>
  <c r="G57" i="1"/>
  <c r="D56" i="1"/>
  <c r="G56" i="1"/>
  <c r="G60" i="1"/>
  <c r="M51" i="1"/>
  <c r="M50" i="1" s="1"/>
  <c r="Q69" i="1"/>
  <c r="L70" i="1"/>
  <c r="R74" i="1"/>
  <c r="E26" i="1"/>
  <c r="M52" i="1"/>
  <c r="Q73" i="1"/>
  <c r="J52" i="1"/>
  <c r="L53" i="1"/>
  <c r="Q44" i="1"/>
  <c r="R44" i="1"/>
  <c r="B80" i="1"/>
  <c r="G59" i="1"/>
  <c r="G61" i="1"/>
  <c r="E43" i="1"/>
  <c r="F43" i="1"/>
  <c r="L69" i="1"/>
  <c r="Q70" i="1"/>
  <c r="R71" i="1"/>
  <c r="X37" i="1"/>
  <c r="Y37" i="1"/>
  <c r="E81" i="1"/>
  <c r="R107" i="1"/>
  <c r="D74" i="1"/>
  <c r="S51" i="1"/>
  <c r="S50" i="1" s="1"/>
  <c r="E40" i="1" s="1"/>
  <c r="F40" i="1" s="1"/>
  <c r="G48" i="1"/>
  <c r="E37" i="1" s="1"/>
  <c r="F37" i="1" s="1"/>
  <c r="AB33" i="1"/>
  <c r="J37" i="1" l="1"/>
  <c r="K37" i="1" s="1"/>
  <c r="AA48" i="1"/>
  <c r="S60" i="1"/>
  <c r="S57" i="1"/>
  <c r="S59" i="1" s="1"/>
  <c r="S61" i="1" s="1"/>
  <c r="E44" i="1" s="1"/>
  <c r="F44" i="1" s="1"/>
  <c r="X32" i="1"/>
  <c r="AA50" i="1"/>
  <c r="J39" i="1"/>
  <c r="K39" i="1" s="1"/>
  <c r="L54" i="1"/>
  <c r="L55" i="1" s="1"/>
  <c r="U88" i="1"/>
  <c r="R54" i="1"/>
  <c r="R55" i="1" s="1"/>
  <c r="E42" i="1" s="1"/>
  <c r="F42" i="1" s="1"/>
  <c r="R34" i="1"/>
  <c r="Y23" i="1"/>
  <c r="V56" i="1"/>
  <c r="Y56" i="1" s="1"/>
  <c r="B26" i="1"/>
  <c r="Y48" i="1"/>
  <c r="J38" i="1" s="1"/>
  <c r="K38" i="1" s="1"/>
  <c r="I87" i="1"/>
  <c r="R87" i="1" s="1"/>
  <c r="J88" i="1" s="1"/>
  <c r="P88" i="1" s="1"/>
  <c r="V49" i="1"/>
  <c r="Y51" i="1" s="1"/>
  <c r="Y50" i="1" s="1"/>
  <c r="J40" i="1" s="1"/>
  <c r="K40" i="1" s="1"/>
  <c r="Y22" i="1"/>
  <c r="F54" i="1"/>
  <c r="F55" i="1" s="1"/>
  <c r="Y12" i="1"/>
  <c r="X14" i="1" s="1"/>
  <c r="Y20" i="1"/>
  <c r="AB34" i="1"/>
  <c r="V30" i="1" l="1"/>
  <c r="J41" i="1"/>
  <c r="K41" i="1" s="1"/>
  <c r="AA55" i="1"/>
  <c r="W33" i="1"/>
  <c r="W34" i="1"/>
  <c r="X38" i="1"/>
  <c r="Y38" i="1" s="1"/>
  <c r="Y33" i="1"/>
  <c r="U24" i="1"/>
  <c r="W31" i="1"/>
  <c r="E41" i="1"/>
  <c r="F41" i="1" s="1"/>
  <c r="Y52" i="1"/>
  <c r="X53" i="1" s="1"/>
  <c r="X55" i="1" s="1"/>
  <c r="J42" i="1" s="1"/>
  <c r="K42" i="1" s="1"/>
  <c r="Y21" i="1"/>
  <c r="Y34" i="1" s="1"/>
  <c r="V57" i="1"/>
  <c r="V63" i="1"/>
  <c r="J56" i="1"/>
  <c r="M56" i="1" s="1"/>
  <c r="Y63" i="1" l="1"/>
  <c r="Y65" i="1" s="1"/>
  <c r="Y67" i="1" s="1"/>
  <c r="Q40" i="1" s="1"/>
  <c r="R40" i="1" s="1"/>
  <c r="Y66" i="1"/>
  <c r="Y57" i="1"/>
  <c r="Y59" i="1" s="1"/>
  <c r="Y60" i="1"/>
  <c r="M60" i="1"/>
  <c r="M59" i="1"/>
  <c r="M61" i="1" s="1"/>
  <c r="X85" i="1"/>
  <c r="B183" i="1"/>
  <c r="W26" i="1"/>
  <c r="AA26" i="1" s="1"/>
  <c r="Z26" i="1"/>
  <c r="T85" i="1"/>
  <c r="W87" i="1" s="1"/>
  <c r="X88" i="1" s="1"/>
  <c r="T86" i="1"/>
  <c r="AA31" i="1"/>
  <c r="Z31" i="1"/>
  <c r="X40" i="1" l="1"/>
  <c r="Y40" i="1" s="1"/>
  <c r="Y88" i="1"/>
  <c r="AA61" i="1"/>
  <c r="J43" i="1"/>
  <c r="K43" i="1" s="1"/>
  <c r="Y61" i="1"/>
  <c r="J44" i="1" s="1"/>
  <c r="K44" i="1" s="1"/>
</calcChain>
</file>

<file path=xl/comments1.xml><?xml version="1.0" encoding="utf-8"?>
<comments xmlns="http://schemas.openxmlformats.org/spreadsheetml/2006/main">
  <authors>
    <author>Fábio Nogueira Leite</author>
  </authors>
  <commentList>
    <comment ref="A101" authorId="0" shapeId="0">
      <text>
        <r>
          <rPr>
            <b/>
            <sz val="8"/>
            <color indexed="81"/>
            <rFont val="Tahoma"/>
            <family val="2"/>
          </rPr>
          <t>Altura da Seção</t>
        </r>
      </text>
    </comment>
    <comment ref="A102" authorId="0" shapeId="0">
      <text>
        <r>
          <rPr>
            <b/>
            <sz val="8"/>
            <color indexed="81"/>
            <rFont val="Tahoma"/>
            <family val="2"/>
          </rPr>
          <t>Largura do Flange Superior (Flange Comprimido)</t>
        </r>
      </text>
    </comment>
    <comment ref="A103" authorId="0" shapeId="0">
      <text>
        <r>
          <rPr>
            <b/>
            <sz val="8"/>
            <color indexed="81"/>
            <rFont val="Tahoma"/>
            <family val="2"/>
          </rPr>
          <t>Espessura do Flange Superior (Flange Comprimido)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04" authorId="0" shapeId="0">
      <text>
        <r>
          <rPr>
            <b/>
            <sz val="8"/>
            <color indexed="81"/>
            <rFont val="Tahoma"/>
            <family val="2"/>
          </rPr>
          <t>Largura do Flange Inferior (Flange Tracionado)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05" authorId="0" shapeId="0">
      <text>
        <r>
          <rPr>
            <b/>
            <sz val="8"/>
            <color indexed="81"/>
            <rFont val="Tahoma"/>
            <family val="2"/>
          </rPr>
          <t>Espessura do Flange Inferior (Flange Tracionado)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06" authorId="0" shapeId="0">
      <text>
        <r>
          <rPr>
            <b/>
            <sz val="8"/>
            <color indexed="81"/>
            <rFont val="Tahoma"/>
            <family val="2"/>
          </rPr>
          <t>Espessura da Alma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07" authorId="0" shapeId="0">
      <text>
        <r>
          <rPr>
            <b/>
            <sz val="8"/>
            <color indexed="81"/>
            <rFont val="Tahoma"/>
            <family val="2"/>
          </rPr>
          <t>Espessura da Alma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<sst xmlns="http://schemas.openxmlformats.org/spreadsheetml/2006/main" count="479" uniqueCount="322">
  <si>
    <t>Posição</t>
  </si>
  <si>
    <t>Coordenadas Referentes C.G.</t>
  </si>
  <si>
    <t>np =</t>
  </si>
  <si>
    <r>
      <t>x</t>
    </r>
    <r>
      <rPr>
        <vertAlign val="subscript"/>
        <sz val="12"/>
        <color indexed="8"/>
        <rFont val="Times New Roman"/>
        <family val="1"/>
      </rPr>
      <t>CG</t>
    </r>
    <r>
      <rPr>
        <sz val="12"/>
        <color theme="1"/>
        <rFont val="Times New Roman"/>
        <family val="2"/>
      </rPr>
      <t xml:space="preserve"> =</t>
    </r>
  </si>
  <si>
    <r>
      <t>y</t>
    </r>
    <r>
      <rPr>
        <vertAlign val="subscript"/>
        <sz val="12"/>
        <color indexed="8"/>
        <rFont val="Times New Roman"/>
        <family val="1"/>
      </rPr>
      <t>CG</t>
    </r>
    <r>
      <rPr>
        <sz val="12"/>
        <color theme="1"/>
        <rFont val="Times New Roman"/>
        <family val="2"/>
      </rPr>
      <t xml:space="preserve"> =</t>
    </r>
  </si>
  <si>
    <r>
      <t>e</t>
    </r>
    <r>
      <rPr>
        <vertAlign val="subscript"/>
        <sz val="12"/>
        <color indexed="8"/>
        <rFont val="Times New Roman"/>
        <family val="1"/>
      </rPr>
      <t>x</t>
    </r>
    <r>
      <rPr>
        <sz val="12"/>
        <color theme="1"/>
        <rFont val="Times New Roman"/>
        <family val="2"/>
      </rPr>
      <t xml:space="preserve"> =</t>
    </r>
  </si>
  <si>
    <r>
      <t>x</t>
    </r>
    <r>
      <rPr>
        <vertAlign val="subscript"/>
        <sz val="12"/>
        <color indexed="8"/>
        <rFont val="Times New Roman"/>
        <family val="1"/>
      </rPr>
      <t>CI</t>
    </r>
    <r>
      <rPr>
        <sz val="12"/>
        <color theme="1"/>
        <rFont val="Times New Roman"/>
        <family val="2"/>
      </rPr>
      <t xml:space="preserve"> =</t>
    </r>
  </si>
  <si>
    <r>
      <t>y</t>
    </r>
    <r>
      <rPr>
        <vertAlign val="subscript"/>
        <sz val="12"/>
        <color indexed="8"/>
        <rFont val="Times New Roman"/>
        <family val="1"/>
      </rPr>
      <t>CI</t>
    </r>
    <r>
      <rPr>
        <sz val="12"/>
        <color theme="1"/>
        <rFont val="Times New Roman"/>
        <family val="2"/>
      </rPr>
      <t xml:space="preserve"> =</t>
    </r>
  </si>
  <si>
    <t>Coordenadas Referentes C.I.R.</t>
  </si>
  <si>
    <r>
      <t>d</t>
    </r>
    <r>
      <rPr>
        <vertAlign val="subscript"/>
        <sz val="12"/>
        <color indexed="8"/>
        <rFont val="Times New Roman"/>
        <family val="1"/>
      </rPr>
      <t>max</t>
    </r>
    <r>
      <rPr>
        <sz val="12"/>
        <color theme="1"/>
        <rFont val="Times New Roman"/>
        <family val="2"/>
      </rPr>
      <t xml:space="preserve"> =</t>
    </r>
  </si>
  <si>
    <r>
      <rPr>
        <sz val="12"/>
        <color indexed="8"/>
        <rFont val="Symbol"/>
        <family val="1"/>
        <charset val="2"/>
      </rPr>
      <t>D</t>
    </r>
    <r>
      <rPr>
        <vertAlign val="subscript"/>
        <sz val="12"/>
        <color indexed="8"/>
        <rFont val="Times New Roman"/>
        <family val="1"/>
      </rPr>
      <t>max</t>
    </r>
    <r>
      <rPr>
        <sz val="12"/>
        <color theme="1"/>
        <rFont val="Times New Roman"/>
        <family val="2"/>
      </rPr>
      <t xml:space="preserve"> =</t>
    </r>
  </si>
  <si>
    <r>
      <t>R</t>
    </r>
    <r>
      <rPr>
        <vertAlign val="subscript"/>
        <sz val="12"/>
        <color indexed="8"/>
        <rFont val="Times New Roman"/>
        <family val="1"/>
      </rPr>
      <t>ult</t>
    </r>
    <r>
      <rPr>
        <sz val="12"/>
        <color theme="1"/>
        <rFont val="Times New Roman"/>
        <family val="2"/>
      </rPr>
      <t xml:space="preserve"> =</t>
    </r>
  </si>
  <si>
    <r>
      <t>d</t>
    </r>
    <r>
      <rPr>
        <vertAlign val="subscript"/>
        <sz val="12"/>
        <color indexed="8"/>
        <rFont val="Times New Roman"/>
        <family val="1"/>
      </rPr>
      <t>b</t>
    </r>
    <r>
      <rPr>
        <sz val="12"/>
        <color theme="1"/>
        <rFont val="Times New Roman"/>
        <family val="2"/>
      </rPr>
      <t xml:space="preserve"> =</t>
    </r>
  </si>
  <si>
    <r>
      <t>P</t>
    </r>
    <r>
      <rPr>
        <vertAlign val="subscript"/>
        <sz val="12"/>
        <color indexed="8"/>
        <rFont val="Times New Roman"/>
        <family val="1"/>
      </rPr>
      <t>n</t>
    </r>
    <r>
      <rPr>
        <sz val="12"/>
        <color theme="1"/>
        <rFont val="Times New Roman"/>
        <family val="2"/>
      </rPr>
      <t xml:space="preserve"> =</t>
    </r>
  </si>
  <si>
    <t>Erro =</t>
  </si>
  <si>
    <r>
      <t>r</t>
    </r>
    <r>
      <rPr>
        <vertAlign val="subscript"/>
        <sz val="12"/>
        <color indexed="8"/>
        <rFont val="Times New Roman"/>
        <family val="1"/>
      </rPr>
      <t>0</t>
    </r>
    <r>
      <rPr>
        <sz val="12"/>
        <color theme="1"/>
        <rFont val="Times New Roman"/>
        <family val="2"/>
      </rPr>
      <t xml:space="preserve"> =</t>
    </r>
  </si>
  <si>
    <t>3/4"</t>
  </si>
  <si>
    <t>C =</t>
  </si>
  <si>
    <t>C' =</t>
  </si>
  <si>
    <r>
      <t>x</t>
    </r>
    <r>
      <rPr>
        <vertAlign val="subscript"/>
        <sz val="12"/>
        <color indexed="8"/>
        <rFont val="Times New Roman"/>
        <family val="1"/>
      </rPr>
      <t>0</t>
    </r>
    <r>
      <rPr>
        <sz val="12"/>
        <color indexed="8"/>
        <rFont val="Times New Roman"/>
        <family val="1"/>
      </rPr>
      <t xml:space="preserve"> (in)</t>
    </r>
  </si>
  <si>
    <r>
      <t>y</t>
    </r>
    <r>
      <rPr>
        <vertAlign val="subscript"/>
        <sz val="12"/>
        <color indexed="8"/>
        <rFont val="Times New Roman"/>
        <family val="1"/>
      </rPr>
      <t>0</t>
    </r>
    <r>
      <rPr>
        <sz val="12"/>
        <color indexed="8"/>
        <rFont val="Times New Roman"/>
        <family val="1"/>
      </rPr>
      <t xml:space="preserve"> (in)</t>
    </r>
  </si>
  <si>
    <r>
      <t>x</t>
    </r>
    <r>
      <rPr>
        <vertAlign val="subscript"/>
        <sz val="12"/>
        <color indexed="8"/>
        <rFont val="Times New Roman"/>
        <family val="1"/>
      </rPr>
      <t>i</t>
    </r>
    <r>
      <rPr>
        <sz val="12"/>
        <color indexed="8"/>
        <rFont val="Times New Roman"/>
        <family val="1"/>
      </rPr>
      <t xml:space="preserve"> (in)</t>
    </r>
  </si>
  <si>
    <r>
      <t>y</t>
    </r>
    <r>
      <rPr>
        <vertAlign val="subscript"/>
        <sz val="12"/>
        <color indexed="8"/>
        <rFont val="Times New Roman"/>
        <family val="1"/>
      </rPr>
      <t>i</t>
    </r>
    <r>
      <rPr>
        <sz val="12"/>
        <color indexed="8"/>
        <rFont val="Times New Roman"/>
        <family val="1"/>
      </rPr>
      <t xml:space="preserve"> (in)</t>
    </r>
  </si>
  <si>
    <r>
      <t>d</t>
    </r>
    <r>
      <rPr>
        <vertAlign val="subscript"/>
        <sz val="12"/>
        <color indexed="8"/>
        <rFont val="Times New Roman"/>
        <family val="1"/>
      </rPr>
      <t>i</t>
    </r>
    <r>
      <rPr>
        <sz val="12"/>
        <color indexed="8"/>
        <rFont val="Times New Roman"/>
        <family val="1"/>
      </rPr>
      <t xml:space="preserve"> (in)</t>
    </r>
  </si>
  <si>
    <r>
      <rPr>
        <sz val="12"/>
        <color indexed="8"/>
        <rFont val="Symbol"/>
        <family val="1"/>
        <charset val="2"/>
      </rPr>
      <t>D</t>
    </r>
    <r>
      <rPr>
        <vertAlign val="subscript"/>
        <sz val="12"/>
        <color indexed="8"/>
        <rFont val="Times New Roman"/>
        <family val="1"/>
      </rPr>
      <t>i</t>
    </r>
    <r>
      <rPr>
        <sz val="12"/>
        <color indexed="8"/>
        <rFont val="Times New Roman"/>
        <family val="1"/>
      </rPr>
      <t xml:space="preserve"> (in)</t>
    </r>
  </si>
  <si>
    <r>
      <t>R</t>
    </r>
    <r>
      <rPr>
        <vertAlign val="subscript"/>
        <sz val="12"/>
        <color indexed="8"/>
        <rFont val="Times New Roman"/>
        <family val="1"/>
      </rPr>
      <t>i</t>
    </r>
    <r>
      <rPr>
        <sz val="12"/>
        <color indexed="8"/>
        <rFont val="Times New Roman"/>
        <family val="1"/>
      </rPr>
      <t xml:space="preserve"> (kips)</t>
    </r>
  </si>
  <si>
    <r>
      <t>R</t>
    </r>
    <r>
      <rPr>
        <vertAlign val="subscript"/>
        <sz val="12"/>
        <color indexed="8"/>
        <rFont val="Times New Roman"/>
        <family val="1"/>
      </rPr>
      <t>i</t>
    </r>
    <r>
      <rPr>
        <sz val="12"/>
        <color theme="1"/>
        <rFont val="Times New Roman"/>
        <family val="2"/>
      </rPr>
      <t>·y</t>
    </r>
    <r>
      <rPr>
        <vertAlign val="subscript"/>
        <sz val="12"/>
        <color indexed="8"/>
        <rFont val="Times New Roman"/>
        <family val="1"/>
      </rPr>
      <t>i</t>
    </r>
    <r>
      <rPr>
        <sz val="12"/>
        <color theme="1"/>
        <rFont val="Times New Roman"/>
        <family val="2"/>
      </rPr>
      <t>/d</t>
    </r>
    <r>
      <rPr>
        <vertAlign val="subscript"/>
        <sz val="12"/>
        <color indexed="8"/>
        <rFont val="Times New Roman"/>
        <family val="1"/>
      </rPr>
      <t>i</t>
    </r>
    <r>
      <rPr>
        <sz val="12"/>
        <color indexed="8"/>
        <rFont val="Times New Roman"/>
        <family val="1"/>
      </rPr>
      <t xml:space="preserve"> (kips)</t>
    </r>
  </si>
  <si>
    <r>
      <t>R</t>
    </r>
    <r>
      <rPr>
        <vertAlign val="subscript"/>
        <sz val="12"/>
        <color indexed="8"/>
        <rFont val="Times New Roman"/>
        <family val="1"/>
      </rPr>
      <t>i</t>
    </r>
    <r>
      <rPr>
        <sz val="12"/>
        <color theme="1"/>
        <rFont val="Times New Roman"/>
        <family val="2"/>
      </rPr>
      <t>·x</t>
    </r>
    <r>
      <rPr>
        <vertAlign val="subscript"/>
        <sz val="12"/>
        <color indexed="8"/>
        <rFont val="Times New Roman"/>
        <family val="1"/>
      </rPr>
      <t>i</t>
    </r>
    <r>
      <rPr>
        <sz val="12"/>
        <color theme="1"/>
        <rFont val="Times New Roman"/>
        <family val="2"/>
      </rPr>
      <t>/d</t>
    </r>
    <r>
      <rPr>
        <vertAlign val="subscript"/>
        <sz val="12"/>
        <color indexed="8"/>
        <rFont val="Times New Roman"/>
        <family val="1"/>
      </rPr>
      <t>i</t>
    </r>
    <r>
      <rPr>
        <sz val="12"/>
        <color indexed="8"/>
        <rFont val="Times New Roman"/>
        <family val="1"/>
      </rPr>
      <t xml:space="preserve"> (kips)</t>
    </r>
  </si>
  <si>
    <r>
      <t>R</t>
    </r>
    <r>
      <rPr>
        <vertAlign val="subscript"/>
        <sz val="12"/>
        <color indexed="8"/>
        <rFont val="Times New Roman"/>
        <family val="1"/>
      </rPr>
      <t>i</t>
    </r>
    <r>
      <rPr>
        <sz val="12"/>
        <color theme="1"/>
        <rFont val="Times New Roman"/>
        <family val="2"/>
      </rPr>
      <t>·d</t>
    </r>
    <r>
      <rPr>
        <vertAlign val="subscript"/>
        <sz val="12"/>
        <color indexed="8"/>
        <rFont val="Times New Roman"/>
        <family val="1"/>
      </rPr>
      <t>i</t>
    </r>
    <r>
      <rPr>
        <sz val="12"/>
        <color indexed="8"/>
        <rFont val="Times New Roman"/>
        <family val="1"/>
      </rPr>
      <t xml:space="preserve"> (kips·in)</t>
    </r>
  </si>
  <si>
    <r>
      <t>l</t>
    </r>
    <r>
      <rPr>
        <vertAlign val="subscript"/>
        <sz val="12"/>
        <color indexed="8"/>
        <rFont val="Times New Roman"/>
        <family val="1"/>
      </rPr>
      <t>i</t>
    </r>
    <r>
      <rPr>
        <sz val="12"/>
        <color indexed="8"/>
        <rFont val="Times New Roman"/>
        <family val="1"/>
      </rPr>
      <t xml:space="preserve"> (in)</t>
    </r>
  </si>
  <si>
    <r>
      <t>C'</t>
    </r>
    <r>
      <rPr>
        <vertAlign val="subscript"/>
        <sz val="12"/>
        <color indexed="8"/>
        <rFont val="Times New Roman"/>
        <family val="1"/>
      </rPr>
      <t>i</t>
    </r>
    <r>
      <rPr>
        <sz val="12"/>
        <color indexed="8"/>
        <rFont val="Times New Roman"/>
        <family val="1"/>
      </rPr>
      <t xml:space="preserve"> (in)</t>
    </r>
  </si>
  <si>
    <t>American Institute of Steel Construction (AISC)</t>
  </si>
  <si>
    <t>Load and Resistance Factor Design (LRFD) - 13th Edition</t>
  </si>
  <si>
    <t>O.S.:</t>
  </si>
  <si>
    <t>Cliente:</t>
  </si>
  <si>
    <t>Responsável:</t>
  </si>
  <si>
    <t>Obra:</t>
  </si>
  <si>
    <t>Data:</t>
  </si>
  <si>
    <t>Descrição:</t>
  </si>
  <si>
    <t>Revisão:</t>
  </si>
  <si>
    <t>Dados da Viga:</t>
  </si>
  <si>
    <t>W 310 x 21,0</t>
  </si>
  <si>
    <t>d (mm) =</t>
  </si>
  <si>
    <r>
      <t>b</t>
    </r>
    <r>
      <rPr>
        <b/>
        <vertAlign val="subscript"/>
        <sz val="12"/>
        <rFont val="Times New Roman"/>
        <family val="1"/>
      </rPr>
      <t>fs</t>
    </r>
    <r>
      <rPr>
        <b/>
        <sz val="12"/>
        <rFont val="Times New Roman"/>
        <family val="1"/>
      </rPr>
      <t xml:space="preserve"> (mm) =</t>
    </r>
  </si>
  <si>
    <r>
      <t>t</t>
    </r>
    <r>
      <rPr>
        <b/>
        <vertAlign val="subscript"/>
        <sz val="12"/>
        <rFont val="Times New Roman"/>
        <family val="1"/>
      </rPr>
      <t>fs</t>
    </r>
    <r>
      <rPr>
        <b/>
        <sz val="12"/>
        <rFont val="Times New Roman"/>
        <family val="1"/>
      </rPr>
      <t xml:space="preserve"> (mm) =</t>
    </r>
  </si>
  <si>
    <r>
      <t>b</t>
    </r>
    <r>
      <rPr>
        <b/>
        <vertAlign val="subscript"/>
        <sz val="12"/>
        <rFont val="Times New Roman"/>
        <family val="1"/>
      </rPr>
      <t>fi</t>
    </r>
    <r>
      <rPr>
        <b/>
        <sz val="12"/>
        <rFont val="Times New Roman"/>
        <family val="1"/>
      </rPr>
      <t xml:space="preserve"> (mm) =</t>
    </r>
  </si>
  <si>
    <r>
      <t>t</t>
    </r>
    <r>
      <rPr>
        <b/>
        <vertAlign val="subscript"/>
        <sz val="12"/>
        <rFont val="Times New Roman"/>
        <family val="1"/>
      </rPr>
      <t>fi</t>
    </r>
    <r>
      <rPr>
        <b/>
        <sz val="12"/>
        <rFont val="Times New Roman"/>
        <family val="1"/>
      </rPr>
      <t xml:space="preserve"> (mm) =</t>
    </r>
  </si>
  <si>
    <r>
      <t>t</t>
    </r>
    <r>
      <rPr>
        <b/>
        <vertAlign val="subscript"/>
        <sz val="12"/>
        <rFont val="Times New Roman"/>
        <family val="1"/>
      </rPr>
      <t>w</t>
    </r>
    <r>
      <rPr>
        <b/>
        <sz val="12"/>
        <rFont val="Times New Roman"/>
        <family val="1"/>
      </rPr>
      <t xml:space="preserve"> (mm) =</t>
    </r>
  </si>
  <si>
    <t>Perfil Soldado</t>
  </si>
  <si>
    <t>W 150 x 13,0</t>
  </si>
  <si>
    <t>W 150 x 13,5</t>
  </si>
  <si>
    <t>W 150 x 18,0</t>
  </si>
  <si>
    <t>W 150 x 22,5</t>
  </si>
  <si>
    <t>W 150 x 24,0</t>
  </si>
  <si>
    <t>W 150 x 29,8</t>
  </si>
  <si>
    <t>W 150 x 37,1</t>
  </si>
  <si>
    <t>W 200 x 15,0</t>
  </si>
  <si>
    <t>W 200 x 19,3</t>
  </si>
  <si>
    <t>W 200 x 22,5</t>
  </si>
  <si>
    <t>W 200 x 26,6</t>
  </si>
  <si>
    <t>W 200 x 31,3</t>
  </si>
  <si>
    <t>W 200 x 35,9</t>
  </si>
  <si>
    <t>W 200 x 41,7</t>
  </si>
  <si>
    <t>W 200 x 46,1</t>
  </si>
  <si>
    <t>W 200 x 52,0</t>
  </si>
  <si>
    <t>HP 200 x 53,0</t>
  </si>
  <si>
    <t>W 200 x 59,0</t>
  </si>
  <si>
    <t>W 200 x 71,0</t>
  </si>
  <si>
    <t>W 200 x 86,0</t>
  </si>
  <si>
    <t>W 250 x 17,9</t>
  </si>
  <si>
    <t>W 250 x 22,3</t>
  </si>
  <si>
    <t>W 250 x 25,3</t>
  </si>
  <si>
    <t>W 250 x 28,4</t>
  </si>
  <si>
    <t>W 250 x 32,7</t>
  </si>
  <si>
    <t>W 250 x 38,5</t>
  </si>
  <si>
    <t>W 250 x 44,8</t>
  </si>
  <si>
    <t>HP 250 x 62,0</t>
  </si>
  <si>
    <t>W 250 x 73,0</t>
  </si>
  <si>
    <t>W 250 x 80,0</t>
  </si>
  <si>
    <t>HP 250 x 85,0</t>
  </si>
  <si>
    <t>HP 250 x 89,0</t>
  </si>
  <si>
    <t>W 250 x 101,0</t>
  </si>
  <si>
    <t>W 250 x 115,0</t>
  </si>
  <si>
    <t>W 310 x 23,8</t>
  </si>
  <si>
    <t>W 310 x 28,3</t>
  </si>
  <si>
    <t>W 310 x 32,7</t>
  </si>
  <si>
    <t>W 310 x 38,7</t>
  </si>
  <si>
    <t>W 310 x 44,5</t>
  </si>
  <si>
    <t>W 310 x 52,0</t>
  </si>
  <si>
    <t>HP 310 x 79,0</t>
  </si>
  <si>
    <t>HP 310 x 93,0</t>
  </si>
  <si>
    <t>W 310 x 97,0</t>
  </si>
  <si>
    <t>W 310 x 107,0</t>
  </si>
  <si>
    <t>HP 310 x 110,0</t>
  </si>
  <si>
    <t>W 310 x 117,0</t>
  </si>
  <si>
    <t>HP 310 x 125,0</t>
  </si>
  <si>
    <t>W 360 x 32,9</t>
  </si>
  <si>
    <t>W 360 x 39,0</t>
  </si>
  <si>
    <t>W 360 x 44,0</t>
  </si>
  <si>
    <t>W 360 x 51,0</t>
  </si>
  <si>
    <t>W 360 x 57,8</t>
  </si>
  <si>
    <t>W 360 x 64,0</t>
  </si>
  <si>
    <t>W 360 x 72,0</t>
  </si>
  <si>
    <t>W 360 x 79,0</t>
  </si>
  <si>
    <t>W 360 x 91,0</t>
  </si>
  <si>
    <t>W 360 x 101,0</t>
  </si>
  <si>
    <t>W 360 x 110,0</t>
  </si>
  <si>
    <t>W 360 x 122,0</t>
  </si>
  <si>
    <t>W 410 x 38,8</t>
  </si>
  <si>
    <t>W 410 x 46,1</t>
  </si>
  <si>
    <t>W 410 x 53,0</t>
  </si>
  <si>
    <t>W 410 x 60,0</t>
  </si>
  <si>
    <t>W 410 x 67,0</t>
  </si>
  <si>
    <t>W 410 x 75,0</t>
  </si>
  <si>
    <t>W 410 x 85,0</t>
  </si>
  <si>
    <t>W 460 x 52,0</t>
  </si>
  <si>
    <t>W 460 x 60,0</t>
  </si>
  <si>
    <t>W 460 x 68,0</t>
  </si>
  <si>
    <t>W 460 x 74,0</t>
  </si>
  <si>
    <t>W 460 x 82,0</t>
  </si>
  <si>
    <t>W 460 x 89,0</t>
  </si>
  <si>
    <t>W 460 x 97,0</t>
  </si>
  <si>
    <t>W 460 x 106,0</t>
  </si>
  <si>
    <t>W 530 x 66,0</t>
  </si>
  <si>
    <t>W 530 x 72,0</t>
  </si>
  <si>
    <t>W 530 x 74,0</t>
  </si>
  <si>
    <t>W 530 x 82,0</t>
  </si>
  <si>
    <t>W 530 x 85,0</t>
  </si>
  <si>
    <t>W 530 x 92,0</t>
  </si>
  <si>
    <t>W 530 x 101,0</t>
  </si>
  <si>
    <t>W 530 x 109,0</t>
  </si>
  <si>
    <t>W 610 x 101,0</t>
  </si>
  <si>
    <t>W 610 x 113,0</t>
  </si>
  <si>
    <t>W 610 x 125,0</t>
  </si>
  <si>
    <t>W 610 x 140,0</t>
  </si>
  <si>
    <t>W 610 x 155,0</t>
  </si>
  <si>
    <t>W 610 x 174,0</t>
  </si>
  <si>
    <t>Perfil Laminado</t>
  </si>
  <si>
    <t>@</t>
  </si>
  <si>
    <t>Conversão de Unidades</t>
  </si>
  <si>
    <t>=</t>
  </si>
  <si>
    <t>Observações:</t>
  </si>
  <si>
    <t>1,00 MPa = 1,00 N/mm²</t>
  </si>
  <si>
    <t>1,00 lb (libra) = 1,00 p (pound)</t>
  </si>
  <si>
    <t>1 kip = 1.000,00 lb</t>
  </si>
  <si>
    <t>1,00 ksi = 1,00 kip/in² = 1.000,00 psi = 1.000,00 lb/in²</t>
  </si>
  <si>
    <t>Dados da Seção</t>
  </si>
  <si>
    <t>d</t>
  </si>
  <si>
    <r>
      <t>b</t>
    </r>
    <r>
      <rPr>
        <b/>
        <vertAlign val="subscript"/>
        <sz val="12"/>
        <rFont val="Times New Roman"/>
        <family val="1"/>
      </rPr>
      <t>f</t>
    </r>
  </si>
  <si>
    <r>
      <t>t</t>
    </r>
    <r>
      <rPr>
        <b/>
        <vertAlign val="subscript"/>
        <sz val="12"/>
        <rFont val="Times New Roman"/>
        <family val="1"/>
      </rPr>
      <t>f</t>
    </r>
  </si>
  <si>
    <r>
      <t>t</t>
    </r>
    <r>
      <rPr>
        <b/>
        <vertAlign val="subscript"/>
        <sz val="12"/>
        <rFont val="Times New Roman"/>
        <family val="1"/>
      </rPr>
      <t>w</t>
    </r>
  </si>
  <si>
    <t>mm</t>
  </si>
  <si>
    <t>DESIGNAÇÃO</t>
  </si>
  <si>
    <t>Single-Plate Connections</t>
  </si>
  <si>
    <t>d =</t>
  </si>
  <si>
    <r>
      <t>b</t>
    </r>
    <r>
      <rPr>
        <b/>
        <vertAlign val="subscript"/>
        <sz val="12"/>
        <rFont val="Times New Roman"/>
        <family val="1"/>
      </rPr>
      <t>fs</t>
    </r>
    <r>
      <rPr>
        <b/>
        <sz val="12"/>
        <rFont val="Times New Roman"/>
        <family val="1"/>
      </rPr>
      <t xml:space="preserve"> =</t>
    </r>
  </si>
  <si>
    <r>
      <t>t</t>
    </r>
    <r>
      <rPr>
        <b/>
        <vertAlign val="subscript"/>
        <sz val="12"/>
        <rFont val="Times New Roman"/>
        <family val="1"/>
      </rPr>
      <t>fs</t>
    </r>
    <r>
      <rPr>
        <b/>
        <sz val="12"/>
        <rFont val="Times New Roman"/>
        <family val="1"/>
      </rPr>
      <t xml:space="preserve"> =</t>
    </r>
  </si>
  <si>
    <r>
      <t>b</t>
    </r>
    <r>
      <rPr>
        <b/>
        <vertAlign val="subscript"/>
        <sz val="12"/>
        <rFont val="Times New Roman"/>
        <family val="1"/>
      </rPr>
      <t>fi</t>
    </r>
    <r>
      <rPr>
        <b/>
        <sz val="12"/>
        <rFont val="Times New Roman"/>
        <family val="1"/>
      </rPr>
      <t xml:space="preserve"> =</t>
    </r>
  </si>
  <si>
    <r>
      <t>t</t>
    </r>
    <r>
      <rPr>
        <b/>
        <vertAlign val="subscript"/>
        <sz val="12"/>
        <rFont val="Times New Roman"/>
        <family val="1"/>
      </rPr>
      <t>fi</t>
    </r>
    <r>
      <rPr>
        <b/>
        <sz val="12"/>
        <rFont val="Times New Roman"/>
        <family val="1"/>
      </rPr>
      <t xml:space="preserve"> =</t>
    </r>
  </si>
  <si>
    <r>
      <t>t</t>
    </r>
    <r>
      <rPr>
        <b/>
        <vertAlign val="subscript"/>
        <sz val="12"/>
        <rFont val="Times New Roman"/>
        <family val="1"/>
      </rPr>
      <t>w</t>
    </r>
    <r>
      <rPr>
        <b/>
        <sz val="12"/>
        <rFont val="Times New Roman"/>
        <family val="1"/>
      </rPr>
      <t xml:space="preserve"> =</t>
    </r>
  </si>
  <si>
    <r>
      <t>F</t>
    </r>
    <r>
      <rPr>
        <b/>
        <vertAlign val="subscript"/>
        <sz val="12"/>
        <rFont val="Times New Roman"/>
        <family val="1"/>
      </rPr>
      <t>y</t>
    </r>
    <r>
      <rPr>
        <b/>
        <sz val="12"/>
        <rFont val="Times New Roman"/>
        <family val="1"/>
      </rPr>
      <t xml:space="preserve"> =</t>
    </r>
  </si>
  <si>
    <r>
      <t>F</t>
    </r>
    <r>
      <rPr>
        <b/>
        <vertAlign val="subscript"/>
        <sz val="12"/>
        <rFont val="Times New Roman"/>
        <family val="1"/>
      </rPr>
      <t>u</t>
    </r>
    <r>
      <rPr>
        <b/>
        <sz val="12"/>
        <rFont val="Times New Roman"/>
        <family val="1"/>
      </rPr>
      <t xml:space="preserve"> =</t>
    </r>
  </si>
  <si>
    <t>c =</t>
  </si>
  <si>
    <r>
      <t>d</t>
    </r>
    <r>
      <rPr>
        <b/>
        <vertAlign val="subscript"/>
        <sz val="12"/>
        <rFont val="Times New Roman"/>
        <family val="1"/>
      </rPr>
      <t>c</t>
    </r>
    <r>
      <rPr>
        <b/>
        <sz val="12"/>
        <rFont val="Times New Roman"/>
        <family val="1"/>
      </rPr>
      <t xml:space="preserve"> =</t>
    </r>
  </si>
  <si>
    <t>e =</t>
  </si>
  <si>
    <t>Recortes:</t>
  </si>
  <si>
    <r>
      <t>d</t>
    </r>
    <r>
      <rPr>
        <vertAlign val="subscript"/>
        <sz val="12"/>
        <color indexed="8"/>
        <rFont val="Times New Roman"/>
        <family val="1"/>
      </rPr>
      <t>v</t>
    </r>
    <r>
      <rPr>
        <sz val="12"/>
        <color theme="1"/>
        <rFont val="Times New Roman"/>
        <family val="2"/>
      </rPr>
      <t xml:space="preserve"> =</t>
    </r>
  </si>
  <si>
    <r>
      <t>d</t>
    </r>
    <r>
      <rPr>
        <vertAlign val="subscript"/>
        <sz val="12"/>
        <color indexed="8"/>
        <rFont val="Times New Roman"/>
        <family val="1"/>
      </rPr>
      <t>h</t>
    </r>
    <r>
      <rPr>
        <sz val="12"/>
        <color theme="1"/>
        <rFont val="Times New Roman"/>
        <family val="2"/>
      </rPr>
      <t xml:space="preserve"> =</t>
    </r>
  </si>
  <si>
    <t>a =</t>
  </si>
  <si>
    <r>
      <t>d</t>
    </r>
    <r>
      <rPr>
        <b/>
        <vertAlign val="subscript"/>
        <sz val="12"/>
        <rFont val="Times New Roman"/>
        <family val="1"/>
      </rPr>
      <t>iv</t>
    </r>
    <r>
      <rPr>
        <b/>
        <sz val="12"/>
        <rFont val="Times New Roman"/>
        <family val="1"/>
      </rPr>
      <t xml:space="preserve"> =</t>
    </r>
  </si>
  <si>
    <r>
      <t>d</t>
    </r>
    <r>
      <rPr>
        <b/>
        <vertAlign val="subscript"/>
        <sz val="12"/>
        <rFont val="Times New Roman"/>
        <family val="1"/>
      </rPr>
      <t>ih</t>
    </r>
    <r>
      <rPr>
        <b/>
        <sz val="12"/>
        <rFont val="Times New Roman"/>
        <family val="1"/>
      </rPr>
      <t xml:space="preserve"> =</t>
    </r>
  </si>
  <si>
    <r>
      <t>d</t>
    </r>
    <r>
      <rPr>
        <b/>
        <vertAlign val="subscript"/>
        <sz val="12"/>
        <rFont val="Times New Roman"/>
        <family val="1"/>
      </rPr>
      <t>ev</t>
    </r>
    <r>
      <rPr>
        <b/>
        <sz val="12"/>
        <rFont val="Times New Roman"/>
        <family val="1"/>
      </rPr>
      <t xml:space="preserve"> =</t>
    </r>
  </si>
  <si>
    <r>
      <t>d</t>
    </r>
    <r>
      <rPr>
        <b/>
        <vertAlign val="subscript"/>
        <sz val="12"/>
        <rFont val="Times New Roman"/>
        <family val="1"/>
      </rPr>
      <t>eh</t>
    </r>
    <r>
      <rPr>
        <b/>
        <sz val="12"/>
        <rFont val="Times New Roman"/>
        <family val="1"/>
      </rPr>
      <t xml:space="preserve"> =</t>
    </r>
  </si>
  <si>
    <t>Nº Linhas Parafusos (Verticais):</t>
  </si>
  <si>
    <t>Nº Parafusos Linha:</t>
  </si>
  <si>
    <r>
      <t>d</t>
    </r>
    <r>
      <rPr>
        <b/>
        <vertAlign val="subscript"/>
        <sz val="12"/>
        <rFont val="Times New Roman"/>
        <family val="1"/>
      </rPr>
      <t>fs</t>
    </r>
    <r>
      <rPr>
        <b/>
        <sz val="12"/>
        <rFont val="Times New Roman"/>
        <family val="1"/>
      </rPr>
      <t xml:space="preserve"> =</t>
    </r>
  </si>
  <si>
    <t>f =</t>
  </si>
  <si>
    <r>
      <t>e</t>
    </r>
    <r>
      <rPr>
        <b/>
        <vertAlign val="subscript"/>
        <sz val="12"/>
        <rFont val="Times New Roman"/>
        <family val="1"/>
      </rPr>
      <t>p</t>
    </r>
    <r>
      <rPr>
        <b/>
        <sz val="12"/>
        <rFont val="Times New Roman"/>
        <family val="1"/>
      </rPr>
      <t xml:space="preserve"> =</t>
    </r>
  </si>
  <si>
    <t>Dados da Chapa (Single-Plate)</t>
  </si>
  <si>
    <r>
      <t>t</t>
    </r>
    <r>
      <rPr>
        <b/>
        <vertAlign val="subscript"/>
        <sz val="12"/>
        <rFont val="Times New Roman"/>
        <family val="1"/>
      </rPr>
      <t>p</t>
    </r>
    <r>
      <rPr>
        <b/>
        <sz val="12"/>
        <rFont val="Times New Roman"/>
        <family val="1"/>
      </rPr>
      <t xml:space="preserve"> =</t>
    </r>
  </si>
  <si>
    <r>
      <t>d</t>
    </r>
    <r>
      <rPr>
        <b/>
        <vertAlign val="subscript"/>
        <sz val="12"/>
        <rFont val="Times New Roman"/>
        <family val="1"/>
      </rPr>
      <t>p</t>
    </r>
    <r>
      <rPr>
        <b/>
        <sz val="12"/>
        <rFont val="Times New Roman"/>
        <family val="1"/>
      </rPr>
      <t xml:space="preserve"> =</t>
    </r>
  </si>
  <si>
    <r>
      <t>F</t>
    </r>
    <r>
      <rPr>
        <b/>
        <vertAlign val="subscript"/>
        <sz val="12"/>
        <rFont val="Times New Roman"/>
        <family val="1"/>
      </rPr>
      <t>yp</t>
    </r>
    <r>
      <rPr>
        <b/>
        <sz val="12"/>
        <rFont val="Times New Roman"/>
        <family val="1"/>
      </rPr>
      <t xml:space="preserve"> =</t>
    </r>
  </si>
  <si>
    <r>
      <t>F</t>
    </r>
    <r>
      <rPr>
        <b/>
        <vertAlign val="subscript"/>
        <sz val="12"/>
        <rFont val="Times New Roman"/>
        <family val="1"/>
      </rPr>
      <t>up</t>
    </r>
    <r>
      <rPr>
        <b/>
        <sz val="12"/>
        <rFont val="Times New Roman"/>
        <family val="1"/>
      </rPr>
      <t xml:space="preserve"> =</t>
    </r>
  </si>
  <si>
    <t>Parafusos / Geometria da Ligação</t>
  </si>
  <si>
    <t>ASTM A325N</t>
  </si>
  <si>
    <t>Parafusos:</t>
  </si>
  <si>
    <t>Furo Padrão + 2mm =</t>
  </si>
  <si>
    <r>
      <t>A</t>
    </r>
    <r>
      <rPr>
        <vertAlign val="subscript"/>
        <sz val="12"/>
        <rFont val="Times New Roman"/>
        <family val="1"/>
      </rPr>
      <t>b</t>
    </r>
    <r>
      <rPr>
        <sz val="12"/>
        <color theme="1"/>
        <rFont val="Times New Roman"/>
        <family val="2"/>
      </rPr>
      <t xml:space="preserve"> =</t>
    </r>
  </si>
  <si>
    <r>
      <t>F</t>
    </r>
    <r>
      <rPr>
        <vertAlign val="subscript"/>
        <sz val="12"/>
        <rFont val="Times New Roman"/>
        <family val="1"/>
      </rPr>
      <t>n</t>
    </r>
    <r>
      <rPr>
        <sz val="12"/>
        <rFont val="Times New Roman"/>
        <family val="1"/>
      </rPr>
      <t xml:space="preserve"> =</t>
    </r>
  </si>
  <si>
    <r>
      <rPr>
        <sz val="12"/>
        <rFont val="Symbol"/>
        <family val="1"/>
        <charset val="2"/>
      </rPr>
      <t>f</t>
    </r>
    <r>
      <rPr>
        <sz val="12"/>
        <rFont val="Times New Roman"/>
        <family val="1"/>
      </rPr>
      <t>·R</t>
    </r>
    <r>
      <rPr>
        <vertAlign val="subscript"/>
        <sz val="12"/>
        <rFont val="Times New Roman"/>
        <family val="1"/>
      </rPr>
      <t>n</t>
    </r>
    <r>
      <rPr>
        <sz val="12"/>
        <rFont val="Times New Roman"/>
        <family val="1"/>
      </rPr>
      <t xml:space="preserve"> = 0,75·F</t>
    </r>
    <r>
      <rPr>
        <vertAlign val="subscript"/>
        <sz val="12"/>
        <rFont val="Times New Roman"/>
        <family val="1"/>
      </rPr>
      <t>n</t>
    </r>
    <r>
      <rPr>
        <sz val="12"/>
        <rFont val="Times New Roman"/>
        <family val="1"/>
      </rPr>
      <t>·A</t>
    </r>
    <r>
      <rPr>
        <vertAlign val="subscript"/>
        <sz val="12"/>
        <rFont val="Times New Roman"/>
        <family val="1"/>
      </rPr>
      <t>b</t>
    </r>
    <r>
      <rPr>
        <sz val="12"/>
        <rFont val="Times New Roman"/>
        <family val="1"/>
      </rPr>
      <t xml:space="preserve"> =</t>
    </r>
  </si>
  <si>
    <t>Resistência do Parafuso Considerando Um Plano de Corte</t>
  </si>
  <si>
    <r>
      <rPr>
        <sz val="12"/>
        <rFont val="Symbol"/>
        <family val="1"/>
        <charset val="2"/>
      </rPr>
      <t>f</t>
    </r>
    <r>
      <rPr>
        <sz val="12"/>
        <rFont val="Times New Roman"/>
        <family val="1"/>
      </rPr>
      <t>·R</t>
    </r>
    <r>
      <rPr>
        <vertAlign val="subscript"/>
        <sz val="12"/>
        <rFont val="Times New Roman"/>
        <family val="1"/>
      </rPr>
      <t>n</t>
    </r>
    <r>
      <rPr>
        <sz val="12"/>
        <rFont val="Times New Roman"/>
        <family val="1"/>
      </rPr>
      <t xml:space="preserve"> Total =</t>
    </r>
  </si>
  <si>
    <t>Nº de Linhas de Parafusos:</t>
  </si>
  <si>
    <t>Distância Solda / Parafuso:</t>
  </si>
  <si>
    <t>Distância Horizontal Parafuso / Bordas:</t>
  </si>
  <si>
    <t>Viga:</t>
  </si>
  <si>
    <t>Chapa:</t>
  </si>
  <si>
    <r>
      <t>d</t>
    </r>
    <r>
      <rPr>
        <vertAlign val="subscript"/>
        <sz val="12"/>
        <rFont val="Times New Roman"/>
        <family val="1"/>
      </rPr>
      <t>b</t>
    </r>
    <r>
      <rPr>
        <sz val="12"/>
        <color theme="1"/>
        <rFont val="Times New Roman"/>
        <family val="2"/>
      </rPr>
      <t xml:space="preserve"> =</t>
    </r>
  </si>
  <si>
    <t>Esforços de Cálculo</t>
  </si>
  <si>
    <t>Espessura da Alma da Viga:</t>
  </si>
  <si>
    <t>Espessura da Chapa:</t>
  </si>
  <si>
    <t>Resistência do Grupo de Parafusos</t>
  </si>
  <si>
    <r>
      <t>M</t>
    </r>
    <r>
      <rPr>
        <vertAlign val="subscript"/>
        <sz val="10"/>
        <color indexed="8"/>
        <rFont val="Times New Roman"/>
        <family val="2"/>
      </rPr>
      <t>max</t>
    </r>
    <r>
      <rPr>
        <sz val="10"/>
        <color indexed="8"/>
        <rFont val="Times New Roman"/>
        <family val="2"/>
      </rPr>
      <t xml:space="preserve"> = 1,25·F</t>
    </r>
    <r>
      <rPr>
        <vertAlign val="subscript"/>
        <sz val="10"/>
        <color indexed="8"/>
        <rFont val="Times New Roman"/>
        <family val="2"/>
      </rPr>
      <t>v</t>
    </r>
    <r>
      <rPr>
        <sz val="10"/>
        <color indexed="8"/>
        <rFont val="Times New Roman"/>
        <family val="2"/>
      </rPr>
      <t>·A</t>
    </r>
    <r>
      <rPr>
        <vertAlign val="subscript"/>
        <sz val="10"/>
        <color indexed="8"/>
        <rFont val="Times New Roman"/>
        <family val="2"/>
      </rPr>
      <t>b</t>
    </r>
    <r>
      <rPr>
        <sz val="10"/>
        <color indexed="8"/>
        <rFont val="Times New Roman"/>
        <family val="2"/>
      </rPr>
      <t>·C' =</t>
    </r>
  </si>
  <si>
    <r>
      <t>t</t>
    </r>
    <r>
      <rPr>
        <vertAlign val="subscript"/>
        <sz val="12"/>
        <color indexed="8"/>
        <rFont val="Times New Roman"/>
        <family val="1"/>
      </rPr>
      <t>max</t>
    </r>
    <r>
      <rPr>
        <sz val="12"/>
        <color theme="1"/>
        <rFont val="Times New Roman"/>
        <family val="2"/>
      </rPr>
      <t xml:space="preserve"> =</t>
    </r>
  </si>
  <si>
    <t>Viga</t>
  </si>
  <si>
    <r>
      <t>f</t>
    </r>
    <r>
      <rPr>
        <sz val="12"/>
        <rFont val="Times New Roman"/>
        <family val="1"/>
      </rPr>
      <t>·R</t>
    </r>
    <r>
      <rPr>
        <vertAlign val="subscript"/>
        <sz val="12"/>
        <rFont val="Times New Roman"/>
        <family val="1"/>
      </rPr>
      <t>n</t>
    </r>
    <r>
      <rPr>
        <sz val="12"/>
        <rFont val="Times New Roman"/>
        <family val="1"/>
      </rPr>
      <t xml:space="preserve"> = 0,75·0,60·F</t>
    </r>
    <r>
      <rPr>
        <vertAlign val="subscript"/>
        <sz val="12"/>
        <rFont val="Times New Roman"/>
        <family val="1"/>
      </rPr>
      <t>u</t>
    </r>
    <r>
      <rPr>
        <sz val="12"/>
        <rFont val="Times New Roman"/>
        <family val="1"/>
      </rPr>
      <t>·A</t>
    </r>
    <r>
      <rPr>
        <vertAlign val="subscript"/>
        <sz val="12"/>
        <rFont val="Times New Roman"/>
        <family val="1"/>
      </rPr>
      <t>e</t>
    </r>
    <r>
      <rPr>
        <sz val="12"/>
        <rFont val="Times New Roman"/>
        <family val="1"/>
      </rPr>
      <t xml:space="preserve"> =</t>
    </r>
  </si>
  <si>
    <r>
      <t>A</t>
    </r>
    <r>
      <rPr>
        <vertAlign val="subscript"/>
        <sz val="12"/>
        <rFont val="Times New Roman"/>
        <family val="1"/>
      </rPr>
      <t>e</t>
    </r>
    <r>
      <rPr>
        <sz val="12"/>
        <rFont val="Times New Roman"/>
        <family val="1"/>
      </rPr>
      <t xml:space="preserve"> = U·A</t>
    </r>
    <r>
      <rPr>
        <vertAlign val="subscript"/>
        <sz val="12"/>
        <rFont val="Times New Roman"/>
        <family val="1"/>
      </rPr>
      <t>n</t>
    </r>
    <r>
      <rPr>
        <sz val="12"/>
        <rFont val="Times New Roman"/>
        <family val="1"/>
      </rPr>
      <t xml:space="preserve"> =</t>
    </r>
  </si>
  <si>
    <r>
      <t>R</t>
    </r>
    <r>
      <rPr>
        <vertAlign val="subscript"/>
        <sz val="12"/>
        <rFont val="Times New Roman"/>
        <family val="1"/>
      </rPr>
      <t>n</t>
    </r>
    <r>
      <rPr>
        <sz val="12"/>
        <rFont val="Times New Roman"/>
        <family val="1"/>
      </rPr>
      <t xml:space="preserve"> = 1,2·L</t>
    </r>
    <r>
      <rPr>
        <vertAlign val="subscript"/>
        <sz val="12"/>
        <rFont val="Times New Roman"/>
        <family val="1"/>
      </rPr>
      <t>c</t>
    </r>
    <r>
      <rPr>
        <sz val="12"/>
        <rFont val="Times New Roman"/>
        <family val="1"/>
      </rPr>
      <t>·t·F</t>
    </r>
    <r>
      <rPr>
        <vertAlign val="subscript"/>
        <sz val="12"/>
        <rFont val="Times New Roman"/>
        <family val="1"/>
      </rPr>
      <t>u</t>
    </r>
    <r>
      <rPr>
        <sz val="12"/>
        <rFont val="Times New Roman"/>
        <family val="1"/>
      </rPr>
      <t xml:space="preserve"> =</t>
    </r>
  </si>
  <si>
    <r>
      <t>R</t>
    </r>
    <r>
      <rPr>
        <vertAlign val="subscript"/>
        <sz val="12"/>
        <rFont val="Times New Roman"/>
        <family val="1"/>
      </rPr>
      <t>n</t>
    </r>
    <r>
      <rPr>
        <sz val="12"/>
        <rFont val="Times New Roman"/>
        <family val="1"/>
      </rPr>
      <t xml:space="preserve"> = 2,4·d·t·F</t>
    </r>
    <r>
      <rPr>
        <vertAlign val="subscript"/>
        <sz val="12"/>
        <rFont val="Times New Roman"/>
        <family val="1"/>
      </rPr>
      <t>u</t>
    </r>
    <r>
      <rPr>
        <sz val="12"/>
        <rFont val="Times New Roman"/>
        <family val="1"/>
      </rPr>
      <t xml:space="preserve"> =</t>
    </r>
  </si>
  <si>
    <r>
      <t>f</t>
    </r>
    <r>
      <rPr>
        <sz val="12"/>
        <rFont val="Times New Roman"/>
        <family val="1"/>
      </rPr>
      <t>·R</t>
    </r>
    <r>
      <rPr>
        <vertAlign val="subscript"/>
        <sz val="12"/>
        <rFont val="Times New Roman"/>
        <family val="1"/>
      </rPr>
      <t>n</t>
    </r>
    <r>
      <rPr>
        <sz val="12"/>
        <rFont val="Times New Roman"/>
        <family val="1"/>
      </rPr>
      <t xml:space="preserve"> = 0,75·R</t>
    </r>
    <r>
      <rPr>
        <vertAlign val="subscript"/>
        <sz val="12"/>
        <rFont val="Times New Roman"/>
        <family val="1"/>
      </rPr>
      <t>n</t>
    </r>
    <r>
      <rPr>
        <sz val="12"/>
        <rFont val="Times New Roman"/>
        <family val="1"/>
      </rPr>
      <t xml:space="preserve"> =</t>
    </r>
  </si>
  <si>
    <t>Colapso por Rasgamento (Block Shear)</t>
  </si>
  <si>
    <r>
      <t>A</t>
    </r>
    <r>
      <rPr>
        <vertAlign val="subscript"/>
        <sz val="12"/>
        <rFont val="Times New Roman"/>
        <family val="1"/>
      </rPr>
      <t>gt</t>
    </r>
    <r>
      <rPr>
        <sz val="12"/>
        <rFont val="Times New Roman"/>
        <family val="1"/>
      </rPr>
      <t xml:space="preserve"> =</t>
    </r>
  </si>
  <si>
    <r>
      <t>A</t>
    </r>
    <r>
      <rPr>
        <vertAlign val="subscript"/>
        <sz val="12"/>
        <rFont val="Times New Roman"/>
        <family val="1"/>
      </rPr>
      <t>nt</t>
    </r>
    <r>
      <rPr>
        <sz val="12"/>
        <rFont val="Times New Roman"/>
        <family val="1"/>
      </rPr>
      <t xml:space="preserve"> =</t>
    </r>
  </si>
  <si>
    <r>
      <t>A</t>
    </r>
    <r>
      <rPr>
        <vertAlign val="subscript"/>
        <sz val="12"/>
        <rFont val="Times New Roman"/>
        <family val="1"/>
      </rPr>
      <t>gv</t>
    </r>
    <r>
      <rPr>
        <sz val="12"/>
        <rFont val="Times New Roman"/>
        <family val="1"/>
      </rPr>
      <t xml:space="preserve"> =</t>
    </r>
  </si>
  <si>
    <r>
      <t>A</t>
    </r>
    <r>
      <rPr>
        <vertAlign val="subscript"/>
        <sz val="12"/>
        <rFont val="Times New Roman"/>
        <family val="1"/>
      </rPr>
      <t>nv</t>
    </r>
    <r>
      <rPr>
        <sz val="12"/>
        <rFont val="Times New Roman"/>
        <family val="1"/>
      </rPr>
      <t xml:space="preserve"> =</t>
    </r>
  </si>
  <si>
    <r>
      <t>U</t>
    </r>
    <r>
      <rPr>
        <vertAlign val="subscript"/>
        <sz val="12"/>
        <rFont val="Times New Roman"/>
        <family val="1"/>
      </rPr>
      <t>bs</t>
    </r>
    <r>
      <rPr>
        <sz val="12"/>
        <rFont val="Times New Roman"/>
        <family val="1"/>
      </rPr>
      <t xml:space="preserve"> =</t>
    </r>
  </si>
  <si>
    <t>(Ver Comentários no AISC 13th)</t>
  </si>
  <si>
    <r>
      <t>0,60·F</t>
    </r>
    <r>
      <rPr>
        <vertAlign val="subscript"/>
        <sz val="12"/>
        <rFont val="Times New Roman"/>
        <family val="1"/>
      </rPr>
      <t>u</t>
    </r>
    <r>
      <rPr>
        <sz val="12"/>
        <rFont val="Times New Roman"/>
        <family val="1"/>
      </rPr>
      <t>·A</t>
    </r>
    <r>
      <rPr>
        <vertAlign val="subscript"/>
        <sz val="12"/>
        <rFont val="Times New Roman"/>
        <family val="1"/>
      </rPr>
      <t>nv</t>
    </r>
    <r>
      <rPr>
        <sz val="12"/>
        <rFont val="Times New Roman"/>
        <family val="1"/>
      </rPr>
      <t>+U</t>
    </r>
    <r>
      <rPr>
        <vertAlign val="subscript"/>
        <sz val="12"/>
        <rFont val="Times New Roman"/>
        <family val="1"/>
      </rPr>
      <t>bs</t>
    </r>
    <r>
      <rPr>
        <sz val="12"/>
        <rFont val="Times New Roman"/>
        <family val="1"/>
      </rPr>
      <t>·F</t>
    </r>
    <r>
      <rPr>
        <vertAlign val="subscript"/>
        <sz val="12"/>
        <rFont val="Times New Roman"/>
        <family val="1"/>
      </rPr>
      <t>u</t>
    </r>
    <r>
      <rPr>
        <sz val="12"/>
        <rFont val="Times New Roman"/>
        <family val="1"/>
      </rPr>
      <t>·A</t>
    </r>
    <r>
      <rPr>
        <vertAlign val="subscript"/>
        <sz val="12"/>
        <rFont val="Times New Roman"/>
        <family val="1"/>
      </rPr>
      <t>nt</t>
    </r>
    <r>
      <rPr>
        <sz val="12"/>
        <rFont val="Times New Roman"/>
        <family val="1"/>
      </rPr>
      <t xml:space="preserve"> =</t>
    </r>
  </si>
  <si>
    <r>
      <t>0,60·F</t>
    </r>
    <r>
      <rPr>
        <vertAlign val="subscript"/>
        <sz val="12"/>
        <rFont val="Times New Roman"/>
        <family val="1"/>
      </rPr>
      <t>y</t>
    </r>
    <r>
      <rPr>
        <sz val="12"/>
        <rFont val="Times New Roman"/>
        <family val="1"/>
      </rPr>
      <t>·A</t>
    </r>
    <r>
      <rPr>
        <vertAlign val="subscript"/>
        <sz val="12"/>
        <rFont val="Times New Roman"/>
        <family val="1"/>
      </rPr>
      <t>gv</t>
    </r>
    <r>
      <rPr>
        <sz val="12"/>
        <rFont val="Times New Roman"/>
        <family val="1"/>
      </rPr>
      <t>+U</t>
    </r>
    <r>
      <rPr>
        <vertAlign val="subscript"/>
        <sz val="12"/>
        <rFont val="Times New Roman"/>
        <family val="1"/>
      </rPr>
      <t>bs</t>
    </r>
    <r>
      <rPr>
        <sz val="12"/>
        <rFont val="Times New Roman"/>
        <family val="1"/>
      </rPr>
      <t>·F</t>
    </r>
    <r>
      <rPr>
        <vertAlign val="subscript"/>
        <sz val="12"/>
        <rFont val="Times New Roman"/>
        <family val="1"/>
      </rPr>
      <t>u</t>
    </r>
    <r>
      <rPr>
        <sz val="12"/>
        <rFont val="Times New Roman"/>
        <family val="1"/>
      </rPr>
      <t>·A</t>
    </r>
    <r>
      <rPr>
        <vertAlign val="subscript"/>
        <sz val="12"/>
        <rFont val="Times New Roman"/>
        <family val="1"/>
      </rPr>
      <t>nt</t>
    </r>
    <r>
      <rPr>
        <sz val="12"/>
        <rFont val="Times New Roman"/>
        <family val="1"/>
      </rPr>
      <t xml:space="preserve"> =</t>
    </r>
  </si>
  <si>
    <r>
      <t>A</t>
    </r>
    <r>
      <rPr>
        <vertAlign val="subscript"/>
        <sz val="12"/>
        <rFont val="Times New Roman"/>
        <family val="1"/>
      </rPr>
      <t>g</t>
    </r>
    <r>
      <rPr>
        <sz val="12"/>
        <color theme="1"/>
        <rFont val="Times New Roman"/>
        <family val="2"/>
      </rPr>
      <t xml:space="preserve"> =</t>
    </r>
  </si>
  <si>
    <r>
      <t>L</t>
    </r>
    <r>
      <rPr>
        <vertAlign val="subscript"/>
        <sz val="12"/>
        <rFont val="Times New Roman"/>
        <family val="1"/>
      </rPr>
      <t>ci</t>
    </r>
    <r>
      <rPr>
        <sz val="12"/>
        <color theme="1"/>
        <rFont val="Times New Roman"/>
        <family val="2"/>
      </rPr>
      <t xml:space="preserve"> =</t>
    </r>
  </si>
  <si>
    <r>
      <t>L</t>
    </r>
    <r>
      <rPr>
        <vertAlign val="subscript"/>
        <sz val="12"/>
        <rFont val="Times New Roman"/>
        <family val="1"/>
      </rPr>
      <t>ce</t>
    </r>
    <r>
      <rPr>
        <sz val="12"/>
        <color theme="1"/>
        <rFont val="Times New Roman"/>
        <family val="2"/>
      </rPr>
      <t xml:space="preserve"> =</t>
    </r>
  </si>
  <si>
    <t>Pressão de Contato nos Furos ("Bearing Strength")</t>
  </si>
  <si>
    <t>Chapa</t>
  </si>
  <si>
    <t>Escoamento Seção Bruta</t>
  </si>
  <si>
    <t>Ruptura Seção Líquida</t>
  </si>
  <si>
    <r>
      <t>U</t>
    </r>
    <r>
      <rPr>
        <sz val="12"/>
        <rFont val="Times New Roman"/>
        <family val="1"/>
      </rPr>
      <t xml:space="preserve"> =</t>
    </r>
  </si>
  <si>
    <t>Verificação da Seção Líquida da Viga Considerando Recorte nos Flanges - Ruptura por Escoamento a Flexão</t>
  </si>
  <si>
    <r>
      <t>A</t>
    </r>
    <r>
      <rPr>
        <vertAlign val="subscript"/>
        <sz val="12"/>
        <rFont val="Times New Roman"/>
        <family val="1"/>
      </rPr>
      <t>wn</t>
    </r>
    <r>
      <rPr>
        <sz val="12"/>
        <rFont val="Times New Roman"/>
        <family val="1"/>
      </rPr>
      <t xml:space="preserve"> =</t>
    </r>
  </si>
  <si>
    <r>
      <t>Y</t>
    </r>
    <r>
      <rPr>
        <vertAlign val="subscript"/>
        <sz val="12"/>
        <rFont val="Times New Roman"/>
        <family val="1"/>
      </rPr>
      <t>CGw</t>
    </r>
    <r>
      <rPr>
        <sz val="12"/>
        <rFont val="Times New Roman"/>
        <family val="1"/>
      </rPr>
      <t xml:space="preserve"> =</t>
    </r>
  </si>
  <si>
    <r>
      <t>d</t>
    </r>
    <r>
      <rPr>
        <vertAlign val="subscript"/>
        <sz val="12"/>
        <rFont val="Times New Roman"/>
        <family val="1"/>
      </rPr>
      <t>w</t>
    </r>
    <r>
      <rPr>
        <sz val="12"/>
        <rFont val="Times New Roman"/>
        <family val="1"/>
      </rPr>
      <t xml:space="preserve"> =</t>
    </r>
  </si>
  <si>
    <r>
      <t>I</t>
    </r>
    <r>
      <rPr>
        <vertAlign val="subscript"/>
        <sz val="12"/>
        <rFont val="Times New Roman"/>
        <family val="1"/>
      </rPr>
      <t>xn</t>
    </r>
    <r>
      <rPr>
        <sz val="12"/>
        <rFont val="Times New Roman"/>
        <family val="1"/>
      </rPr>
      <t xml:space="preserve"> (cm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>) =</t>
    </r>
  </si>
  <si>
    <r>
      <t>A</t>
    </r>
    <r>
      <rPr>
        <vertAlign val="subscript"/>
        <sz val="12"/>
        <rFont val="Times New Roman"/>
        <family val="1"/>
      </rPr>
      <t>fi</t>
    </r>
    <r>
      <rPr>
        <sz val="12"/>
        <rFont val="Times New Roman"/>
        <family val="1"/>
      </rPr>
      <t xml:space="preserve"> =</t>
    </r>
  </si>
  <si>
    <r>
      <t>Y</t>
    </r>
    <r>
      <rPr>
        <vertAlign val="subscript"/>
        <sz val="12"/>
        <rFont val="Times New Roman"/>
        <family val="1"/>
      </rPr>
      <t>CGfi</t>
    </r>
    <r>
      <rPr>
        <sz val="12"/>
        <rFont val="Times New Roman"/>
        <family val="1"/>
      </rPr>
      <t xml:space="preserve"> =</t>
    </r>
  </si>
  <si>
    <r>
      <t>d</t>
    </r>
    <r>
      <rPr>
        <vertAlign val="subscript"/>
        <sz val="12"/>
        <rFont val="Times New Roman"/>
        <family val="1"/>
      </rPr>
      <t>fi</t>
    </r>
    <r>
      <rPr>
        <sz val="12"/>
        <rFont val="Times New Roman"/>
        <family val="1"/>
      </rPr>
      <t xml:space="preserve"> =</t>
    </r>
  </si>
  <si>
    <r>
      <t>w</t>
    </r>
    <r>
      <rPr>
        <vertAlign val="subscript"/>
        <sz val="12"/>
        <rFont val="Times New Roman"/>
        <family val="1"/>
      </rPr>
      <t>xn</t>
    </r>
    <r>
      <rPr>
        <sz val="12"/>
        <rFont val="Times New Roman"/>
        <family val="1"/>
      </rPr>
      <t xml:space="preserve"> =</t>
    </r>
  </si>
  <si>
    <r>
      <t>Y</t>
    </r>
    <r>
      <rPr>
        <vertAlign val="subscript"/>
        <sz val="12"/>
        <rFont val="Times New Roman"/>
        <family val="1"/>
      </rPr>
      <t>CGn</t>
    </r>
    <r>
      <rPr>
        <sz val="12"/>
        <rFont val="Times New Roman"/>
        <family val="1"/>
      </rPr>
      <t xml:space="preserve"> =</t>
    </r>
  </si>
  <si>
    <r>
      <t>f</t>
    </r>
    <r>
      <rPr>
        <vertAlign val="subscript"/>
        <sz val="12"/>
        <rFont val="Times New Roman"/>
        <family val="1"/>
      </rPr>
      <t>b</t>
    </r>
    <r>
      <rPr>
        <sz val="12"/>
        <rFont val="Times New Roman"/>
        <family val="1"/>
      </rPr>
      <t>·M</t>
    </r>
    <r>
      <rPr>
        <vertAlign val="subscript"/>
        <sz val="12"/>
        <rFont val="Times New Roman"/>
        <family val="1"/>
      </rPr>
      <t>n</t>
    </r>
    <r>
      <rPr>
        <sz val="12"/>
        <rFont val="Times New Roman"/>
        <family val="1"/>
      </rPr>
      <t xml:space="preserve"> = 0,75·F</t>
    </r>
    <r>
      <rPr>
        <vertAlign val="subscript"/>
        <sz val="12"/>
        <rFont val="Times New Roman"/>
        <family val="1"/>
      </rPr>
      <t>u</t>
    </r>
    <r>
      <rPr>
        <sz val="12"/>
        <rFont val="Times New Roman"/>
        <family val="1"/>
      </rPr>
      <t>·w</t>
    </r>
    <r>
      <rPr>
        <vertAlign val="subscript"/>
        <sz val="12"/>
        <rFont val="Times New Roman"/>
        <family val="1"/>
      </rPr>
      <t>xn</t>
    </r>
    <r>
      <rPr>
        <sz val="12"/>
        <rFont val="Times New Roman"/>
        <family val="1"/>
      </rPr>
      <t xml:space="preserve"> =</t>
    </r>
  </si>
  <si>
    <t>Verificação da Seção Líquida da Viga Considerando Recorte no Flange Superior - Flambagem Local da Alma</t>
  </si>
  <si>
    <t>k =</t>
  </si>
  <si>
    <r>
      <t>f</t>
    </r>
    <r>
      <rPr>
        <vertAlign val="subscript"/>
        <sz val="12"/>
        <rFont val="Times New Roman"/>
        <family val="1"/>
      </rPr>
      <t>b</t>
    </r>
    <r>
      <rPr>
        <sz val="12"/>
        <rFont val="Times New Roman"/>
        <family val="1"/>
      </rPr>
      <t>·M</t>
    </r>
    <r>
      <rPr>
        <vertAlign val="subscript"/>
        <sz val="12"/>
        <rFont val="Times New Roman"/>
        <family val="1"/>
      </rPr>
      <t>n</t>
    </r>
    <r>
      <rPr>
        <sz val="12"/>
        <rFont val="Times New Roman"/>
        <family val="1"/>
      </rPr>
      <t xml:space="preserve"> = 0,90·F</t>
    </r>
    <r>
      <rPr>
        <vertAlign val="subscript"/>
        <sz val="12"/>
        <rFont val="Times New Roman"/>
        <family val="1"/>
      </rPr>
      <t>cr</t>
    </r>
    <r>
      <rPr>
        <sz val="12"/>
        <rFont val="Times New Roman"/>
        <family val="1"/>
      </rPr>
      <t>·w</t>
    </r>
    <r>
      <rPr>
        <vertAlign val="subscript"/>
        <sz val="12"/>
        <rFont val="Times New Roman"/>
        <family val="1"/>
      </rPr>
      <t>xn</t>
    </r>
    <r>
      <rPr>
        <sz val="12"/>
        <rFont val="Times New Roman"/>
        <family val="1"/>
      </rPr>
      <t xml:space="preserve"> =</t>
    </r>
  </si>
  <si>
    <t>Verificação da Seção Líquida da Viga Considerando Recorte em Ambos os Flanges - Flambagem Lateral por Torção da Alma</t>
  </si>
  <si>
    <t>Q =</t>
  </si>
  <si>
    <t>Não Aplicável</t>
  </si>
  <si>
    <r>
      <t>h</t>
    </r>
    <r>
      <rPr>
        <vertAlign val="subscript"/>
        <sz val="12"/>
        <rFont val="Times New Roman"/>
        <family val="1"/>
      </rPr>
      <t>o</t>
    </r>
    <r>
      <rPr>
        <sz val="12"/>
        <color theme="1"/>
        <rFont val="Times New Roman"/>
        <family val="2"/>
      </rPr>
      <t xml:space="preserve"> =</t>
    </r>
  </si>
  <si>
    <r>
      <t>F</t>
    </r>
    <r>
      <rPr>
        <vertAlign val="subscript"/>
        <sz val="12"/>
        <rFont val="Times New Roman"/>
        <family val="1"/>
      </rPr>
      <t>cr</t>
    </r>
    <r>
      <rPr>
        <sz val="12"/>
        <color theme="1"/>
        <rFont val="Times New Roman"/>
        <family val="2"/>
      </rPr>
      <t xml:space="preserve"> =</t>
    </r>
  </si>
  <si>
    <r>
      <t>Para d</t>
    </r>
    <r>
      <rPr>
        <vertAlign val="subscript"/>
        <sz val="12"/>
        <rFont val="Times New Roman"/>
        <family val="1"/>
      </rPr>
      <t>c</t>
    </r>
    <r>
      <rPr>
        <sz val="12"/>
        <color theme="1"/>
        <rFont val="Times New Roman"/>
        <family val="2"/>
      </rPr>
      <t xml:space="preserve"> ≤ 0,2·d:</t>
    </r>
  </si>
  <si>
    <r>
      <t>Para d</t>
    </r>
    <r>
      <rPr>
        <vertAlign val="subscript"/>
        <sz val="12"/>
        <rFont val="Times New Roman"/>
        <family val="1"/>
      </rPr>
      <t>c</t>
    </r>
    <r>
      <rPr>
        <sz val="12"/>
        <color theme="1"/>
        <rFont val="Times New Roman"/>
        <family val="2"/>
      </rPr>
      <t xml:space="preserve"> &gt; 0,2·d:</t>
    </r>
  </si>
  <si>
    <r>
      <t>f</t>
    </r>
    <r>
      <rPr>
        <vertAlign val="subscript"/>
        <sz val="12"/>
        <rFont val="Times New Roman"/>
        <family val="1"/>
      </rPr>
      <t>d</t>
    </r>
    <r>
      <rPr>
        <sz val="12"/>
        <color theme="1"/>
        <rFont val="Times New Roman"/>
        <family val="2"/>
      </rPr>
      <t xml:space="preserve"> = 3,5-7,5·(d</t>
    </r>
    <r>
      <rPr>
        <vertAlign val="subscript"/>
        <sz val="12"/>
        <rFont val="Times New Roman"/>
        <family val="1"/>
      </rPr>
      <t>c</t>
    </r>
    <r>
      <rPr>
        <sz val="12"/>
        <color theme="1"/>
        <rFont val="Times New Roman"/>
        <family val="2"/>
      </rPr>
      <t>/d) =</t>
    </r>
  </si>
  <si>
    <r>
      <t>l</t>
    </r>
    <r>
      <rPr>
        <sz val="12"/>
        <color theme="1"/>
        <rFont val="Times New Roman"/>
        <family val="2"/>
      </rPr>
      <t xml:space="preserve"> =</t>
    </r>
  </si>
  <si>
    <r>
      <t>F</t>
    </r>
    <r>
      <rPr>
        <vertAlign val="subscript"/>
        <sz val="12"/>
        <rFont val="Times New Roman"/>
        <family val="1"/>
      </rPr>
      <t>cr</t>
    </r>
    <r>
      <rPr>
        <sz val="12"/>
        <color theme="1"/>
        <rFont val="Times New Roman"/>
        <family val="2"/>
      </rPr>
      <t xml:space="preserve"> = F</t>
    </r>
    <r>
      <rPr>
        <vertAlign val="subscript"/>
        <sz val="12"/>
        <rFont val="Times New Roman"/>
        <family val="1"/>
      </rPr>
      <t>y</t>
    </r>
    <r>
      <rPr>
        <sz val="12"/>
        <color theme="1"/>
        <rFont val="Times New Roman"/>
        <family val="2"/>
      </rPr>
      <t>·Q =</t>
    </r>
  </si>
  <si>
    <t>Verificações</t>
  </si>
  <si>
    <t>Esforço Cortante</t>
  </si>
  <si>
    <t>Esforço Axial</t>
  </si>
  <si>
    <r>
      <t>A</t>
    </r>
    <r>
      <rPr>
        <b/>
        <vertAlign val="subscript"/>
        <sz val="12"/>
        <rFont val="Times New Roman"/>
        <family val="1"/>
      </rPr>
      <t>g</t>
    </r>
  </si>
  <si>
    <t>cm²</t>
  </si>
  <si>
    <r>
      <t>A</t>
    </r>
    <r>
      <rPr>
        <b/>
        <vertAlign val="subscript"/>
        <sz val="12"/>
        <rFont val="Times New Roman"/>
        <family val="1"/>
      </rPr>
      <t>g</t>
    </r>
    <r>
      <rPr>
        <b/>
        <sz val="12"/>
        <rFont val="Times New Roman"/>
        <family val="1"/>
      </rPr>
      <t xml:space="preserve"> (cm²) =</t>
    </r>
  </si>
  <si>
    <r>
      <t>f</t>
    </r>
    <r>
      <rPr>
        <sz val="12"/>
        <rFont val="Times New Roman"/>
        <family val="1"/>
      </rPr>
      <t>·R</t>
    </r>
    <r>
      <rPr>
        <vertAlign val="subscript"/>
        <sz val="12"/>
        <rFont val="Times New Roman"/>
        <family val="1"/>
      </rPr>
      <t>n</t>
    </r>
    <r>
      <rPr>
        <sz val="12"/>
        <rFont val="Times New Roman"/>
        <family val="1"/>
      </rPr>
      <t xml:space="preserve"> = 0,90·F</t>
    </r>
    <r>
      <rPr>
        <vertAlign val="subscript"/>
        <sz val="12"/>
        <rFont val="Times New Roman"/>
        <family val="1"/>
      </rPr>
      <t>y</t>
    </r>
    <r>
      <rPr>
        <sz val="12"/>
        <rFont val="Times New Roman"/>
        <family val="1"/>
      </rPr>
      <t>·A</t>
    </r>
    <r>
      <rPr>
        <vertAlign val="subscript"/>
        <sz val="12"/>
        <rFont val="Times New Roman"/>
        <family val="1"/>
      </rPr>
      <t>g</t>
    </r>
    <r>
      <rPr>
        <sz val="12"/>
        <rFont val="Times New Roman"/>
        <family val="1"/>
      </rPr>
      <t xml:space="preserve"> =</t>
    </r>
  </si>
  <si>
    <t>Verificações Adicionais da Chapa Submetida a Esforço Axial</t>
  </si>
  <si>
    <t>Escoamento da Seção de Whitmore</t>
  </si>
  <si>
    <t>Flambagem a Compressão</t>
  </si>
  <si>
    <r>
      <t>f</t>
    </r>
    <r>
      <rPr>
        <sz val="12"/>
        <rFont val="Times New Roman"/>
        <family val="1"/>
      </rPr>
      <t>·R</t>
    </r>
    <r>
      <rPr>
        <vertAlign val="subscript"/>
        <sz val="12"/>
        <rFont val="Times New Roman"/>
        <family val="1"/>
      </rPr>
      <t>n</t>
    </r>
    <r>
      <rPr>
        <sz val="12"/>
        <rFont val="Times New Roman"/>
        <family val="1"/>
      </rPr>
      <t xml:space="preserve"> = 0,75·F</t>
    </r>
    <r>
      <rPr>
        <vertAlign val="subscript"/>
        <sz val="12"/>
        <rFont val="Times New Roman"/>
        <family val="1"/>
      </rPr>
      <t>u</t>
    </r>
    <r>
      <rPr>
        <sz val="12"/>
        <rFont val="Times New Roman"/>
        <family val="1"/>
      </rPr>
      <t>·A</t>
    </r>
    <r>
      <rPr>
        <vertAlign val="subscript"/>
        <sz val="12"/>
        <rFont val="Times New Roman"/>
        <family val="1"/>
      </rPr>
      <t>e</t>
    </r>
    <r>
      <rPr>
        <sz val="12"/>
        <rFont val="Times New Roman"/>
        <family val="1"/>
      </rPr>
      <t xml:space="preserve"> =</t>
    </r>
  </si>
  <si>
    <t>h =</t>
  </si>
  <si>
    <r>
      <t>b</t>
    </r>
    <r>
      <rPr>
        <vertAlign val="subscript"/>
        <sz val="12"/>
        <color indexed="8"/>
        <rFont val="Times New Roman"/>
        <family val="1"/>
      </rPr>
      <t>fs</t>
    </r>
    <r>
      <rPr>
        <sz val="12"/>
        <color theme="1"/>
        <rFont val="Times New Roman"/>
        <family val="2"/>
      </rPr>
      <t>/2 =</t>
    </r>
  </si>
  <si>
    <r>
      <t>t</t>
    </r>
    <r>
      <rPr>
        <vertAlign val="subscript"/>
        <sz val="12"/>
        <color indexed="8"/>
        <rFont val="Times New Roman"/>
        <family val="1"/>
      </rPr>
      <t>fs</t>
    </r>
    <r>
      <rPr>
        <sz val="12"/>
        <color theme="1"/>
        <rFont val="Times New Roman"/>
        <family val="2"/>
      </rPr>
      <t xml:space="preserve"> =</t>
    </r>
  </si>
  <si>
    <r>
      <t>b</t>
    </r>
    <r>
      <rPr>
        <vertAlign val="subscript"/>
        <sz val="12"/>
        <color indexed="8"/>
        <rFont val="Times New Roman"/>
        <family val="1"/>
      </rPr>
      <t>fi</t>
    </r>
    <r>
      <rPr>
        <sz val="12"/>
        <color theme="1"/>
        <rFont val="Times New Roman"/>
        <family val="2"/>
      </rPr>
      <t>/2 =</t>
    </r>
  </si>
  <si>
    <r>
      <t>t</t>
    </r>
    <r>
      <rPr>
        <vertAlign val="subscript"/>
        <sz val="12"/>
        <color indexed="8"/>
        <rFont val="Times New Roman"/>
        <family val="1"/>
      </rPr>
      <t>fi</t>
    </r>
    <r>
      <rPr>
        <sz val="12"/>
        <color theme="1"/>
        <rFont val="Times New Roman"/>
        <family val="2"/>
      </rPr>
      <t xml:space="preserve"> =</t>
    </r>
  </si>
  <si>
    <r>
      <t>t</t>
    </r>
    <r>
      <rPr>
        <vertAlign val="subscript"/>
        <sz val="12"/>
        <color indexed="8"/>
        <rFont val="Times New Roman"/>
        <family val="1"/>
      </rPr>
      <t>w</t>
    </r>
    <r>
      <rPr>
        <sz val="12"/>
        <color theme="1"/>
        <rFont val="Times New Roman"/>
        <family val="2"/>
      </rPr>
      <t>/2 =</t>
    </r>
  </si>
  <si>
    <r>
      <t>x</t>
    </r>
    <r>
      <rPr>
        <vertAlign val="subscript"/>
        <sz val="12"/>
        <color indexed="8"/>
        <rFont val="Times New Roman"/>
        <family val="1"/>
      </rPr>
      <t>CG</t>
    </r>
    <r>
      <rPr>
        <sz val="12"/>
        <color theme="1"/>
        <rFont val="Times New Roman"/>
        <family val="2"/>
      </rPr>
      <t xml:space="preserve"> =</t>
    </r>
  </si>
  <si>
    <t>A =</t>
  </si>
  <si>
    <t>Colapso por Rasgamento (Block Shear) Externo às Linhas de Furos</t>
  </si>
  <si>
    <r>
      <t>d</t>
    </r>
    <r>
      <rPr>
        <vertAlign val="subscript"/>
        <sz val="12"/>
        <color indexed="8"/>
        <rFont val="Times New Roman"/>
        <family val="1"/>
      </rPr>
      <t>wt</t>
    </r>
    <r>
      <rPr>
        <sz val="12"/>
        <color theme="1"/>
        <rFont val="Times New Roman"/>
        <family val="2"/>
      </rPr>
      <t xml:space="preserve"> =</t>
    </r>
  </si>
  <si>
    <r>
      <t>d</t>
    </r>
    <r>
      <rPr>
        <vertAlign val="subscript"/>
        <sz val="12"/>
        <color indexed="8"/>
        <rFont val="Times New Roman"/>
        <family val="1"/>
      </rPr>
      <t>pf</t>
    </r>
    <r>
      <rPr>
        <sz val="12"/>
        <color theme="1"/>
        <rFont val="Times New Roman"/>
        <family val="2"/>
      </rPr>
      <t xml:space="preserve"> =</t>
    </r>
  </si>
  <si>
    <t>I =</t>
  </si>
  <si>
    <t>r =</t>
  </si>
  <si>
    <t>L =</t>
  </si>
  <si>
    <t>K·L/r = 1,20·L/r =</t>
  </si>
  <si>
    <r>
      <t>F</t>
    </r>
    <r>
      <rPr>
        <vertAlign val="subscript"/>
        <sz val="12"/>
        <rFont val="Times New Roman"/>
        <family val="1"/>
      </rPr>
      <t>e</t>
    </r>
    <r>
      <rPr>
        <sz val="12"/>
        <color theme="1"/>
        <rFont val="Times New Roman"/>
        <family val="2"/>
      </rPr>
      <t xml:space="preserve"> =</t>
    </r>
  </si>
  <si>
    <r>
      <rPr>
        <sz val="12"/>
        <color theme="1"/>
        <rFont val="Times New Roman"/>
        <family val="2"/>
      </rPr>
      <t>0,90·F</t>
    </r>
    <r>
      <rPr>
        <vertAlign val="subscript"/>
        <sz val="12"/>
        <rFont val="Times New Roman"/>
        <family val="1"/>
      </rPr>
      <t>cr</t>
    </r>
    <r>
      <rPr>
        <sz val="12"/>
        <color theme="1"/>
        <rFont val="Times New Roman"/>
        <family val="2"/>
      </rPr>
      <t>·A</t>
    </r>
    <r>
      <rPr>
        <vertAlign val="subscript"/>
        <sz val="12"/>
        <rFont val="Times New Roman"/>
        <family val="1"/>
      </rPr>
      <t>g</t>
    </r>
    <r>
      <rPr>
        <sz val="12"/>
        <color theme="1"/>
        <rFont val="Times New Roman"/>
        <family val="2"/>
      </rPr>
      <t xml:space="preserve"> =</t>
    </r>
  </si>
  <si>
    <t>Resistência do Grupo de Parafusos pelo Método do Centro Instatâneo de Rotação Considerando Esmagamento</t>
  </si>
  <si>
    <r>
      <t>V</t>
    </r>
    <r>
      <rPr>
        <b/>
        <vertAlign val="subscript"/>
        <sz val="12"/>
        <rFont val="Times New Roman"/>
        <family val="1"/>
      </rPr>
      <t>d</t>
    </r>
    <r>
      <rPr>
        <b/>
        <sz val="12"/>
        <rFont val="Times New Roman"/>
        <family val="1"/>
      </rPr>
      <t xml:space="preserve"> =</t>
    </r>
  </si>
  <si>
    <r>
      <t>N</t>
    </r>
    <r>
      <rPr>
        <b/>
        <vertAlign val="subscript"/>
        <sz val="12"/>
        <rFont val="Times New Roman"/>
        <family val="1"/>
      </rPr>
      <t>d</t>
    </r>
    <r>
      <rPr>
        <b/>
        <sz val="12"/>
        <rFont val="Times New Roman"/>
        <family val="1"/>
      </rPr>
      <t xml:space="preserve"> =</t>
    </r>
  </si>
  <si>
    <r>
      <t>M</t>
    </r>
    <r>
      <rPr>
        <b/>
        <vertAlign val="subscript"/>
        <sz val="12"/>
        <rFont val="Times New Roman"/>
        <family val="1"/>
      </rPr>
      <t>dv</t>
    </r>
    <r>
      <rPr>
        <b/>
        <sz val="12"/>
        <rFont val="Times New Roman"/>
        <family val="1"/>
      </rPr>
      <t xml:space="preserve"> =</t>
    </r>
  </si>
  <si>
    <r>
      <t>M</t>
    </r>
    <r>
      <rPr>
        <b/>
        <vertAlign val="subscript"/>
        <sz val="12"/>
        <rFont val="Times New Roman"/>
        <family val="1"/>
      </rPr>
      <t>dp</t>
    </r>
    <r>
      <rPr>
        <b/>
        <sz val="12"/>
        <rFont val="Times New Roman"/>
        <family val="1"/>
      </rPr>
      <t xml:space="preserve"> =</t>
    </r>
  </si>
  <si>
    <r>
      <t>V</t>
    </r>
    <r>
      <rPr>
        <vertAlign val="subscript"/>
        <sz val="12"/>
        <color indexed="8"/>
        <rFont val="Times New Roman"/>
        <family val="1"/>
      </rPr>
      <t>d</t>
    </r>
    <r>
      <rPr>
        <sz val="12"/>
        <color theme="1"/>
        <rFont val="Times New Roman"/>
        <family val="2"/>
      </rPr>
      <t xml:space="preserve"> / </t>
    </r>
    <r>
      <rPr>
        <sz val="12"/>
        <color indexed="8"/>
        <rFont val="Symbol"/>
        <family val="1"/>
        <charset val="2"/>
      </rPr>
      <t>f</t>
    </r>
    <r>
      <rPr>
        <vertAlign val="subscript"/>
        <sz val="12"/>
        <color indexed="8"/>
        <rFont val="Times New Roman"/>
        <family val="1"/>
      </rPr>
      <t>v</t>
    </r>
    <r>
      <rPr>
        <sz val="12"/>
        <color theme="1"/>
        <rFont val="Times New Roman"/>
        <family val="2"/>
      </rPr>
      <t>·V</t>
    </r>
    <r>
      <rPr>
        <vertAlign val="subscript"/>
        <sz val="12"/>
        <color indexed="8"/>
        <rFont val="Times New Roman"/>
        <family val="1"/>
      </rPr>
      <t>n</t>
    </r>
    <r>
      <rPr>
        <sz val="12"/>
        <color theme="1"/>
        <rFont val="Times New Roman"/>
        <family val="2"/>
      </rPr>
      <t xml:space="preserve"> =</t>
    </r>
  </si>
  <si>
    <r>
      <t>N</t>
    </r>
    <r>
      <rPr>
        <vertAlign val="subscript"/>
        <sz val="12"/>
        <color indexed="8"/>
        <rFont val="Times New Roman"/>
        <family val="1"/>
      </rPr>
      <t>d</t>
    </r>
    <r>
      <rPr>
        <sz val="12"/>
        <color theme="1"/>
        <rFont val="Times New Roman"/>
        <family val="2"/>
      </rPr>
      <t xml:space="preserve"> / </t>
    </r>
    <r>
      <rPr>
        <sz val="12"/>
        <color indexed="8"/>
        <rFont val="Symbol"/>
        <family val="1"/>
        <charset val="2"/>
      </rPr>
      <t>f</t>
    </r>
    <r>
      <rPr>
        <sz val="12"/>
        <color theme="1"/>
        <rFont val="Times New Roman"/>
        <family val="2"/>
      </rPr>
      <t>·N</t>
    </r>
    <r>
      <rPr>
        <vertAlign val="subscript"/>
        <sz val="12"/>
        <color indexed="8"/>
        <rFont val="Times New Roman"/>
        <family val="1"/>
      </rPr>
      <t>n</t>
    </r>
    <r>
      <rPr>
        <sz val="12"/>
        <color theme="1"/>
        <rFont val="Times New Roman"/>
        <family val="2"/>
      </rPr>
      <t xml:space="preserve"> =</t>
    </r>
  </si>
  <si>
    <t>Pressão de Contato</t>
  </si>
  <si>
    <t>Colapso por Rasgamento</t>
  </si>
  <si>
    <t>Colapso Rasgamento Externo Linhas Furos</t>
  </si>
  <si>
    <t>Verificações Adicionais da Chapa e da Viga Submetidas a Esforço Axial</t>
  </si>
  <si>
    <t>Verificação do Momento Fletor Localizado</t>
  </si>
  <si>
    <r>
      <t>M</t>
    </r>
    <r>
      <rPr>
        <vertAlign val="subscript"/>
        <sz val="12"/>
        <color indexed="8"/>
        <rFont val="Times New Roman"/>
        <family val="1"/>
      </rPr>
      <t>d</t>
    </r>
    <r>
      <rPr>
        <sz val="12"/>
        <color theme="1"/>
        <rFont val="Times New Roman"/>
        <family val="2"/>
      </rPr>
      <t xml:space="preserve"> / </t>
    </r>
    <r>
      <rPr>
        <sz val="12"/>
        <color indexed="8"/>
        <rFont val="Symbol"/>
        <family val="1"/>
        <charset val="2"/>
      </rPr>
      <t>f</t>
    </r>
    <r>
      <rPr>
        <vertAlign val="subscript"/>
        <sz val="12"/>
        <color indexed="8"/>
        <rFont val="Times New Roman"/>
        <family val="1"/>
      </rPr>
      <t>b</t>
    </r>
    <r>
      <rPr>
        <sz val="12"/>
        <color theme="1"/>
        <rFont val="Times New Roman"/>
        <family val="2"/>
      </rPr>
      <t>·M</t>
    </r>
    <r>
      <rPr>
        <vertAlign val="subscript"/>
        <sz val="12"/>
        <color indexed="8"/>
        <rFont val="Times New Roman"/>
        <family val="1"/>
      </rPr>
      <t>n</t>
    </r>
    <r>
      <rPr>
        <sz val="12"/>
        <color theme="1"/>
        <rFont val="Times New Roman"/>
        <family val="2"/>
      </rPr>
      <t xml:space="preserve"> =</t>
    </r>
  </si>
  <si>
    <t xml:space="preserve">Verificação da Chapa a Flexão </t>
  </si>
  <si>
    <t>Escoamento da Seção Bruta</t>
  </si>
  <si>
    <t>Ruptura da Seção Líquida</t>
  </si>
  <si>
    <t>Flambagem Lateral por Torção</t>
  </si>
  <si>
    <r>
      <t>Z</t>
    </r>
    <r>
      <rPr>
        <vertAlign val="subscript"/>
        <sz val="12"/>
        <color indexed="8"/>
        <rFont val="Times New Roman"/>
        <family val="1"/>
      </rPr>
      <t>pl</t>
    </r>
    <r>
      <rPr>
        <sz val="12"/>
        <color theme="1"/>
        <rFont val="Times New Roman"/>
        <family val="2"/>
      </rPr>
      <t xml:space="preserve"> =</t>
    </r>
  </si>
  <si>
    <r>
      <t>f</t>
    </r>
    <r>
      <rPr>
        <vertAlign val="subscript"/>
        <sz val="12"/>
        <rFont val="Times New Roman"/>
        <family val="1"/>
      </rPr>
      <t>b</t>
    </r>
    <r>
      <rPr>
        <sz val="12"/>
        <rFont val="Times New Roman"/>
        <family val="1"/>
      </rPr>
      <t>·M</t>
    </r>
    <r>
      <rPr>
        <vertAlign val="subscript"/>
        <sz val="12"/>
        <rFont val="Times New Roman"/>
        <family val="1"/>
      </rPr>
      <t>n</t>
    </r>
    <r>
      <rPr>
        <sz val="12"/>
        <rFont val="Times New Roman"/>
        <family val="1"/>
      </rPr>
      <t xml:space="preserve"> = 0,90·F</t>
    </r>
    <r>
      <rPr>
        <vertAlign val="subscript"/>
        <sz val="12"/>
        <rFont val="Times New Roman"/>
        <family val="1"/>
      </rPr>
      <t>y</t>
    </r>
    <r>
      <rPr>
        <sz val="12"/>
        <rFont val="Times New Roman"/>
        <family val="1"/>
      </rPr>
      <t>·Z</t>
    </r>
    <r>
      <rPr>
        <vertAlign val="subscript"/>
        <sz val="12"/>
        <rFont val="Times New Roman"/>
        <family val="1"/>
      </rPr>
      <t>pl</t>
    </r>
    <r>
      <rPr>
        <sz val="12"/>
        <rFont val="Times New Roman"/>
        <family val="1"/>
      </rPr>
      <t xml:space="preserve"> =</t>
    </r>
  </si>
  <si>
    <r>
      <t>Z</t>
    </r>
    <r>
      <rPr>
        <vertAlign val="subscript"/>
        <sz val="12"/>
        <color indexed="8"/>
        <rFont val="Times New Roman"/>
        <family val="1"/>
      </rPr>
      <t>net</t>
    </r>
    <r>
      <rPr>
        <sz val="12"/>
        <color theme="1"/>
        <rFont val="Times New Roman"/>
        <family val="2"/>
      </rPr>
      <t xml:space="preserve"> =</t>
    </r>
  </si>
  <si>
    <r>
      <t>f</t>
    </r>
    <r>
      <rPr>
        <vertAlign val="subscript"/>
        <sz val="12"/>
        <rFont val="Times New Roman"/>
        <family val="1"/>
      </rPr>
      <t>b</t>
    </r>
    <r>
      <rPr>
        <sz val="12"/>
        <rFont val="Times New Roman"/>
        <family val="1"/>
      </rPr>
      <t>·M</t>
    </r>
    <r>
      <rPr>
        <vertAlign val="subscript"/>
        <sz val="12"/>
        <rFont val="Times New Roman"/>
        <family val="1"/>
      </rPr>
      <t>n</t>
    </r>
    <r>
      <rPr>
        <sz val="12"/>
        <rFont val="Times New Roman"/>
        <family val="1"/>
      </rPr>
      <t xml:space="preserve"> = 0,75·F</t>
    </r>
    <r>
      <rPr>
        <vertAlign val="subscript"/>
        <sz val="12"/>
        <rFont val="Times New Roman"/>
        <family val="1"/>
      </rPr>
      <t>u</t>
    </r>
    <r>
      <rPr>
        <sz val="12"/>
        <rFont val="Times New Roman"/>
        <family val="1"/>
      </rPr>
      <t>·Z</t>
    </r>
    <r>
      <rPr>
        <vertAlign val="subscript"/>
        <sz val="12"/>
        <rFont val="Times New Roman"/>
        <family val="1"/>
      </rPr>
      <t>net</t>
    </r>
    <r>
      <rPr>
        <sz val="12"/>
        <rFont val="Times New Roman"/>
        <family val="1"/>
      </rPr>
      <t xml:space="preserve"> =</t>
    </r>
  </si>
  <si>
    <t>Verificação das Tensões Combinadas</t>
  </si>
  <si>
    <r>
      <t>0,90·F</t>
    </r>
    <r>
      <rPr>
        <vertAlign val="subscript"/>
        <sz val="12"/>
        <color indexed="8"/>
        <rFont val="Times New Roman"/>
        <family val="1"/>
      </rPr>
      <t>y</t>
    </r>
    <r>
      <rPr>
        <sz val="12"/>
        <color theme="1"/>
        <rFont val="Times New Roman"/>
        <family val="2"/>
      </rPr>
      <t xml:space="preserve"> =</t>
    </r>
  </si>
  <si>
    <t>Equação =</t>
  </si>
  <si>
    <t>Verificação das Tensões Combinadas na Chapa</t>
  </si>
  <si>
    <t>Solda Filete Eletrodo AWS E70XX</t>
  </si>
  <si>
    <r>
      <t>Resultante de Forças (P</t>
    </r>
    <r>
      <rPr>
        <vertAlign val="subscript"/>
        <sz val="12"/>
        <color indexed="8"/>
        <rFont val="Times New Roman"/>
        <family val="1"/>
      </rPr>
      <t>d</t>
    </r>
    <r>
      <rPr>
        <sz val="12"/>
        <color theme="1"/>
        <rFont val="Times New Roman"/>
        <family val="2"/>
      </rPr>
      <t>) =</t>
    </r>
  </si>
  <si>
    <r>
      <rPr>
        <sz val="11"/>
        <rFont val="Times New Roman"/>
        <family val="1"/>
      </rPr>
      <t>P</t>
    </r>
    <r>
      <rPr>
        <vertAlign val="subscript"/>
        <sz val="11"/>
        <rFont val="Times New Roman"/>
        <family val="1"/>
      </rPr>
      <t>d</t>
    </r>
    <r>
      <rPr>
        <sz val="11"/>
        <rFont val="Times New Roman"/>
        <family val="1"/>
      </rPr>
      <t xml:space="preserve"> </t>
    </r>
    <r>
      <rPr>
        <sz val="11"/>
        <rFont val="Symbol"/>
        <family val="1"/>
        <charset val="2"/>
      </rPr>
      <t>/ 2</t>
    </r>
    <r>
      <rPr>
        <sz val="11"/>
        <rFont val="Times New Roman"/>
        <family val="1"/>
      </rPr>
      <t>·</t>
    </r>
    <r>
      <rPr>
        <sz val="11"/>
        <color indexed="8"/>
        <rFont val="Times New Roman"/>
        <family val="2"/>
      </rPr>
      <t>0,75·F</t>
    </r>
    <r>
      <rPr>
        <vertAlign val="subscript"/>
        <sz val="11"/>
        <rFont val="Times New Roman"/>
        <family val="1"/>
      </rPr>
      <t>w</t>
    </r>
    <r>
      <rPr>
        <sz val="11"/>
        <color indexed="8"/>
        <rFont val="Times New Roman"/>
        <family val="2"/>
      </rPr>
      <t>·A</t>
    </r>
    <r>
      <rPr>
        <vertAlign val="subscript"/>
        <sz val="11"/>
        <rFont val="Times New Roman"/>
        <family val="1"/>
      </rPr>
      <t>w</t>
    </r>
    <r>
      <rPr>
        <sz val="11"/>
        <color indexed="8"/>
        <rFont val="Times New Roman"/>
        <family val="2"/>
      </rPr>
      <t>·(1,0+0,5·sen</t>
    </r>
    <r>
      <rPr>
        <vertAlign val="superscript"/>
        <sz val="11"/>
        <rFont val="Times New Roman"/>
        <family val="1"/>
      </rPr>
      <t>1,5</t>
    </r>
    <r>
      <rPr>
        <sz val="11"/>
        <rFont val="Symbol"/>
        <family val="1"/>
        <charset val="2"/>
      </rPr>
      <t>q</t>
    </r>
    <r>
      <rPr>
        <sz val="11"/>
        <color indexed="8"/>
        <rFont val="Times New Roman"/>
        <family val="2"/>
      </rPr>
      <t>) =</t>
    </r>
  </si>
  <si>
    <r>
      <t>Ângulo P</t>
    </r>
    <r>
      <rPr>
        <vertAlign val="subscript"/>
        <sz val="12"/>
        <color indexed="8"/>
        <rFont val="Times New Roman"/>
        <family val="1"/>
      </rPr>
      <t>d</t>
    </r>
    <r>
      <rPr>
        <sz val="12"/>
        <color theme="1"/>
        <rFont val="Times New Roman"/>
        <family val="2"/>
      </rPr>
      <t xml:space="preserve"> / V</t>
    </r>
    <r>
      <rPr>
        <vertAlign val="subscript"/>
        <sz val="12"/>
        <color indexed="8"/>
        <rFont val="Times New Roman"/>
        <family val="1"/>
      </rPr>
      <t>d</t>
    </r>
    <r>
      <rPr>
        <sz val="12"/>
        <color theme="1"/>
        <rFont val="Times New Roman"/>
        <family val="2"/>
      </rPr>
      <t xml:space="preserve"> (</t>
    </r>
    <r>
      <rPr>
        <sz val="12"/>
        <color indexed="8"/>
        <rFont val="Symbol"/>
        <family val="1"/>
        <charset val="2"/>
      </rPr>
      <t>d</t>
    </r>
    <r>
      <rPr>
        <sz val="12"/>
        <color theme="1"/>
        <rFont val="Times New Roman"/>
        <family val="2"/>
      </rPr>
      <t>) =</t>
    </r>
  </si>
  <si>
    <t>Tipo 1</t>
  </si>
  <si>
    <r>
      <rPr>
        <sz val="12"/>
        <color indexed="8"/>
        <rFont val="Symbol"/>
        <family val="1"/>
        <charset val="2"/>
      </rPr>
      <t>q</t>
    </r>
    <r>
      <rPr>
        <sz val="12"/>
        <color theme="1"/>
        <rFont val="Times New Roman"/>
        <family val="2"/>
      </rPr>
      <t xml:space="preserve"> =</t>
    </r>
  </si>
  <si>
    <t>Donald Brandt</t>
  </si>
  <si>
    <t>Crawford and Kulak</t>
  </si>
  <si>
    <r>
      <t>m</t>
    </r>
    <r>
      <rPr>
        <sz val="12"/>
        <color indexed="8"/>
        <rFont val="Times New Roman"/>
        <family val="1"/>
      </rPr>
      <t xml:space="preserve"> =</t>
    </r>
  </si>
  <si>
    <r>
      <t>D</t>
    </r>
    <r>
      <rPr>
        <vertAlign val="subscript"/>
        <sz val="12"/>
        <color indexed="8"/>
        <rFont val="Times New Roman"/>
        <family val="1"/>
      </rPr>
      <t>u</t>
    </r>
    <r>
      <rPr>
        <sz val="12"/>
        <color theme="1"/>
        <rFont val="Times New Roman"/>
        <family val="2"/>
      </rPr>
      <t xml:space="preserve"> =</t>
    </r>
  </si>
  <si>
    <r>
      <t>h</t>
    </r>
    <r>
      <rPr>
        <vertAlign val="subscript"/>
        <sz val="12"/>
        <color indexed="8"/>
        <rFont val="Times New Roman"/>
        <family val="1"/>
      </rPr>
      <t>sc</t>
    </r>
    <r>
      <rPr>
        <sz val="12"/>
        <color theme="1"/>
        <rFont val="Times New Roman"/>
        <family val="2"/>
      </rPr>
      <t xml:space="preserve"> =</t>
    </r>
  </si>
  <si>
    <r>
      <t>T</t>
    </r>
    <r>
      <rPr>
        <vertAlign val="subscript"/>
        <sz val="12"/>
        <color indexed="8"/>
        <rFont val="Times New Roman"/>
        <family val="1"/>
      </rPr>
      <t>b</t>
    </r>
    <r>
      <rPr>
        <sz val="12"/>
        <color theme="1"/>
        <rFont val="Times New Roman"/>
        <family val="2"/>
      </rPr>
      <t xml:space="preserve"> =</t>
    </r>
  </si>
  <si>
    <r>
      <t>N</t>
    </r>
    <r>
      <rPr>
        <vertAlign val="subscript"/>
        <sz val="12"/>
        <color indexed="8"/>
        <rFont val="Times New Roman"/>
        <family val="1"/>
      </rPr>
      <t>s</t>
    </r>
    <r>
      <rPr>
        <sz val="12"/>
        <color theme="1"/>
        <rFont val="Times New Roman"/>
        <family val="2"/>
      </rPr>
      <t xml:space="preserve"> =</t>
    </r>
  </si>
  <si>
    <r>
      <rPr>
        <sz val="12"/>
        <rFont val="Symbol"/>
        <family val="1"/>
        <charset val="2"/>
      </rPr>
      <t>f</t>
    </r>
    <r>
      <rPr>
        <sz val="12"/>
        <rFont val="Times New Roman"/>
        <family val="1"/>
      </rPr>
      <t>·R</t>
    </r>
    <r>
      <rPr>
        <vertAlign val="subscript"/>
        <sz val="12"/>
        <rFont val="Times New Roman"/>
        <family val="1"/>
      </rPr>
      <t>n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=</t>
    </r>
  </si>
  <si>
    <t>Sem Recorte</t>
  </si>
  <si>
    <t>Verificação da Configuração Convencional</t>
  </si>
  <si>
    <r>
      <t>f</t>
    </r>
    <r>
      <rPr>
        <sz val="12"/>
        <rFont val="Times New Roman"/>
        <family val="1"/>
      </rPr>
      <t>·R</t>
    </r>
    <r>
      <rPr>
        <vertAlign val="subscript"/>
        <sz val="12"/>
        <rFont val="Times New Roman"/>
        <family val="1"/>
      </rPr>
      <t>n</t>
    </r>
    <r>
      <rPr>
        <sz val="12"/>
        <rFont val="Times New Roman"/>
        <family val="1"/>
      </rPr>
      <t xml:space="preserve"> = 1,00,·0,60·F</t>
    </r>
    <r>
      <rPr>
        <vertAlign val="subscript"/>
        <sz val="12"/>
        <rFont val="Times New Roman"/>
        <family val="1"/>
      </rPr>
      <t>y</t>
    </r>
    <r>
      <rPr>
        <sz val="12"/>
        <rFont val="Times New Roman"/>
        <family val="1"/>
      </rPr>
      <t>·A</t>
    </r>
    <r>
      <rPr>
        <vertAlign val="subscript"/>
        <sz val="12"/>
        <rFont val="Times New Roman"/>
        <family val="1"/>
      </rPr>
      <t>g</t>
    </r>
    <r>
      <rPr>
        <sz val="12"/>
        <rFont val="Times New Roman"/>
        <family val="1"/>
      </rPr>
      <t xml:space="preserve"> =</t>
    </r>
  </si>
  <si>
    <r>
      <t>f</t>
    </r>
    <r>
      <rPr>
        <sz val="12"/>
        <rFont val="Times New Roman"/>
        <family val="1"/>
      </rPr>
      <t>·R</t>
    </r>
    <r>
      <rPr>
        <vertAlign val="subscript"/>
        <sz val="12"/>
        <rFont val="Times New Roman"/>
        <family val="1"/>
      </rPr>
      <t>n</t>
    </r>
    <r>
      <rPr>
        <sz val="12"/>
        <rFont val="Times New Roman"/>
        <family val="1"/>
      </rPr>
      <t xml:space="preserve"> = </t>
    </r>
    <r>
      <rPr>
        <sz val="12"/>
        <rFont val="Symbol"/>
        <family val="1"/>
        <charset val="2"/>
      </rPr>
      <t>f</t>
    </r>
    <r>
      <rPr>
        <vertAlign val="subscript"/>
        <sz val="12"/>
        <rFont val="Times New Roman"/>
        <family val="1"/>
      </rPr>
      <t>v</t>
    </r>
    <r>
      <rPr>
        <sz val="12"/>
        <rFont val="Times New Roman"/>
        <family val="1"/>
      </rPr>
      <t>·0,60·F</t>
    </r>
    <r>
      <rPr>
        <vertAlign val="subscript"/>
        <sz val="12"/>
        <rFont val="Times New Roman"/>
        <family val="1"/>
      </rPr>
      <t>y</t>
    </r>
    <r>
      <rPr>
        <sz val="12"/>
        <rFont val="Times New Roman"/>
        <family val="1"/>
      </rPr>
      <t>·A</t>
    </r>
    <r>
      <rPr>
        <vertAlign val="subscript"/>
        <sz val="12"/>
        <rFont val="Times New Roman"/>
        <family val="1"/>
      </rPr>
      <t>g</t>
    </r>
    <r>
      <rPr>
        <sz val="12"/>
        <rFont val="Times New Roman"/>
        <family val="1"/>
      </rPr>
      <t xml:space="preserve"> 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</si>
</sst>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2">
    <numFmt numFmtId="164" formatCode="0.0%"/>
    <numFmt numFmtId="165" formatCode="#,##0.00&quot; mm&quot;"/>
    <numFmt numFmtId="166" formatCode="#,##0.00&quot; kgf&quot;"/>
    <numFmt numFmtId="168" formatCode="#,##0&quot; mm&quot;"/>
    <numFmt numFmtId="169" formatCode="#,##0.000"/>
    <numFmt numFmtId="170" formatCode="#,##0.00&quot; in&quot;"/>
    <numFmt numFmtId="171" formatCode="#,##0.00&quot; kips&quot;"/>
    <numFmt numFmtId="172" formatCode="dd\ /\ mmmm\ /\ yyyy"/>
    <numFmt numFmtId="173" formatCode="00"/>
    <numFmt numFmtId="174" formatCode="0.0"/>
    <numFmt numFmtId="175" formatCode="#,##0.00&quot; N&quot;"/>
    <numFmt numFmtId="176" formatCode="#,##0.0000&quot; kgf&quot;"/>
    <numFmt numFmtId="177" formatCode="#,##0.0000&quot; lb&quot;"/>
    <numFmt numFmtId="178" formatCode="#,##0.0000&quot; N&quot;"/>
    <numFmt numFmtId="179" formatCode="#,##0.00&quot; lb&quot;"/>
    <numFmt numFmtId="180" formatCode="#,##0.00&quot; kip&quot;"/>
    <numFmt numFmtId="181" formatCode="#,##0.0000&quot; in&quot;"/>
    <numFmt numFmtId="182" formatCode="#,##0.0000&quot; ft&quot;"/>
    <numFmt numFmtId="183" formatCode="#,##0.00&quot; cm&quot;"/>
    <numFmt numFmtId="184" formatCode="#,##0.00&quot; ft&quot;"/>
    <numFmt numFmtId="185" formatCode="#,##0.00&quot; kg/m&quot;"/>
    <numFmt numFmtId="186" formatCode="#,##0.0000&quot; lb/ft&quot;"/>
    <numFmt numFmtId="187" formatCode="#,##0.00&quot; lb/ft&quot;"/>
    <numFmt numFmtId="188" formatCode="#,##0.0000&quot; kg/m&quot;"/>
    <numFmt numFmtId="189" formatCode="#,##0.00&quot; MPa&quot;"/>
    <numFmt numFmtId="190" formatCode="#,##0.0000&quot; kgf/cm²&quot;"/>
    <numFmt numFmtId="191" formatCode="#,##0.0000&quot; ksi&quot;"/>
    <numFmt numFmtId="192" formatCode="#,##0.00&quot; kgf/cm²&quot;"/>
    <numFmt numFmtId="193" formatCode="#,##0.0000&quot; MPa&quot;"/>
    <numFmt numFmtId="194" formatCode="#,##0.00&quot; ksi&quot;"/>
    <numFmt numFmtId="195" formatCode="#,##0&quot; kgf/cm²&quot;"/>
    <numFmt numFmtId="196" formatCode="#,##0&quot; kgf&quot;"/>
    <numFmt numFmtId="197" formatCode="#,##0.00&quot; cm²&quot;"/>
    <numFmt numFmtId="198" formatCode="#,##0&quot; kgf·cm&quot;"/>
    <numFmt numFmtId="203" formatCode="#,##0.00&quot; mm²&quot;"/>
    <numFmt numFmtId="204" formatCode="#,##0.0&quot; cm³&quot;"/>
    <numFmt numFmtId="205" formatCode="#,##0&quot; kgf·m&quot;"/>
    <numFmt numFmtId="209" formatCode="#,##0.0"/>
    <numFmt numFmtId="210" formatCode="#,##0.00&quot; cm4&quot;"/>
    <numFmt numFmtId="212" formatCode="#,##0.00&quot;º&quot;"/>
    <numFmt numFmtId="213" formatCode="#,##0.0&quot; kips&quot;"/>
    <numFmt numFmtId="214" formatCode="0.000"/>
  </numFmts>
  <fonts count="54" x14ac:knownFonts="1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vertAlign val="subscript"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sz val="12"/>
      <color indexed="8"/>
      <name val="Symbol"/>
      <family val="1"/>
      <charset val="2"/>
    </font>
    <font>
      <sz val="12"/>
      <color indexed="8"/>
      <name val="Symbol"/>
      <family val="1"/>
      <charset val="2"/>
    </font>
    <font>
      <vertAlign val="subscript"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b/>
      <sz val="12"/>
      <color indexed="10"/>
      <name val="Times New Roman"/>
      <family val="1"/>
    </font>
    <font>
      <vertAlign val="subscript"/>
      <sz val="12"/>
      <name val="Times New Roman"/>
      <family val="1"/>
    </font>
    <font>
      <sz val="12"/>
      <name val="Symbol"/>
      <family val="1"/>
      <charset val="2"/>
    </font>
    <font>
      <vertAlign val="subscript"/>
      <sz val="12"/>
      <color indexed="8"/>
      <name val="Times New Roman"/>
      <family val="1"/>
    </font>
    <font>
      <sz val="10"/>
      <color indexed="8"/>
      <name val="Times New Roman"/>
      <family val="2"/>
    </font>
    <font>
      <vertAlign val="subscript"/>
      <sz val="10"/>
      <color indexed="8"/>
      <name val="Times New Roman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vertAlign val="superscript"/>
      <sz val="12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sz val="12"/>
      <color indexed="8"/>
      <name val="Symbol"/>
      <family val="1"/>
      <charset val="2"/>
    </font>
    <font>
      <sz val="11"/>
      <color indexed="8"/>
      <name val="Times New Roman"/>
      <family val="2"/>
    </font>
    <font>
      <vertAlign val="subscript"/>
      <sz val="12"/>
      <color indexed="8"/>
      <name val="Times New Roman"/>
      <family val="1"/>
    </font>
    <font>
      <sz val="12"/>
      <color indexed="8"/>
      <name val="Symbol"/>
      <family val="1"/>
      <charset val="2"/>
    </font>
    <font>
      <sz val="11"/>
      <name val="Symbol"/>
      <family val="1"/>
      <charset val="2"/>
    </font>
    <font>
      <vertAlign val="subscript"/>
      <sz val="11"/>
      <name val="Times New Roman"/>
      <family val="1"/>
    </font>
    <font>
      <vertAlign val="superscript"/>
      <sz val="11"/>
      <name val="Times New Roman"/>
      <family val="1"/>
    </font>
    <font>
      <sz val="12"/>
      <color indexed="8"/>
      <name val="Symbol"/>
      <family val="1"/>
      <charset val="2"/>
    </font>
    <font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1"/>
      <name val="Times New Roman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Symbol"/>
      <family val="1"/>
      <charset val="2"/>
    </font>
    <font>
      <b/>
      <i/>
      <sz val="12"/>
      <color theme="1"/>
      <name val="Times New Roman"/>
      <family val="1"/>
    </font>
    <font>
      <sz val="10"/>
      <color theme="1"/>
      <name val="Times New Roman"/>
      <family val="2"/>
    </font>
    <font>
      <b/>
      <sz val="12"/>
      <color theme="1"/>
      <name val="Times New Roman"/>
      <family val="1"/>
    </font>
    <font>
      <u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6" fillId="0" borderId="0"/>
    <xf numFmtId="9" fontId="42" fillId="0" borderId="0" applyFont="0" applyFill="0" applyBorder="0" applyAlignment="0" applyProtection="0"/>
  </cellStyleXfs>
  <cellXfs count="614">
    <xf numFmtId="0" fontId="0" fillId="0" borderId="0" xfId="0"/>
    <xf numFmtId="4" fontId="0" fillId="0" borderId="1" xfId="0" applyNumberFormat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3" fontId="0" fillId="0" borderId="0" xfId="0" applyNumberFormat="1" applyAlignment="1">
      <alignment horizontal="left" vertical="center"/>
    </xf>
    <xf numFmtId="173" fontId="10" fillId="2" borderId="0" xfId="0" applyNumberFormat="1" applyFont="1" applyFill="1" applyAlignment="1" applyProtection="1">
      <alignment horizontal="left" vertical="center"/>
      <protection locked="0"/>
    </xf>
    <xf numFmtId="0" fontId="14" fillId="3" borderId="2" xfId="0" applyFont="1" applyFill="1" applyBorder="1" applyAlignment="1">
      <alignment horizontal="center" vertical="center"/>
    </xf>
    <xf numFmtId="174" fontId="14" fillId="3" borderId="2" xfId="0" applyNumberFormat="1" applyFont="1" applyFill="1" applyBorder="1" applyAlignment="1">
      <alignment horizontal="center" vertical="center"/>
    </xf>
    <xf numFmtId="3" fontId="16" fillId="4" borderId="3" xfId="0" applyNumberFormat="1" applyFont="1" applyFill="1" applyBorder="1" applyAlignment="1">
      <alignment horizontal="center" vertical="center"/>
    </xf>
    <xf numFmtId="4" fontId="16" fillId="4" borderId="3" xfId="0" applyNumberFormat="1" applyFont="1" applyFill="1" applyBorder="1" applyAlignment="1">
      <alignment horizontal="center" vertical="center"/>
    </xf>
    <xf numFmtId="3" fontId="16" fillId="4" borderId="4" xfId="0" applyNumberFormat="1" applyFont="1" applyFill="1" applyBorder="1" applyAlignment="1">
      <alignment horizontal="center" vertical="center"/>
    </xf>
    <xf numFmtId="4" fontId="16" fillId="4" borderId="4" xfId="0" applyNumberFormat="1" applyFont="1" applyFill="1" applyBorder="1" applyAlignment="1">
      <alignment horizontal="center" vertical="center"/>
    </xf>
    <xf numFmtId="3" fontId="16" fillId="5" borderId="5" xfId="0" applyNumberFormat="1" applyFont="1" applyFill="1" applyBorder="1" applyAlignment="1">
      <alignment horizontal="center" vertical="center"/>
    </xf>
    <xf numFmtId="3" fontId="16" fillId="5" borderId="4" xfId="0" applyNumberFormat="1" applyFont="1" applyFill="1" applyBorder="1" applyAlignment="1">
      <alignment horizontal="center" vertical="center"/>
    </xf>
    <xf numFmtId="4" fontId="16" fillId="5" borderId="4" xfId="0" applyNumberFormat="1" applyFont="1" applyFill="1" applyBorder="1" applyAlignment="1">
      <alignment horizontal="center" vertical="center"/>
    </xf>
    <xf numFmtId="3" fontId="16" fillId="4" borderId="5" xfId="0" applyNumberFormat="1" applyFont="1" applyFill="1" applyBorder="1" applyAlignment="1">
      <alignment horizontal="center" vertical="center"/>
    </xf>
    <xf numFmtId="3" fontId="16" fillId="5" borderId="6" xfId="0" applyNumberFormat="1" applyFont="1" applyFill="1" applyBorder="1" applyAlignment="1">
      <alignment horizontal="center" vertical="center"/>
    </xf>
    <xf numFmtId="4" fontId="16" fillId="5" borderId="6" xfId="0" applyNumberFormat="1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/>
    </xf>
    <xf numFmtId="4" fontId="16" fillId="2" borderId="3" xfId="0" applyNumberFormat="1" applyFont="1" applyFill="1" applyBorder="1" applyAlignment="1">
      <alignment horizontal="center" vertical="center"/>
    </xf>
    <xf numFmtId="3" fontId="16" fillId="2" borderId="4" xfId="0" applyNumberFormat="1" applyFont="1" applyFill="1" applyBorder="1" applyAlignment="1">
      <alignment horizontal="center" vertical="center"/>
    </xf>
    <xf numFmtId="4" fontId="16" fillId="2" borderId="4" xfId="0" applyNumberFormat="1" applyFont="1" applyFill="1" applyBorder="1" applyAlignment="1">
      <alignment horizontal="center" vertical="center"/>
    </xf>
    <xf numFmtId="4" fontId="16" fillId="5" borderId="5" xfId="0" applyNumberFormat="1" applyFont="1" applyFill="1" applyBorder="1" applyAlignment="1">
      <alignment horizontal="center" vertical="center"/>
    </xf>
    <xf numFmtId="3" fontId="16" fillId="2" borderId="6" xfId="0" applyNumberFormat="1" applyFont="1" applyFill="1" applyBorder="1" applyAlignment="1">
      <alignment horizontal="center" vertical="center"/>
    </xf>
    <xf numFmtId="4" fontId="16" fillId="2" borderId="6" xfId="0" applyNumberFormat="1" applyFont="1" applyFill="1" applyBorder="1" applyAlignment="1">
      <alignment horizontal="center" vertical="center"/>
    </xf>
    <xf numFmtId="3" fontId="16" fillId="4" borderId="6" xfId="0" applyNumberFormat="1" applyFont="1" applyFill="1" applyBorder="1" applyAlignment="1">
      <alignment horizontal="center" vertical="center"/>
    </xf>
    <xf numFmtId="4" fontId="16" fillId="4" borderId="6" xfId="0" applyNumberFormat="1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174" fontId="14" fillId="3" borderId="7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Fill="1" applyProtection="1"/>
    <xf numFmtId="175" fontId="10" fillId="0" borderId="8" xfId="0" applyNumberFormat="1" applyFont="1" applyFill="1" applyBorder="1" applyAlignment="1" applyProtection="1">
      <alignment horizontal="center"/>
    </xf>
    <xf numFmtId="0" fontId="10" fillId="0" borderId="8" xfId="0" applyFont="1" applyFill="1" applyBorder="1" applyAlignment="1" applyProtection="1">
      <alignment horizontal="center"/>
    </xf>
    <xf numFmtId="176" fontId="10" fillId="0" borderId="8" xfId="0" applyNumberFormat="1" applyFont="1" applyFill="1" applyBorder="1" applyAlignment="1" applyProtection="1">
      <alignment horizontal="center"/>
    </xf>
    <xf numFmtId="177" fontId="10" fillId="0" borderId="8" xfId="0" applyNumberFormat="1" applyFont="1" applyFill="1" applyBorder="1" applyAlignment="1" applyProtection="1">
      <alignment horizontal="center"/>
    </xf>
    <xf numFmtId="166" fontId="10" fillId="0" borderId="8" xfId="0" applyNumberFormat="1" applyFont="1" applyFill="1" applyBorder="1" applyAlignment="1" applyProtection="1">
      <alignment horizontal="center"/>
    </xf>
    <xf numFmtId="178" fontId="10" fillId="0" borderId="8" xfId="0" applyNumberFormat="1" applyFont="1" applyFill="1" applyBorder="1" applyAlignment="1" applyProtection="1">
      <alignment horizontal="center"/>
    </xf>
    <xf numFmtId="179" fontId="10" fillId="0" borderId="8" xfId="0" applyNumberFormat="1" applyFont="1" applyFill="1" applyBorder="1" applyAlignment="1" applyProtection="1">
      <alignment horizontal="center"/>
    </xf>
    <xf numFmtId="180" fontId="10" fillId="0" borderId="8" xfId="0" applyNumberFormat="1" applyFont="1" applyFill="1" applyBorder="1" applyAlignment="1" applyProtection="1">
      <alignment horizontal="center"/>
    </xf>
    <xf numFmtId="0" fontId="18" fillId="0" borderId="0" xfId="0" applyFont="1" applyFill="1" applyProtection="1"/>
    <xf numFmtId="165" fontId="10" fillId="0" borderId="8" xfId="0" applyNumberFormat="1" applyFont="1" applyFill="1" applyBorder="1" applyAlignment="1" applyProtection="1">
      <alignment horizontal="center"/>
    </xf>
    <xf numFmtId="181" fontId="10" fillId="0" borderId="8" xfId="0" applyNumberFormat="1" applyFont="1" applyFill="1" applyBorder="1" applyAlignment="1" applyProtection="1">
      <alignment horizontal="center"/>
    </xf>
    <xf numFmtId="182" fontId="10" fillId="0" borderId="8" xfId="0" applyNumberFormat="1" applyFont="1" applyFill="1" applyBorder="1" applyAlignment="1" applyProtection="1">
      <alignment horizontal="center"/>
    </xf>
    <xf numFmtId="183" fontId="10" fillId="0" borderId="8" xfId="0" applyNumberFormat="1" applyFont="1" applyFill="1" applyBorder="1" applyAlignment="1" applyProtection="1">
      <alignment horizontal="center"/>
    </xf>
    <xf numFmtId="170" fontId="10" fillId="0" borderId="8" xfId="0" applyNumberFormat="1" applyFont="1" applyFill="1" applyBorder="1" applyAlignment="1" applyProtection="1">
      <alignment horizontal="center"/>
    </xf>
    <xf numFmtId="184" fontId="10" fillId="0" borderId="8" xfId="0" applyNumberFormat="1" applyFont="1" applyFill="1" applyBorder="1" applyAlignment="1" applyProtection="1">
      <alignment horizontal="center"/>
    </xf>
    <xf numFmtId="185" fontId="10" fillId="0" borderId="8" xfId="0" applyNumberFormat="1" applyFont="1" applyFill="1" applyBorder="1" applyAlignment="1" applyProtection="1">
      <alignment horizontal="center"/>
    </xf>
    <xf numFmtId="186" fontId="10" fillId="0" borderId="8" xfId="0" applyNumberFormat="1" applyFont="1" applyFill="1" applyBorder="1" applyAlignment="1" applyProtection="1">
      <alignment horizontal="center"/>
    </xf>
    <xf numFmtId="187" fontId="10" fillId="0" borderId="8" xfId="0" applyNumberFormat="1" applyFont="1" applyFill="1" applyBorder="1" applyAlignment="1" applyProtection="1">
      <alignment horizontal="center"/>
    </xf>
    <xf numFmtId="188" fontId="10" fillId="0" borderId="8" xfId="0" applyNumberFormat="1" applyFont="1" applyFill="1" applyBorder="1" applyAlignment="1" applyProtection="1">
      <alignment horizontal="center"/>
    </xf>
    <xf numFmtId="189" fontId="10" fillId="0" borderId="8" xfId="0" applyNumberFormat="1" applyFont="1" applyFill="1" applyBorder="1" applyAlignment="1" applyProtection="1">
      <alignment horizontal="center"/>
    </xf>
    <xf numFmtId="190" fontId="10" fillId="0" borderId="8" xfId="0" applyNumberFormat="1" applyFont="1" applyFill="1" applyBorder="1" applyAlignment="1" applyProtection="1">
      <alignment horizontal="center"/>
    </xf>
    <xf numFmtId="191" fontId="10" fillId="0" borderId="8" xfId="0" applyNumberFormat="1" applyFont="1" applyFill="1" applyBorder="1" applyAlignment="1" applyProtection="1">
      <alignment horizontal="center"/>
    </xf>
    <xf numFmtId="192" fontId="10" fillId="0" borderId="8" xfId="0" applyNumberFormat="1" applyFont="1" applyFill="1" applyBorder="1" applyAlignment="1" applyProtection="1">
      <alignment horizontal="center"/>
    </xf>
    <xf numFmtId="193" fontId="10" fillId="0" borderId="8" xfId="0" applyNumberFormat="1" applyFont="1" applyFill="1" applyBorder="1" applyAlignment="1" applyProtection="1">
      <alignment horizontal="center"/>
    </xf>
    <xf numFmtId="194" fontId="10" fillId="0" borderId="8" xfId="0" applyNumberFormat="1" applyFont="1" applyFill="1" applyBorder="1" applyAlignment="1" applyProtection="1">
      <alignment horizontal="center"/>
    </xf>
    <xf numFmtId="0" fontId="14" fillId="3" borderId="9" xfId="0" applyFont="1" applyFill="1" applyBorder="1" applyAlignment="1">
      <alignment horizontal="center" vertical="center"/>
    </xf>
    <xf numFmtId="174" fontId="14" fillId="3" borderId="9" xfId="0" applyNumberFormat="1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174" fontId="14" fillId="3" borderId="10" xfId="0" applyNumberFormat="1" applyFont="1" applyFill="1" applyBorder="1" applyAlignment="1">
      <alignment horizontal="center" vertical="center"/>
    </xf>
    <xf numFmtId="0" fontId="10" fillId="2" borderId="11" xfId="0" applyFont="1" applyFill="1" applyBorder="1" applyAlignment="1" applyProtection="1">
      <alignment horizontal="right" vertical="center"/>
    </xf>
    <xf numFmtId="0" fontId="10" fillId="2" borderId="12" xfId="0" applyFont="1" applyFill="1" applyBorder="1" applyAlignment="1" applyProtection="1">
      <alignment horizontal="right" vertical="center"/>
    </xf>
    <xf numFmtId="0" fontId="10" fillId="2" borderId="13" xfId="0" applyFont="1" applyFill="1" applyBorder="1" applyAlignment="1" applyProtection="1">
      <alignment horizontal="right" vertical="center"/>
    </xf>
    <xf numFmtId="0" fontId="10" fillId="0" borderId="12" xfId="0" applyFont="1" applyFill="1" applyBorder="1" applyAlignment="1" applyProtection="1">
      <alignment horizontal="right" vertical="center"/>
    </xf>
    <xf numFmtId="173" fontId="10" fillId="2" borderId="14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0" fillId="0" borderId="0" xfId="0" applyFont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10" fillId="2" borderId="20" xfId="0" applyFont="1" applyFill="1" applyBorder="1" applyAlignment="1" applyProtection="1">
      <alignment horizontal="right" vertical="center"/>
    </xf>
    <xf numFmtId="173" fontId="10" fillId="2" borderId="21" xfId="0" applyNumberFormat="1" applyFont="1" applyFill="1" applyBorder="1" applyAlignment="1" applyProtection="1">
      <alignment horizontal="left" vertical="center"/>
      <protection locked="0"/>
    </xf>
    <xf numFmtId="0" fontId="10" fillId="0" borderId="22" xfId="0" applyFont="1" applyFill="1" applyBorder="1" applyAlignment="1" applyProtection="1">
      <alignment horizontal="right" vertical="center"/>
    </xf>
    <xf numFmtId="0" fontId="10" fillId="0" borderId="23" xfId="0" applyFont="1" applyFill="1" applyBorder="1" applyAlignment="1" applyProtection="1">
      <alignment horizontal="right" vertical="center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0" fillId="0" borderId="24" xfId="0" applyBorder="1" applyAlignment="1">
      <alignment horizontal="right" vertical="center"/>
    </xf>
    <xf numFmtId="0" fontId="0" fillId="0" borderId="26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3" fontId="0" fillId="0" borderId="28" xfId="0" applyNumberFormat="1" applyBorder="1" applyAlignment="1" applyProtection="1">
      <alignment horizontal="center" vertical="center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18" fillId="0" borderId="2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 applyProtection="1">
      <alignment vertical="center"/>
    </xf>
    <xf numFmtId="0" fontId="0" fillId="0" borderId="30" xfId="0" applyBorder="1" applyAlignment="1" applyProtection="1">
      <alignment vertical="center"/>
    </xf>
    <xf numFmtId="0" fontId="0" fillId="0" borderId="31" xfId="0" applyBorder="1" applyAlignment="1" applyProtection="1">
      <alignment vertical="center"/>
    </xf>
    <xf numFmtId="0" fontId="0" fillId="0" borderId="32" xfId="0" applyBorder="1" applyAlignment="1" applyProtection="1">
      <alignment vertical="center"/>
    </xf>
    <xf numFmtId="0" fontId="0" fillId="0" borderId="15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16" xfId="0" applyBorder="1" applyAlignment="1" applyProtection="1">
      <alignment vertical="center"/>
    </xf>
    <xf numFmtId="0" fontId="0" fillId="0" borderId="0" xfId="0" applyAlignment="1" applyProtection="1">
      <alignment vertical="center"/>
      <protection locked="0"/>
    </xf>
    <xf numFmtId="0" fontId="44" fillId="0" borderId="24" xfId="0" applyFont="1" applyBorder="1" applyAlignment="1">
      <alignment horizontal="right" vertical="center"/>
    </xf>
    <xf numFmtId="0" fontId="44" fillId="0" borderId="33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8" fillId="0" borderId="24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45" fillId="0" borderId="0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45" fillId="0" borderId="26" xfId="0" applyFont="1" applyBorder="1" applyAlignment="1">
      <alignment vertical="center"/>
    </xf>
    <xf numFmtId="0" fontId="0" fillId="0" borderId="33" xfId="0" applyBorder="1" applyAlignment="1">
      <alignment horizontal="right" vertical="center"/>
    </xf>
    <xf numFmtId="4" fontId="0" fillId="0" borderId="8" xfId="0" applyNumberFormat="1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169" fontId="0" fillId="0" borderId="0" xfId="0" applyNumberForma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209" fontId="16" fillId="4" borderId="3" xfId="0" applyNumberFormat="1" applyFont="1" applyFill="1" applyBorder="1" applyAlignment="1">
      <alignment horizontal="center" vertical="center"/>
    </xf>
    <xf numFmtId="209" fontId="16" fillId="4" borderId="4" xfId="0" applyNumberFormat="1" applyFont="1" applyFill="1" applyBorder="1" applyAlignment="1">
      <alignment horizontal="center" vertical="center"/>
    </xf>
    <xf numFmtId="209" fontId="16" fillId="5" borderId="4" xfId="0" applyNumberFormat="1" applyFont="1" applyFill="1" applyBorder="1" applyAlignment="1">
      <alignment horizontal="center" vertical="center"/>
    </xf>
    <xf numFmtId="209" fontId="16" fillId="5" borderId="6" xfId="0" applyNumberFormat="1" applyFont="1" applyFill="1" applyBorder="1" applyAlignment="1">
      <alignment horizontal="center" vertical="center"/>
    </xf>
    <xf numFmtId="209" fontId="16" fillId="2" borderId="3" xfId="0" applyNumberFormat="1" applyFont="1" applyFill="1" applyBorder="1" applyAlignment="1">
      <alignment horizontal="center" vertical="center"/>
    </xf>
    <xf numFmtId="209" fontId="16" fillId="2" borderId="4" xfId="0" applyNumberFormat="1" applyFont="1" applyFill="1" applyBorder="1" applyAlignment="1">
      <alignment horizontal="center" vertical="center"/>
    </xf>
    <xf numFmtId="209" fontId="16" fillId="5" borderId="5" xfId="0" applyNumberFormat="1" applyFont="1" applyFill="1" applyBorder="1" applyAlignment="1">
      <alignment horizontal="center" vertical="center"/>
    </xf>
    <xf numFmtId="209" fontId="16" fillId="2" borderId="6" xfId="0" applyNumberFormat="1" applyFont="1" applyFill="1" applyBorder="1" applyAlignment="1">
      <alignment horizontal="center" vertical="center"/>
    </xf>
    <xf numFmtId="209" fontId="16" fillId="4" borderId="6" xfId="0" applyNumberFormat="1" applyFont="1" applyFill="1" applyBorder="1" applyAlignment="1">
      <alignment horizontal="center" vertical="center"/>
    </xf>
    <xf numFmtId="0" fontId="0" fillId="0" borderId="33" xfId="0" applyFill="1" applyBorder="1" applyAlignment="1">
      <alignment horizontal="right" vertical="center"/>
    </xf>
    <xf numFmtId="4" fontId="0" fillId="0" borderId="8" xfId="0" applyNumberFormat="1" applyFont="1" applyFill="1" applyBorder="1" applyAlignment="1">
      <alignment horizontal="left" vertical="center"/>
    </xf>
    <xf numFmtId="4" fontId="0" fillId="0" borderId="8" xfId="0" applyNumberFormat="1" applyFill="1" applyBorder="1" applyAlignment="1">
      <alignment horizontal="left" vertical="center"/>
    </xf>
    <xf numFmtId="0" fontId="0" fillId="0" borderId="25" xfId="0" applyFill="1" applyBorder="1" applyAlignment="1">
      <alignment horizontal="right" vertical="center"/>
    </xf>
    <xf numFmtId="0" fontId="0" fillId="0" borderId="29" xfId="0" applyFill="1" applyBorder="1" applyAlignment="1">
      <alignment horizontal="right" vertical="center"/>
    </xf>
    <xf numFmtId="0" fontId="18" fillId="0" borderId="25" xfId="0" applyFont="1" applyBorder="1" applyAlignment="1">
      <alignment horizontal="right" vertical="center"/>
    </xf>
    <xf numFmtId="0" fontId="18" fillId="0" borderId="25" xfId="0" applyFont="1" applyFill="1" applyBorder="1" applyAlignment="1">
      <alignment horizontal="right" vertical="center"/>
    </xf>
    <xf numFmtId="0" fontId="18" fillId="0" borderId="29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18" fillId="0" borderId="0" xfId="0" applyFont="1" applyBorder="1" applyAlignment="1">
      <alignment horizontal="right" vertical="center"/>
    </xf>
    <xf numFmtId="0" fontId="10" fillId="2" borderId="34" xfId="0" applyFont="1" applyFill="1" applyBorder="1" applyAlignment="1" applyProtection="1">
      <alignment horizontal="right" vertical="center"/>
    </xf>
    <xf numFmtId="0" fontId="0" fillId="0" borderId="0" xfId="0" applyProtection="1">
      <protection locked="0"/>
    </xf>
    <xf numFmtId="0" fontId="10" fillId="0" borderId="34" xfId="0" applyFont="1" applyFill="1" applyBorder="1" applyAlignment="1" applyProtection="1">
      <alignment horizontal="right" vertical="center"/>
    </xf>
    <xf numFmtId="4" fontId="0" fillId="0" borderId="29" xfId="0" applyNumberFormat="1" applyBorder="1" applyAlignment="1">
      <alignment horizontal="left" vertical="center"/>
    </xf>
    <xf numFmtId="4" fontId="0" fillId="0" borderId="18" xfId="0" applyNumberFormat="1" applyBorder="1" applyAlignment="1">
      <alignment horizontal="left" vertical="center"/>
    </xf>
    <xf numFmtId="4" fontId="0" fillId="0" borderId="35" xfId="0" applyNumberFormat="1" applyBorder="1" applyAlignment="1">
      <alignment horizontal="left" vertical="center"/>
    </xf>
    <xf numFmtId="4" fontId="0" fillId="0" borderId="36" xfId="0" applyNumberFormat="1" applyBorder="1" applyAlignment="1">
      <alignment horizontal="left" vertical="center"/>
    </xf>
    <xf numFmtId="0" fontId="22" fillId="0" borderId="24" xfId="0" applyFont="1" applyBorder="1" applyAlignment="1">
      <alignment horizontal="right" vertical="center"/>
    </xf>
    <xf numFmtId="0" fontId="0" fillId="0" borderId="29" xfId="0" applyFill="1" applyBorder="1" applyAlignment="1">
      <alignment horizontal="right" vertical="center" wrapText="1"/>
    </xf>
    <xf numFmtId="0" fontId="0" fillId="0" borderId="16" xfId="0" applyBorder="1" applyAlignment="1">
      <alignment horizontal="center" vertical="center"/>
    </xf>
    <xf numFmtId="4" fontId="0" fillId="0" borderId="16" xfId="0" applyNumberFormat="1" applyBorder="1" applyAlignment="1">
      <alignment horizontal="left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4" fontId="0" fillId="0" borderId="0" xfId="0" applyNumberFormat="1" applyFill="1" applyBorder="1" applyAlignment="1">
      <alignment horizontal="left" vertical="center"/>
    </xf>
    <xf numFmtId="0" fontId="0" fillId="0" borderId="24" xfId="0" applyFill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1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4" fontId="0" fillId="0" borderId="18" xfId="0" applyNumberForma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4" fontId="46" fillId="0" borderId="27" xfId="0" applyNumberFormat="1" applyFont="1" applyBorder="1" applyAlignment="1">
      <alignment horizontal="center" vertical="center"/>
    </xf>
    <xf numFmtId="4" fontId="46" fillId="0" borderId="2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left" vertical="center"/>
    </xf>
    <xf numFmtId="214" fontId="0" fillId="0" borderId="0" xfId="0" applyNumberFormat="1" applyAlignment="1">
      <alignment horizontal="center" vertical="center"/>
    </xf>
    <xf numFmtId="0" fontId="47" fillId="0" borderId="0" xfId="0" applyFont="1" applyAlignment="1">
      <alignment horizontal="right" vertical="center"/>
    </xf>
    <xf numFmtId="4" fontId="0" fillId="0" borderId="0" xfId="0" applyNumberFormat="1" applyAlignment="1">
      <alignment horizontal="left" vertical="center"/>
    </xf>
    <xf numFmtId="196" fontId="0" fillId="0" borderId="0" xfId="0" applyNumberFormat="1" applyAlignment="1">
      <alignment horizontal="left" vertical="center"/>
    </xf>
    <xf numFmtId="1" fontId="18" fillId="2" borderId="0" xfId="0" applyNumberFormat="1" applyFont="1" applyFill="1" applyBorder="1" applyAlignment="1" applyProtection="1">
      <alignment horizontal="left" vertical="center"/>
      <protection locked="0"/>
    </xf>
    <xf numFmtId="0" fontId="18" fillId="0" borderId="24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213" fontId="0" fillId="0" borderId="24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197" fontId="0" fillId="0" borderId="29" xfId="0" applyNumberFormat="1" applyFill="1" applyBorder="1" applyAlignment="1">
      <alignment horizontal="left" vertical="center"/>
    </xf>
    <xf numFmtId="197" fontId="0" fillId="0" borderId="37" xfId="0" applyNumberFormat="1" applyFill="1" applyBorder="1" applyAlignment="1">
      <alignment horizontal="left" vertical="center"/>
    </xf>
    <xf numFmtId="196" fontId="18" fillId="0" borderId="0" xfId="0" applyNumberFormat="1" applyFont="1" applyBorder="1" applyAlignment="1">
      <alignment horizontal="left" vertical="center"/>
    </xf>
    <xf numFmtId="213" fontId="0" fillId="0" borderId="15" xfId="0" applyNumberFormat="1" applyBorder="1" applyAlignment="1">
      <alignment horizontal="left" vertical="center"/>
    </xf>
    <xf numFmtId="213" fontId="0" fillId="0" borderId="0" xfId="0" applyNumberFormat="1" applyAlignment="1">
      <alignment horizontal="left" vertical="center"/>
    </xf>
    <xf numFmtId="0" fontId="18" fillId="0" borderId="33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4" fontId="0" fillId="0" borderId="25" xfId="0" applyNumberFormat="1" applyBorder="1" applyAlignment="1" applyProtection="1">
      <alignment horizontal="center" vertical="center"/>
      <protection locked="0"/>
    </xf>
    <xf numFmtId="4" fontId="0" fillId="0" borderId="47" xfId="0" applyNumberFormat="1" applyBorder="1" applyAlignment="1" applyProtection="1">
      <alignment horizontal="center" vertical="center"/>
      <protection locked="0"/>
    </xf>
    <xf numFmtId="0" fontId="43" fillId="0" borderId="29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 applyProtection="1">
      <alignment horizontal="right" vertical="center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4" fontId="0" fillId="0" borderId="20" xfId="0" applyNumberFormat="1" applyBorder="1" applyAlignment="1" applyProtection="1">
      <alignment horizontal="center" vertical="center"/>
      <protection locked="0"/>
    </xf>
    <xf numFmtId="4" fontId="0" fillId="0" borderId="44" xfId="0" applyNumberForma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right" vertical="center"/>
    </xf>
    <xf numFmtId="0" fontId="0" fillId="0" borderId="8" xfId="0" applyBorder="1" applyAlignment="1" applyProtection="1">
      <alignment horizontal="right" vertical="center"/>
    </xf>
    <xf numFmtId="0" fontId="43" fillId="0" borderId="8" xfId="0" applyFont="1" applyBorder="1" applyAlignment="1">
      <alignment horizontal="center" vertical="center"/>
    </xf>
    <xf numFmtId="0" fontId="43" fillId="0" borderId="5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2" fillId="0" borderId="25" xfId="0" applyFont="1" applyBorder="1" applyAlignment="1">
      <alignment horizontal="right" vertical="center"/>
    </xf>
    <xf numFmtId="0" fontId="22" fillId="0" borderId="29" xfId="0" applyFont="1" applyBorder="1" applyAlignment="1">
      <alignment horizontal="right" vertical="center"/>
    </xf>
    <xf numFmtId="196" fontId="0" fillId="0" borderId="29" xfId="0" applyNumberFormat="1" applyBorder="1" applyAlignment="1">
      <alignment horizontal="left" vertical="center"/>
    </xf>
    <xf numFmtId="196" fontId="0" fillId="0" borderId="47" xfId="0" applyNumberFormat="1" applyBorder="1" applyAlignment="1">
      <alignment horizontal="left" vertical="center"/>
    </xf>
    <xf numFmtId="197" fontId="0" fillId="0" borderId="0" xfId="0" applyNumberFormat="1" applyBorder="1" applyAlignment="1">
      <alignment horizontal="left" vertical="center"/>
    </xf>
    <xf numFmtId="0" fontId="0" fillId="0" borderId="15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36" xfId="0" applyBorder="1" applyAlignment="1" applyProtection="1">
      <alignment horizontal="right" vertical="center"/>
    </xf>
    <xf numFmtId="0" fontId="43" fillId="0" borderId="36" xfId="0" applyFont="1" applyBorder="1" applyAlignment="1">
      <alignment horizontal="center" vertical="center"/>
    </xf>
    <xf numFmtId="0" fontId="43" fillId="0" borderId="4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3" fillId="0" borderId="50" xfId="0" applyFont="1" applyBorder="1" applyAlignment="1">
      <alignment horizontal="center" vertical="center"/>
    </xf>
    <xf numFmtId="0" fontId="43" fillId="0" borderId="47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0" fillId="0" borderId="33" xfId="0" applyBorder="1" applyAlignment="1" applyProtection="1">
      <alignment horizontal="right" vertical="center"/>
    </xf>
    <xf numFmtId="0" fontId="0" fillId="0" borderId="49" xfId="0" applyBorder="1" applyAlignment="1" applyProtection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8" fillId="0" borderId="38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 applyProtection="1">
      <alignment horizontal="right" vertical="center"/>
    </xf>
    <xf numFmtId="0" fontId="52" fillId="0" borderId="30" xfId="0" applyFont="1" applyFill="1" applyBorder="1" applyAlignment="1">
      <alignment horizontal="center" vertical="center" wrapText="1"/>
    </xf>
    <xf numFmtId="0" fontId="52" fillId="0" borderId="31" xfId="0" applyFont="1" applyFill="1" applyBorder="1" applyAlignment="1">
      <alignment horizontal="center" vertical="center" wrapText="1"/>
    </xf>
    <xf numFmtId="0" fontId="52" fillId="0" borderId="32" xfId="0" applyFont="1" applyFill="1" applyBorder="1" applyAlignment="1">
      <alignment horizontal="center" vertical="center" wrapText="1"/>
    </xf>
    <xf numFmtId="0" fontId="52" fillId="0" borderId="43" xfId="0" applyFont="1" applyFill="1" applyBorder="1" applyAlignment="1">
      <alignment horizontal="center" vertical="center" wrapText="1"/>
    </xf>
    <xf numFmtId="0" fontId="52" fillId="0" borderId="8" xfId="0" applyFont="1" applyFill="1" applyBorder="1" applyAlignment="1">
      <alignment horizontal="center" vertical="center" wrapText="1"/>
    </xf>
    <xf numFmtId="0" fontId="52" fillId="0" borderId="51" xfId="0" applyFont="1" applyFill="1" applyBorder="1" applyAlignment="1">
      <alignment horizontal="center" vertical="center" wrapText="1"/>
    </xf>
    <xf numFmtId="0" fontId="0" fillId="0" borderId="35" xfId="0" applyBorder="1" applyAlignment="1" applyProtection="1">
      <alignment horizontal="right" vertical="center"/>
    </xf>
    <xf numFmtId="0" fontId="43" fillId="0" borderId="35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205" fontId="10" fillId="0" borderId="39" xfId="0" applyNumberFormat="1" applyFont="1" applyFill="1" applyBorder="1" applyAlignment="1" applyProtection="1">
      <alignment horizontal="left" vertical="center"/>
    </xf>
    <xf numFmtId="205" fontId="0" fillId="0" borderId="40" xfId="0" applyNumberFormat="1" applyFill="1" applyBorder="1" applyAlignment="1" applyProtection="1">
      <alignment horizontal="left" vertical="center"/>
    </xf>
    <xf numFmtId="196" fontId="10" fillId="2" borderId="39" xfId="0" applyNumberFormat="1" applyFont="1" applyFill="1" applyBorder="1" applyAlignment="1" applyProtection="1">
      <alignment horizontal="left" vertical="center"/>
      <protection locked="0"/>
    </xf>
    <xf numFmtId="196" fontId="10" fillId="2" borderId="40" xfId="0" applyNumberFormat="1" applyFont="1" applyFill="1" applyBorder="1" applyAlignment="1" applyProtection="1">
      <alignment horizontal="left" vertical="center"/>
      <protection locked="0"/>
    </xf>
    <xf numFmtId="0" fontId="18" fillId="0" borderId="35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195" fontId="10" fillId="2" borderId="36" xfId="0" applyNumberFormat="1" applyFont="1" applyFill="1" applyBorder="1" applyAlignment="1" applyProtection="1">
      <alignment horizontal="left" vertical="center"/>
      <protection locked="0"/>
    </xf>
    <xf numFmtId="0" fontId="0" fillId="0" borderId="46" xfId="0" applyBorder="1" applyAlignment="1" applyProtection="1">
      <alignment horizontal="left" vertical="center"/>
      <protection locked="0"/>
    </xf>
    <xf numFmtId="0" fontId="43" fillId="0" borderId="0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5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196" fontId="0" fillId="0" borderId="37" xfId="0" applyNumberFormat="1" applyBorder="1" applyAlignment="1">
      <alignment horizontal="left" vertical="center"/>
    </xf>
    <xf numFmtId="0" fontId="28" fillId="0" borderId="17" xfId="0" applyFont="1" applyBorder="1" applyAlignment="1">
      <alignment horizontal="center" vertical="center" wrapText="1"/>
    </xf>
    <xf numFmtId="0" fontId="28" fillId="0" borderId="5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165" fontId="0" fillId="0" borderId="0" xfId="0" applyNumberFormat="1" applyBorder="1" applyAlignment="1">
      <alignment horizontal="left" vertical="center"/>
    </xf>
    <xf numFmtId="205" fontId="18" fillId="0" borderId="0" xfId="0" applyNumberFormat="1" applyFont="1" applyBorder="1" applyAlignment="1">
      <alignment horizontal="left" vertical="center"/>
    </xf>
    <xf numFmtId="205" fontId="18" fillId="0" borderId="16" xfId="0" applyNumberFormat="1" applyFont="1" applyBorder="1" applyAlignment="1">
      <alignment horizontal="left" vertical="center"/>
    </xf>
    <xf numFmtId="3" fontId="0" fillId="0" borderId="0" xfId="0" applyNumberFormat="1" applyBorder="1" applyAlignment="1">
      <alignment horizontal="left" vertical="center"/>
    </xf>
    <xf numFmtId="204" fontId="0" fillId="0" borderId="0" xfId="0" applyNumberFormat="1" applyBorder="1" applyAlignment="1">
      <alignment horizontal="left" vertical="center"/>
    </xf>
    <xf numFmtId="205" fontId="18" fillId="0" borderId="18" xfId="0" applyNumberFormat="1" applyFont="1" applyBorder="1" applyAlignment="1">
      <alignment horizontal="left" vertical="center"/>
    </xf>
    <xf numFmtId="205" fontId="18" fillId="0" borderId="19" xfId="0" applyNumberFormat="1" applyFont="1" applyBorder="1" applyAlignment="1">
      <alignment horizontal="left" vertical="center"/>
    </xf>
    <xf numFmtId="195" fontId="28" fillId="0" borderId="18" xfId="0" applyNumberFormat="1" applyFont="1" applyBorder="1" applyAlignment="1">
      <alignment horizontal="left" vertical="center"/>
    </xf>
    <xf numFmtId="0" fontId="22" fillId="0" borderId="18" xfId="0" applyFont="1" applyBorder="1" applyAlignment="1">
      <alignment horizontal="right" vertical="center"/>
    </xf>
    <xf numFmtId="195" fontId="18" fillId="0" borderId="0" xfId="0" applyNumberFormat="1" applyFont="1" applyBorder="1" applyAlignment="1">
      <alignment horizontal="left" vertical="center"/>
    </xf>
    <xf numFmtId="195" fontId="18" fillId="0" borderId="16" xfId="0" applyNumberFormat="1" applyFont="1" applyBorder="1" applyAlignment="1">
      <alignment horizontal="left" vertical="center"/>
    </xf>
    <xf numFmtId="0" fontId="22" fillId="0" borderId="0" xfId="0" applyFont="1" applyBorder="1" applyAlignment="1">
      <alignment horizontal="right" vertical="center"/>
    </xf>
    <xf numFmtId="165" fontId="0" fillId="0" borderId="29" xfId="0" applyNumberFormat="1" applyFill="1" applyBorder="1" applyAlignment="1">
      <alignment horizontal="left" vertical="center"/>
    </xf>
    <xf numFmtId="197" fontId="18" fillId="0" borderId="8" xfId="0" applyNumberFormat="1" applyFont="1" applyBorder="1" applyAlignment="1">
      <alignment horizontal="left" vertical="center"/>
    </xf>
    <xf numFmtId="197" fontId="18" fillId="0" borderId="27" xfId="0" applyNumberFormat="1" applyFont="1" applyBorder="1" applyAlignment="1">
      <alignment horizontal="left" vertical="center"/>
    </xf>
    <xf numFmtId="0" fontId="18" fillId="0" borderId="8" xfId="0" applyFont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165" fontId="0" fillId="0" borderId="47" xfId="0" applyNumberFormat="1" applyFill="1" applyBorder="1" applyAlignment="1">
      <alignment horizontal="left" vertical="center"/>
    </xf>
    <xf numFmtId="197" fontId="0" fillId="0" borderId="29" xfId="0" applyNumberFormat="1" applyBorder="1" applyAlignment="1">
      <alignment horizontal="left" vertical="center"/>
    </xf>
    <xf numFmtId="197" fontId="0" fillId="0" borderId="47" xfId="0" applyNumberFormat="1" applyBorder="1" applyAlignment="1">
      <alignment horizontal="left" vertical="center"/>
    </xf>
    <xf numFmtId="196" fontId="0" fillId="0" borderId="8" xfId="0" applyNumberFormat="1" applyBorder="1" applyAlignment="1">
      <alignment horizontal="left" vertical="center"/>
    </xf>
    <xf numFmtId="196" fontId="0" fillId="0" borderId="27" xfId="0" applyNumberFormat="1" applyBorder="1" applyAlignment="1">
      <alignment horizontal="left" vertical="center"/>
    </xf>
    <xf numFmtId="0" fontId="18" fillId="0" borderId="8" xfId="0" applyFont="1" applyFill="1" applyBorder="1" applyAlignment="1">
      <alignment horizontal="right" vertical="center"/>
    </xf>
    <xf numFmtId="197" fontId="18" fillId="0" borderId="8" xfId="0" applyNumberFormat="1" applyFont="1" applyFill="1" applyBorder="1" applyAlignment="1">
      <alignment horizontal="left" vertical="center"/>
    </xf>
    <xf numFmtId="197" fontId="18" fillId="0" borderId="27" xfId="0" applyNumberFormat="1" applyFont="1" applyFill="1" applyBorder="1" applyAlignment="1">
      <alignment horizontal="left" vertical="center"/>
    </xf>
    <xf numFmtId="0" fontId="18" fillId="0" borderId="18" xfId="0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197" fontId="0" fillId="0" borderId="47" xfId="0" applyNumberFormat="1" applyFill="1" applyBorder="1" applyAlignment="1">
      <alignment horizontal="left" vertical="center"/>
    </xf>
    <xf numFmtId="0" fontId="0" fillId="0" borderId="24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22" fillId="0" borderId="25" xfId="0" applyFont="1" applyFill="1" applyBorder="1" applyAlignment="1">
      <alignment horizontal="right" vertical="center"/>
    </xf>
    <xf numFmtId="0" fontId="22" fillId="0" borderId="29" xfId="0" applyFont="1" applyFill="1" applyBorder="1" applyAlignment="1">
      <alignment horizontal="right" vertical="center"/>
    </xf>
    <xf numFmtId="196" fontId="0" fillId="0" borderId="29" xfId="0" applyNumberFormat="1" applyFill="1" applyBorder="1" applyAlignment="1">
      <alignment horizontal="left" vertical="center"/>
    </xf>
    <xf numFmtId="196" fontId="0" fillId="0" borderId="47" xfId="0" applyNumberFormat="1" applyFill="1" applyBorder="1" applyAlignment="1">
      <alignment horizontal="left" vertical="center"/>
    </xf>
    <xf numFmtId="0" fontId="22" fillId="0" borderId="33" xfId="0" applyFont="1" applyFill="1" applyBorder="1" applyAlignment="1">
      <alignment horizontal="right" vertical="center"/>
    </xf>
    <xf numFmtId="0" fontId="22" fillId="0" borderId="8" xfId="0" applyFont="1" applyFill="1" applyBorder="1" applyAlignment="1">
      <alignment horizontal="right" vertical="center"/>
    </xf>
    <xf numFmtId="196" fontId="18" fillId="0" borderId="8" xfId="0" applyNumberFormat="1" applyFont="1" applyFill="1" applyBorder="1" applyAlignment="1">
      <alignment horizontal="left" vertical="center"/>
    </xf>
    <xf numFmtId="196" fontId="18" fillId="0" borderId="27" xfId="0" applyNumberFormat="1" applyFont="1" applyFill="1" applyBorder="1" applyAlignment="1">
      <alignment horizontal="left" vertical="center"/>
    </xf>
    <xf numFmtId="196" fontId="0" fillId="0" borderId="0" xfId="0" applyNumberFormat="1" applyBorder="1" applyAlignment="1">
      <alignment horizontal="left" vertical="center"/>
    </xf>
    <xf numFmtId="196" fontId="0" fillId="0" borderId="26" xfId="0" applyNumberFormat="1" applyBorder="1" applyAlignment="1">
      <alignment horizontal="left" vertical="center"/>
    </xf>
    <xf numFmtId="0" fontId="22" fillId="0" borderId="17" xfId="0" applyFont="1" applyBorder="1" applyAlignment="1">
      <alignment horizontal="right" vertical="center"/>
    </xf>
    <xf numFmtId="0" fontId="0" fillId="0" borderId="15" xfId="0" applyBorder="1" applyAlignment="1">
      <alignment horizontal="left" vertical="center"/>
    </xf>
    <xf numFmtId="203" fontId="0" fillId="0" borderId="0" xfId="0" applyNumberFormat="1" applyBorder="1" applyAlignment="1">
      <alignment horizontal="left" vertical="center"/>
    </xf>
    <xf numFmtId="0" fontId="18" fillId="0" borderId="12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right" vertical="center"/>
    </xf>
    <xf numFmtId="196" fontId="18" fillId="0" borderId="0" xfId="0" applyNumberFormat="1" applyFont="1" applyFill="1" applyBorder="1" applyAlignment="1">
      <alignment horizontal="left" vertical="center"/>
    </xf>
    <xf numFmtId="196" fontId="0" fillId="0" borderId="0" xfId="0" applyNumberFormat="1" applyFill="1" applyBorder="1" applyAlignment="1">
      <alignment horizontal="left" vertical="center"/>
    </xf>
    <xf numFmtId="196" fontId="0" fillId="0" borderId="16" xfId="0" applyNumberFormat="1" applyFill="1" applyBorder="1" applyAlignment="1">
      <alignment horizontal="left" vertical="center"/>
    </xf>
    <xf numFmtId="196" fontId="0" fillId="0" borderId="26" xfId="0" applyNumberFormat="1" applyFill="1" applyBorder="1" applyAlignment="1">
      <alignment horizontal="left" vertical="center"/>
    </xf>
    <xf numFmtId="0" fontId="18" fillId="0" borderId="24" xfId="0" applyFont="1" applyFill="1" applyBorder="1" applyAlignment="1">
      <alignment horizontal="right" vertical="center"/>
    </xf>
    <xf numFmtId="196" fontId="18" fillId="0" borderId="51" xfId="0" applyNumberFormat="1" applyFont="1" applyFill="1" applyBorder="1" applyAlignment="1">
      <alignment horizontal="left" vertical="center"/>
    </xf>
    <xf numFmtId="196" fontId="0" fillId="0" borderId="37" xfId="0" applyNumberFormat="1" applyFill="1" applyBorder="1" applyAlignment="1">
      <alignment horizontal="left" vertical="center"/>
    </xf>
    <xf numFmtId="197" fontId="18" fillId="0" borderId="29" xfId="0" applyNumberFormat="1" applyFont="1" applyBorder="1" applyAlignment="1">
      <alignment horizontal="left" vertical="center"/>
    </xf>
    <xf numFmtId="197" fontId="18" fillId="0" borderId="47" xfId="0" applyNumberFormat="1" applyFont="1" applyBorder="1" applyAlignment="1">
      <alignment horizontal="left" vertical="center"/>
    </xf>
    <xf numFmtId="195" fontId="0" fillId="0" borderId="0" xfId="0" applyNumberFormat="1" applyBorder="1" applyAlignment="1">
      <alignment horizontal="left" vertical="center"/>
    </xf>
    <xf numFmtId="165" fontId="18" fillId="0" borderId="29" xfId="0" applyNumberFormat="1" applyFont="1" applyBorder="1" applyAlignment="1">
      <alignment horizontal="left" vertical="center"/>
    </xf>
    <xf numFmtId="0" fontId="0" fillId="0" borderId="24" xfId="0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right" vertical="center"/>
    </xf>
    <xf numFmtId="0" fontId="0" fillId="0" borderId="51" xfId="0" applyFill="1" applyBorder="1" applyAlignment="1">
      <alignment horizontal="left" vertical="center"/>
    </xf>
    <xf numFmtId="197" fontId="0" fillId="0" borderId="0" xfId="0" applyNumberFormat="1" applyFill="1" applyBorder="1" applyAlignment="1">
      <alignment horizontal="left" vertical="center"/>
    </xf>
    <xf numFmtId="197" fontId="0" fillId="0" borderId="16" xfId="0" applyNumberForma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165" fontId="0" fillId="0" borderId="37" xfId="0" applyNumberFormat="1" applyFill="1" applyBorder="1" applyAlignment="1">
      <alignment horizontal="left" vertical="center"/>
    </xf>
    <xf numFmtId="165" fontId="0" fillId="0" borderId="29" xfId="0" applyNumberFormat="1" applyBorder="1" applyAlignment="1">
      <alignment horizontal="left" vertical="center"/>
    </xf>
    <xf numFmtId="165" fontId="0" fillId="0" borderId="47" xfId="0" applyNumberFormat="1" applyBorder="1" applyAlignment="1">
      <alignment horizontal="left" vertical="center"/>
    </xf>
    <xf numFmtId="196" fontId="18" fillId="0" borderId="8" xfId="0" applyNumberFormat="1" applyFont="1" applyBorder="1" applyAlignment="1">
      <alignment horizontal="left" vertical="center"/>
    </xf>
    <xf numFmtId="196" fontId="18" fillId="0" borderId="27" xfId="0" applyNumberFormat="1" applyFont="1" applyBorder="1" applyAlignment="1">
      <alignment horizontal="left" vertical="center"/>
    </xf>
    <xf numFmtId="197" fontId="0" fillId="0" borderId="26" xfId="0" applyNumberFormat="1" applyFill="1" applyBorder="1" applyAlignment="1">
      <alignment horizontal="left" vertical="center"/>
    </xf>
    <xf numFmtId="196" fontId="0" fillId="0" borderId="8" xfId="0" applyNumberFormat="1" applyFill="1" applyBorder="1" applyAlignment="1">
      <alignment horizontal="left" vertical="center"/>
    </xf>
    <xf numFmtId="196" fontId="0" fillId="0" borderId="51" xfId="0" applyNumberFormat="1" applyFill="1" applyBorder="1" applyAlignment="1">
      <alignment horizontal="left" vertical="center"/>
    </xf>
    <xf numFmtId="0" fontId="48" fillId="0" borderId="25" xfId="0" applyFont="1" applyBorder="1" applyAlignment="1" applyProtection="1">
      <alignment horizontal="center" vertical="center" wrapText="1"/>
    </xf>
    <xf numFmtId="0" fontId="48" fillId="0" borderId="29" xfId="0" applyFont="1" applyBorder="1" applyAlignment="1" applyProtection="1">
      <alignment horizontal="center" vertical="center" wrapText="1"/>
    </xf>
    <xf numFmtId="0" fontId="48" fillId="0" borderId="47" xfId="0" applyFont="1" applyBorder="1" applyAlignment="1" applyProtection="1">
      <alignment horizontal="center" vertical="center" wrapText="1"/>
    </xf>
    <xf numFmtId="0" fontId="48" fillId="0" borderId="24" xfId="0" applyFont="1" applyBorder="1" applyAlignment="1" applyProtection="1">
      <alignment horizontal="center" vertical="center" wrapText="1"/>
    </xf>
    <xf numFmtId="0" fontId="48" fillId="0" borderId="0" xfId="0" applyFont="1" applyBorder="1" applyAlignment="1" applyProtection="1">
      <alignment horizontal="center" vertical="center" wrapText="1"/>
    </xf>
    <xf numFmtId="0" fontId="48" fillId="0" borderId="26" xfId="0" applyFont="1" applyBorder="1" applyAlignment="1" applyProtection="1">
      <alignment horizontal="center" vertical="center" wrapText="1"/>
    </xf>
    <xf numFmtId="0" fontId="48" fillId="0" borderId="33" xfId="0" applyFont="1" applyBorder="1" applyAlignment="1" applyProtection="1">
      <alignment horizontal="center" vertical="center" wrapText="1"/>
    </xf>
    <xf numFmtId="0" fontId="48" fillId="0" borderId="8" xfId="0" applyFont="1" applyBorder="1" applyAlignment="1" applyProtection="1">
      <alignment horizontal="center" vertical="center" wrapText="1"/>
    </xf>
    <xf numFmtId="0" fontId="48" fillId="0" borderId="27" xfId="0" applyFont="1" applyBorder="1" applyAlignment="1" applyProtection="1">
      <alignment horizontal="center" vertical="center" wrapText="1"/>
    </xf>
    <xf numFmtId="169" fontId="0" fillId="0" borderId="29" xfId="0" applyNumberFormat="1" applyBorder="1" applyAlignment="1">
      <alignment horizontal="left" vertical="center"/>
    </xf>
    <xf numFmtId="183" fontId="0" fillId="0" borderId="29" xfId="0" applyNumberFormat="1" applyBorder="1" applyAlignment="1">
      <alignment horizontal="left" vertical="center"/>
    </xf>
    <xf numFmtId="183" fontId="0" fillId="0" borderId="47" xfId="0" applyNumberFormat="1" applyBorder="1" applyAlignment="1">
      <alignment horizontal="left" vertical="center"/>
    </xf>
    <xf numFmtId="0" fontId="0" fillId="0" borderId="12" xfId="0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43" fillId="0" borderId="8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1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right" vertical="center"/>
    </xf>
    <xf numFmtId="0" fontId="10" fillId="0" borderId="35" xfId="0" applyFont="1" applyFill="1" applyBorder="1" applyAlignment="1">
      <alignment horizontal="right" vertical="center"/>
    </xf>
    <xf numFmtId="3" fontId="10" fillId="0" borderId="35" xfId="0" applyNumberFormat="1" applyFont="1" applyFill="1" applyBorder="1" applyAlignment="1" applyProtection="1">
      <alignment horizontal="center" vertical="center"/>
      <protection locked="0"/>
    </xf>
    <xf numFmtId="3" fontId="10" fillId="0" borderId="21" xfId="0" applyNumberFormat="1" applyFont="1" applyFill="1" applyBorder="1" applyAlignment="1" applyProtection="1">
      <alignment horizontal="center" vertical="center"/>
      <protection locked="0"/>
    </xf>
    <xf numFmtId="0" fontId="14" fillId="3" borderId="30" xfId="0" applyFont="1" applyFill="1" applyBorder="1" applyAlignment="1">
      <alignment horizontal="center" vertical="center"/>
    </xf>
    <xf numFmtId="0" fontId="14" fillId="3" borderId="31" xfId="0" applyFont="1" applyFill="1" applyBorder="1" applyAlignment="1">
      <alignment horizontal="center" vertical="center"/>
    </xf>
    <xf numFmtId="0" fontId="14" fillId="3" borderId="32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right" vertical="center"/>
    </xf>
    <xf numFmtId="0" fontId="10" fillId="0" borderId="41" xfId="0" applyFont="1" applyFill="1" applyBorder="1" applyAlignment="1">
      <alignment horizontal="right" vertical="center"/>
    </xf>
    <xf numFmtId="0" fontId="22" fillId="0" borderId="8" xfId="0" applyFont="1" applyBorder="1" applyAlignment="1">
      <alignment horizontal="right" vertical="center"/>
    </xf>
    <xf numFmtId="196" fontId="0" fillId="0" borderId="51" xfId="0" applyNumberFormat="1" applyBorder="1" applyAlignment="1">
      <alignment horizontal="left" vertical="center"/>
    </xf>
    <xf numFmtId="0" fontId="0" fillId="0" borderId="25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2" fillId="0" borderId="33" xfId="0" applyFont="1" applyBorder="1" applyAlignment="1">
      <alignment horizontal="right" vertical="center"/>
    </xf>
    <xf numFmtId="196" fontId="0" fillId="0" borderId="27" xfId="0" applyNumberFormat="1" applyFill="1" applyBorder="1" applyAlignment="1">
      <alignment horizontal="left" vertical="center"/>
    </xf>
    <xf numFmtId="0" fontId="0" fillId="0" borderId="25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197" fontId="0" fillId="0" borderId="26" xfId="0" applyNumberFormat="1" applyBorder="1" applyAlignment="1">
      <alignment horizontal="left" vertical="center"/>
    </xf>
    <xf numFmtId="0" fontId="1" fillId="0" borderId="25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96" fontId="0" fillId="0" borderId="18" xfId="0" applyNumberFormat="1" applyFill="1" applyBorder="1" applyAlignment="1">
      <alignment horizontal="left" vertical="center"/>
    </xf>
    <xf numFmtId="196" fontId="0" fillId="0" borderId="50" xfId="0" applyNumberFormat="1" applyFill="1" applyBorder="1" applyAlignment="1">
      <alignment horizontal="left" vertical="center"/>
    </xf>
    <xf numFmtId="0" fontId="22" fillId="0" borderId="49" xfId="0" applyFont="1" applyFill="1" applyBorder="1" applyAlignment="1">
      <alignment horizontal="right" vertical="center"/>
    </xf>
    <xf numFmtId="0" fontId="22" fillId="0" borderId="18" xfId="0" applyFont="1" applyFill="1" applyBorder="1" applyAlignment="1">
      <alignment horizontal="right" vertical="center"/>
    </xf>
    <xf numFmtId="171" fontId="0" fillId="0" borderId="0" xfId="0" applyNumberFormat="1" applyAlignment="1">
      <alignment horizontal="left" vertical="center"/>
    </xf>
    <xf numFmtId="170" fontId="0" fillId="7" borderId="0" xfId="0" applyNumberFormat="1" applyFill="1" applyAlignment="1">
      <alignment horizontal="left" vertical="center"/>
    </xf>
    <xf numFmtId="171" fontId="0" fillId="6" borderId="0" xfId="0" applyNumberFormat="1" applyFill="1" applyAlignment="1" applyProtection="1">
      <alignment horizontal="left" vertical="center"/>
      <protection locked="0"/>
    </xf>
    <xf numFmtId="0" fontId="15" fillId="4" borderId="12" xfId="0" applyFont="1" applyFill="1" applyBorder="1" applyAlignment="1">
      <alignment horizontal="center" vertical="center"/>
    </xf>
    <xf numFmtId="0" fontId="15" fillId="4" borderId="35" xfId="0" applyFont="1" applyFill="1" applyBorder="1" applyAlignment="1">
      <alignment horizontal="center" vertical="center"/>
    </xf>
    <xf numFmtId="0" fontId="15" fillId="4" borderId="21" xfId="0" applyFont="1" applyFill="1" applyBorder="1" applyAlignment="1">
      <alignment horizontal="center" vertical="center"/>
    </xf>
    <xf numFmtId="170" fontId="0" fillId="6" borderId="0" xfId="0" applyNumberFormat="1" applyFill="1" applyAlignment="1" applyProtection="1">
      <alignment horizontal="left" vertical="center"/>
      <protection locked="0"/>
    </xf>
    <xf numFmtId="0" fontId="18" fillId="0" borderId="11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5" fillId="4" borderId="41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/>
    </xf>
    <xf numFmtId="0" fontId="15" fillId="5" borderId="12" xfId="0" applyFont="1" applyFill="1" applyBorder="1" applyAlignment="1">
      <alignment horizontal="center" vertical="center"/>
    </xf>
    <xf numFmtId="0" fontId="15" fillId="5" borderId="35" xfId="0" applyFont="1" applyFill="1" applyBorder="1" applyAlignment="1">
      <alignment horizontal="center" vertical="center"/>
    </xf>
    <xf numFmtId="0" fontId="15" fillId="5" borderId="21" xfId="0" applyFont="1" applyFill="1" applyBorder="1" applyAlignment="1">
      <alignment horizontal="center" vertical="center"/>
    </xf>
    <xf numFmtId="3" fontId="10" fillId="0" borderId="41" xfId="0" applyNumberFormat="1" applyFont="1" applyFill="1" applyBorder="1" applyAlignment="1" applyProtection="1">
      <alignment horizontal="center" vertical="center"/>
      <protection locked="0"/>
    </xf>
    <xf numFmtId="3" fontId="10" fillId="0" borderId="14" xfId="0" applyNumberFormat="1" applyFont="1" applyFill="1" applyBorder="1" applyAlignment="1" applyProtection="1">
      <alignment horizontal="center" vertical="center"/>
      <protection locked="0"/>
    </xf>
    <xf numFmtId="0" fontId="14" fillId="3" borderId="34" xfId="0" applyFont="1" applyFill="1" applyBorder="1" applyAlignment="1">
      <alignment horizontal="center" vertical="center"/>
    </xf>
    <xf numFmtId="0" fontId="14" fillId="3" borderId="39" xfId="0" applyFont="1" applyFill="1" applyBorder="1" applyAlignment="1">
      <alignment horizontal="center" vertical="center"/>
    </xf>
    <xf numFmtId="0" fontId="14" fillId="3" borderId="40" xfId="0" applyFont="1" applyFill="1" applyBorder="1" applyAlignment="1">
      <alignment horizontal="center" vertical="center"/>
    </xf>
    <xf numFmtId="196" fontId="0" fillId="0" borderId="19" xfId="0" applyNumberFormat="1" applyFill="1" applyBorder="1" applyAlignment="1">
      <alignment horizontal="left" vertical="center"/>
    </xf>
    <xf numFmtId="210" fontId="0" fillId="0" borderId="29" xfId="0" applyNumberFormat="1" applyBorder="1" applyAlignment="1">
      <alignment horizontal="left" vertical="center"/>
    </xf>
    <xf numFmtId="210" fontId="0" fillId="0" borderId="37" xfId="0" applyNumberFormat="1" applyBorder="1" applyAlignment="1">
      <alignment horizontal="left" vertical="center"/>
    </xf>
    <xf numFmtId="0" fontId="27" fillId="0" borderId="26" xfId="0" applyFont="1" applyFill="1" applyBorder="1" applyAlignment="1">
      <alignment horizontal="center" vertical="center"/>
    </xf>
    <xf numFmtId="170" fontId="0" fillId="0" borderId="0" xfId="0" applyNumberFormat="1" applyFill="1" applyAlignment="1" applyProtection="1">
      <alignment horizontal="left" vertical="center"/>
    </xf>
    <xf numFmtId="0" fontId="0" fillId="0" borderId="29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47" xfId="0" applyBorder="1" applyAlignment="1">
      <alignment vertical="center"/>
    </xf>
    <xf numFmtId="0" fontId="15" fillId="4" borderId="13" xfId="0" applyFont="1" applyFill="1" applyBorder="1" applyAlignment="1">
      <alignment horizontal="center" vertical="center"/>
    </xf>
    <xf numFmtId="0" fontId="15" fillId="4" borderId="36" xfId="0" applyFont="1" applyFill="1" applyBorder="1" applyAlignment="1">
      <alignment horizontal="center" vertical="center"/>
    </xf>
    <xf numFmtId="0" fontId="15" fillId="4" borderId="46" xfId="0" applyFont="1" applyFill="1" applyBorder="1" applyAlignment="1">
      <alignment horizontal="center" vertical="center"/>
    </xf>
    <xf numFmtId="3" fontId="10" fillId="2" borderId="0" xfId="0" applyNumberFormat="1" applyFont="1" applyFill="1" applyAlignment="1" applyProtection="1">
      <alignment horizontal="left" vertical="center"/>
      <protection locked="0"/>
    </xf>
    <xf numFmtId="168" fontId="10" fillId="0" borderId="41" xfId="0" applyNumberFormat="1" applyFont="1" applyFill="1" applyBorder="1" applyAlignment="1" applyProtection="1">
      <alignment horizontal="left" vertical="center"/>
      <protection locked="0"/>
    </xf>
    <xf numFmtId="168" fontId="0" fillId="0" borderId="14" xfId="0" applyNumberFormat="1" applyFill="1" applyBorder="1" applyAlignment="1" applyProtection="1">
      <alignment horizontal="left" vertical="center"/>
      <protection locked="0"/>
    </xf>
    <xf numFmtId="0" fontId="15" fillId="2" borderId="12" xfId="0" applyFont="1" applyFill="1" applyBorder="1" applyAlignment="1">
      <alignment horizontal="center" vertical="center"/>
    </xf>
    <xf numFmtId="0" fontId="15" fillId="2" borderId="35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0" fillId="2" borderId="0" xfId="0" applyFont="1" applyFill="1" applyAlignment="1" applyProtection="1">
      <alignment horizontal="left" vertical="center"/>
      <protection locked="0"/>
    </xf>
    <xf numFmtId="195" fontId="10" fillId="2" borderId="35" xfId="0" applyNumberFormat="1" applyFont="1" applyFill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right" vertical="center"/>
    </xf>
    <xf numFmtId="164" fontId="42" fillId="6" borderId="0" xfId="2" applyNumberFormat="1" applyFont="1" applyFill="1" applyAlignment="1" applyProtection="1">
      <alignment horizontal="left" vertical="center"/>
      <protection locked="0"/>
    </xf>
    <xf numFmtId="4" fontId="10" fillId="0" borderId="35" xfId="0" applyNumberFormat="1" applyFont="1" applyFill="1" applyBorder="1" applyAlignment="1" applyProtection="1">
      <alignment horizontal="center" vertical="center"/>
      <protection locked="0"/>
    </xf>
    <xf numFmtId="4" fontId="10" fillId="0" borderId="21" xfId="0" applyNumberFormat="1" applyFont="1" applyFill="1" applyBorder="1" applyAlignment="1" applyProtection="1">
      <alignment horizontal="center" vertical="center"/>
      <protection locked="0"/>
    </xf>
    <xf numFmtId="0" fontId="10" fillId="4" borderId="34" xfId="0" applyFont="1" applyFill="1" applyBorder="1" applyAlignment="1" applyProtection="1">
      <alignment horizontal="right" vertical="center"/>
    </xf>
    <xf numFmtId="0" fontId="10" fillId="4" borderId="39" xfId="0" applyFont="1" applyFill="1" applyBorder="1" applyAlignment="1" applyProtection="1">
      <alignment horizontal="right" vertical="center"/>
    </xf>
    <xf numFmtId="0" fontId="10" fillId="4" borderId="39" xfId="0" applyFont="1" applyFill="1" applyBorder="1" applyAlignment="1" applyProtection="1">
      <alignment horizontal="center" vertical="center"/>
      <protection locked="0"/>
    </xf>
    <xf numFmtId="0" fontId="10" fillId="4" borderId="40" xfId="0" applyFont="1" applyFill="1" applyBorder="1" applyAlignment="1" applyProtection="1">
      <alignment horizontal="center" vertical="center"/>
      <protection locked="0"/>
    </xf>
    <xf numFmtId="172" fontId="1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168" fontId="10" fillId="2" borderId="11" xfId="0" applyNumberFormat="1" applyFont="1" applyFill="1" applyBorder="1" applyAlignment="1" applyProtection="1">
      <alignment horizontal="right" vertical="center"/>
    </xf>
    <xf numFmtId="168" fontId="10" fillId="2" borderId="41" xfId="0" applyNumberFormat="1" applyFont="1" applyFill="1" applyBorder="1" applyAlignment="1" applyProtection="1">
      <alignment horizontal="right" vertical="center"/>
    </xf>
    <xf numFmtId="168" fontId="10" fillId="2" borderId="12" xfId="0" applyNumberFormat="1" applyFont="1" applyFill="1" applyBorder="1" applyAlignment="1" applyProtection="1">
      <alignment horizontal="right" vertical="center"/>
    </xf>
    <xf numFmtId="168" fontId="10" fillId="2" borderId="35" xfId="0" applyNumberFormat="1" applyFont="1" applyFill="1" applyBorder="1" applyAlignment="1" applyProtection="1">
      <alignment horizontal="right" vertical="center"/>
    </xf>
    <xf numFmtId="168" fontId="10" fillId="2" borderId="35" xfId="0" applyNumberFormat="1" applyFont="1" applyFill="1" applyBorder="1" applyAlignment="1" applyProtection="1">
      <alignment horizontal="left" vertical="center"/>
      <protection locked="0"/>
    </xf>
    <xf numFmtId="168" fontId="0" fillId="0" borderId="21" xfId="0" applyNumberFormat="1" applyBorder="1" applyAlignment="1" applyProtection="1">
      <alignment horizontal="left" vertical="center"/>
      <protection locked="0"/>
    </xf>
    <xf numFmtId="168" fontId="10" fillId="0" borderId="36" xfId="0" applyNumberFormat="1" applyFont="1" applyFill="1" applyBorder="1" applyAlignment="1" applyProtection="1">
      <alignment horizontal="left" vertical="center"/>
    </xf>
    <xf numFmtId="168" fontId="0" fillId="0" borderId="46" xfId="0" applyNumberFormat="1" applyFill="1" applyBorder="1" applyAlignment="1" applyProtection="1">
      <alignment horizontal="left" vertical="center"/>
    </xf>
    <xf numFmtId="0" fontId="10" fillId="4" borderId="34" xfId="0" applyFont="1" applyFill="1" applyBorder="1" applyAlignment="1" applyProtection="1">
      <alignment horizontal="center" vertical="center"/>
    </xf>
    <xf numFmtId="0" fontId="10" fillId="4" borderId="39" xfId="0" applyFont="1" applyFill="1" applyBorder="1" applyAlignment="1" applyProtection="1">
      <alignment horizontal="center" vertical="center"/>
    </xf>
    <xf numFmtId="0" fontId="10" fillId="4" borderId="40" xfId="0" applyFont="1" applyFill="1" applyBorder="1" applyAlignment="1" applyProtection="1">
      <alignment horizontal="center" vertical="center"/>
    </xf>
    <xf numFmtId="0" fontId="0" fillId="0" borderId="44" xfId="0" applyBorder="1" applyAlignment="1">
      <alignment horizontal="center" vertical="center"/>
    </xf>
    <xf numFmtId="4" fontId="10" fillId="0" borderId="36" xfId="0" applyNumberFormat="1" applyFont="1" applyFill="1" applyBorder="1" applyAlignment="1" applyProtection="1">
      <alignment horizontal="center" vertical="center"/>
      <protection locked="0"/>
    </xf>
    <xf numFmtId="4" fontId="10" fillId="0" borderId="46" xfId="0" applyNumberFormat="1" applyFont="1" applyFill="1" applyBorder="1" applyAlignment="1" applyProtection="1">
      <alignment horizontal="center" vertical="center"/>
      <protection locked="0"/>
    </xf>
    <xf numFmtId="0" fontId="15" fillId="5" borderId="13" xfId="0" applyFont="1" applyFill="1" applyBorder="1" applyAlignment="1">
      <alignment horizontal="center" vertical="center"/>
    </xf>
    <xf numFmtId="0" fontId="15" fillId="5" borderId="36" xfId="0" applyFont="1" applyFill="1" applyBorder="1" applyAlignment="1">
      <alignment horizontal="center" vertical="center"/>
    </xf>
    <xf numFmtId="0" fontId="15" fillId="5" borderId="46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41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0" fillId="2" borderId="13" xfId="0" applyFont="1" applyFill="1" applyBorder="1" applyAlignment="1" applyProtection="1">
      <alignment horizontal="right" vertical="center"/>
    </xf>
    <xf numFmtId="0" fontId="28" fillId="0" borderId="29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right" vertical="center"/>
    </xf>
    <xf numFmtId="0" fontId="10" fillId="0" borderId="36" xfId="0" applyFont="1" applyFill="1" applyBorder="1" applyAlignment="1">
      <alignment horizontal="right" vertical="center"/>
    </xf>
    <xf numFmtId="1" fontId="17" fillId="5" borderId="12" xfId="0" applyNumberFormat="1" applyFont="1" applyFill="1" applyBorder="1" applyAlignment="1">
      <alignment horizontal="center" vertical="center"/>
    </xf>
    <xf numFmtId="1" fontId="17" fillId="5" borderId="35" xfId="0" applyNumberFormat="1" applyFont="1" applyFill="1" applyBorder="1" applyAlignment="1">
      <alignment horizontal="center" vertical="center"/>
    </xf>
    <xf numFmtId="1" fontId="17" fillId="5" borderId="21" xfId="0" applyNumberFormat="1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 wrapText="1"/>
    </xf>
    <xf numFmtId="0" fontId="17" fillId="5" borderId="35" xfId="0" applyFont="1" applyFill="1" applyBorder="1" applyAlignment="1">
      <alignment horizontal="center" vertical="center" wrapText="1"/>
    </xf>
    <xf numFmtId="0" fontId="17" fillId="5" borderId="21" xfId="0" applyFont="1" applyFill="1" applyBorder="1" applyAlignment="1">
      <alignment horizontal="center" vertical="center" wrapText="1"/>
    </xf>
    <xf numFmtId="1" fontId="17" fillId="4" borderId="12" xfId="0" applyNumberFormat="1" applyFont="1" applyFill="1" applyBorder="1" applyAlignment="1">
      <alignment horizontal="center" vertical="center"/>
    </xf>
    <xf numFmtId="1" fontId="17" fillId="4" borderId="35" xfId="0" applyNumberFormat="1" applyFont="1" applyFill="1" applyBorder="1" applyAlignment="1">
      <alignment horizontal="center" vertical="center"/>
    </xf>
    <xf numFmtId="1" fontId="17" fillId="4" borderId="21" xfId="0" applyNumberFormat="1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7" fillId="5" borderId="35" xfId="0" applyFont="1" applyFill="1" applyBorder="1" applyAlignment="1">
      <alignment horizontal="center" vertical="center"/>
    </xf>
    <xf numFmtId="0" fontId="17" fillId="5" borderId="21" xfId="0" applyFont="1" applyFill="1" applyBorder="1" applyAlignment="1">
      <alignment horizontal="center" vertical="center"/>
    </xf>
    <xf numFmtId="1" fontId="17" fillId="5" borderId="13" xfId="0" applyNumberFormat="1" applyFont="1" applyFill="1" applyBorder="1" applyAlignment="1">
      <alignment horizontal="center" vertical="center"/>
    </xf>
    <xf numFmtId="1" fontId="17" fillId="5" borderId="36" xfId="0" applyNumberFormat="1" applyFont="1" applyFill="1" applyBorder="1" applyAlignment="1">
      <alignment horizontal="center" vertical="center"/>
    </xf>
    <xf numFmtId="1" fontId="17" fillId="5" borderId="46" xfId="0" applyNumberFormat="1" applyFont="1" applyFill="1" applyBorder="1" applyAlignment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48" fillId="0" borderId="25" xfId="0" applyFont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 wrapText="1"/>
    </xf>
    <xf numFmtId="0" fontId="48" fillId="0" borderId="47" xfId="0" applyFont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48" fillId="0" borderId="8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168" fontId="10" fillId="0" borderId="35" xfId="0" applyNumberFormat="1" applyFont="1" applyFill="1" applyBorder="1" applyAlignment="1" applyProtection="1">
      <alignment horizontal="left" vertical="center"/>
    </xf>
    <xf numFmtId="168" fontId="0" fillId="0" borderId="21" xfId="0" applyNumberFormat="1" applyFill="1" applyBorder="1" applyAlignment="1" applyProtection="1">
      <alignment horizontal="left" vertical="center"/>
    </xf>
    <xf numFmtId="168" fontId="10" fillId="2" borderId="24" xfId="0" applyNumberFormat="1" applyFont="1" applyFill="1" applyBorder="1" applyAlignment="1" applyProtection="1">
      <alignment horizontal="center" vertical="center"/>
      <protection locked="0"/>
    </xf>
    <xf numFmtId="168" fontId="10" fillId="2" borderId="0" xfId="0" applyNumberFormat="1" applyFont="1" applyFill="1" applyBorder="1" applyAlignment="1" applyProtection="1">
      <alignment horizontal="center" vertical="center"/>
      <protection locked="0"/>
    </xf>
    <xf numFmtId="0" fontId="49" fillId="0" borderId="24" xfId="0" applyFont="1" applyBorder="1" applyAlignment="1">
      <alignment horizontal="right" vertical="center"/>
    </xf>
    <xf numFmtId="0" fontId="49" fillId="0" borderId="0" xfId="0" applyFont="1" applyBorder="1" applyAlignment="1">
      <alignment horizontal="right" vertical="center"/>
    </xf>
    <xf numFmtId="0" fontId="17" fillId="2" borderId="12" xfId="0" applyFont="1" applyFill="1" applyBorder="1" applyAlignment="1">
      <alignment horizontal="center" vertical="center" wrapText="1"/>
    </xf>
    <xf numFmtId="0" fontId="17" fillId="2" borderId="35" xfId="0" applyFont="1" applyFill="1" applyBorder="1" applyAlignment="1">
      <alignment horizontal="center" vertical="center" wrapText="1"/>
    </xf>
    <xf numFmtId="0" fontId="17" fillId="2" borderId="21" xfId="0" applyFont="1" applyFill="1" applyBorder="1" applyAlignment="1">
      <alignment horizontal="center" vertical="center" wrapText="1"/>
    </xf>
    <xf numFmtId="0" fontId="53" fillId="0" borderId="13" xfId="0" applyFont="1" applyBorder="1" applyAlignment="1" applyProtection="1">
      <alignment horizontal="center" vertical="center"/>
    </xf>
    <xf numFmtId="0" fontId="53" fillId="0" borderId="36" xfId="0" applyFont="1" applyBorder="1" applyAlignment="1" applyProtection="1">
      <alignment horizontal="center" vertical="center"/>
    </xf>
    <xf numFmtId="0" fontId="53" fillId="0" borderId="46" xfId="0" applyFont="1" applyBorder="1" applyAlignment="1" applyProtection="1">
      <alignment horizontal="center" vertical="center"/>
    </xf>
    <xf numFmtId="168" fontId="0" fillId="0" borderId="44" xfId="0" applyNumberFormat="1" applyBorder="1" applyAlignment="1" applyProtection="1">
      <alignment horizontal="left" vertical="center"/>
      <protection locked="0"/>
    </xf>
    <xf numFmtId="168" fontId="10" fillId="2" borderId="36" xfId="0" applyNumberFormat="1" applyFont="1" applyFill="1" applyBorder="1" applyAlignment="1" applyProtection="1">
      <alignment horizontal="left" vertical="center"/>
      <protection locked="0"/>
    </xf>
    <xf numFmtId="168" fontId="0" fillId="0" borderId="48" xfId="0" applyNumberFormat="1" applyBorder="1" applyAlignment="1" applyProtection="1">
      <alignment horizontal="left" vertical="center"/>
      <protection locked="0"/>
    </xf>
    <xf numFmtId="0" fontId="10" fillId="2" borderId="11" xfId="0" applyFont="1" applyFill="1" applyBorder="1" applyAlignment="1" applyProtection="1">
      <alignment horizontal="right" vertical="center"/>
    </xf>
    <xf numFmtId="0" fontId="10" fillId="2" borderId="41" xfId="0" applyFont="1" applyFill="1" applyBorder="1" applyAlignment="1" applyProtection="1">
      <alignment horizontal="right" vertical="center"/>
    </xf>
    <xf numFmtId="168" fontId="10" fillId="0" borderId="35" xfId="0" applyNumberFormat="1" applyFont="1" applyBorder="1" applyAlignment="1">
      <alignment horizontal="left" vertical="center"/>
    </xf>
    <xf numFmtId="168" fontId="10" fillId="0" borderId="21" xfId="0" applyNumberFormat="1" applyFont="1" applyBorder="1" applyAlignment="1">
      <alignment horizontal="left" vertical="center"/>
    </xf>
    <xf numFmtId="0" fontId="10" fillId="4" borderId="11" xfId="0" applyFont="1" applyFill="1" applyBorder="1" applyAlignment="1" applyProtection="1">
      <alignment horizontal="center" vertical="center" wrapText="1"/>
    </xf>
    <xf numFmtId="0" fontId="10" fillId="4" borderId="41" xfId="0" applyFont="1" applyFill="1" applyBorder="1" applyAlignment="1" applyProtection="1">
      <alignment horizontal="center" vertical="center" wrapText="1"/>
    </xf>
    <xf numFmtId="0" fontId="10" fillId="4" borderId="14" xfId="0" applyFont="1" applyFill="1" applyBorder="1" applyAlignment="1" applyProtection="1">
      <alignment horizontal="center" vertical="center" wrapText="1"/>
    </xf>
    <xf numFmtId="168" fontId="10" fillId="2" borderId="41" xfId="0" applyNumberFormat="1" applyFont="1" applyFill="1" applyBorder="1" applyAlignment="1" applyProtection="1">
      <alignment horizontal="left" vertical="center"/>
      <protection locked="0"/>
    </xf>
    <xf numFmtId="168" fontId="10" fillId="2" borderId="14" xfId="0" applyNumberFormat="1" applyFont="1" applyFill="1" applyBorder="1" applyAlignment="1" applyProtection="1">
      <alignment horizontal="left" vertical="center"/>
      <protection locked="0"/>
    </xf>
    <xf numFmtId="165" fontId="10" fillId="2" borderId="35" xfId="0" applyNumberFormat="1" applyFont="1" applyFill="1" applyBorder="1" applyAlignment="1" applyProtection="1">
      <alignment horizontal="left" vertical="center"/>
      <protection locked="0"/>
    </xf>
    <xf numFmtId="165" fontId="0" fillId="0" borderId="21" xfId="0" applyNumberFormat="1" applyBorder="1" applyAlignment="1" applyProtection="1">
      <alignment horizontal="left" vertical="center"/>
      <protection locked="0"/>
    </xf>
    <xf numFmtId="0" fontId="10" fillId="2" borderId="12" xfId="0" applyFont="1" applyFill="1" applyBorder="1" applyAlignment="1" applyProtection="1">
      <alignment horizontal="center" vertical="center"/>
      <protection locked="0"/>
    </xf>
    <xf numFmtId="0" fontId="10" fillId="2" borderId="35" xfId="0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168" fontId="10" fillId="2" borderId="21" xfId="0" applyNumberFormat="1" applyFont="1" applyFill="1" applyBorder="1" applyAlignment="1" applyProtection="1">
      <alignment horizontal="left" vertical="center"/>
      <protection locked="0"/>
    </xf>
    <xf numFmtId="165" fontId="10" fillId="2" borderId="36" xfId="0" applyNumberFormat="1" applyFont="1" applyFill="1" applyBorder="1" applyAlignment="1" applyProtection="1">
      <alignment horizontal="left" vertical="center"/>
      <protection locked="0"/>
    </xf>
    <xf numFmtId="165" fontId="0" fillId="0" borderId="46" xfId="0" applyNumberFormat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51" fillId="0" borderId="24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26" xfId="0" applyFont="1" applyBorder="1" applyAlignment="1">
      <alignment horizontal="center" vertical="center"/>
    </xf>
    <xf numFmtId="0" fontId="43" fillId="0" borderId="29" xfId="0" applyFont="1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95" fontId="10" fillId="2" borderId="41" xfId="0" applyNumberFormat="1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52" fillId="0" borderId="24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14" fillId="0" borderId="12" xfId="0" applyFont="1" applyBorder="1" applyAlignment="1">
      <alignment horizontal="right" vertical="center"/>
    </xf>
    <xf numFmtId="0" fontId="14" fillId="0" borderId="35" xfId="0" applyFont="1" applyBorder="1" applyAlignment="1">
      <alignment horizontal="right" vertical="center"/>
    </xf>
    <xf numFmtId="0" fontId="10" fillId="2" borderId="41" xfId="0" applyFont="1" applyFill="1" applyBorder="1" applyAlignment="1" applyProtection="1">
      <alignment horizontal="center" vertical="center"/>
      <protection locked="0"/>
    </xf>
    <xf numFmtId="0" fontId="50" fillId="0" borderId="11" xfId="0" applyFont="1" applyBorder="1" applyAlignment="1" applyProtection="1">
      <alignment horizontal="right" vertical="center"/>
    </xf>
    <xf numFmtId="0" fontId="50" fillId="0" borderId="41" xfId="0" applyFont="1" applyBorder="1" applyAlignment="1" applyProtection="1">
      <alignment horizontal="right" vertical="center"/>
    </xf>
    <xf numFmtId="0" fontId="48" fillId="0" borderId="11" xfId="0" applyFont="1" applyBorder="1" applyAlignment="1" applyProtection="1">
      <alignment horizontal="center" vertical="center"/>
    </xf>
    <xf numFmtId="0" fontId="48" fillId="0" borderId="41" xfId="0" applyFont="1" applyBorder="1" applyAlignment="1" applyProtection="1">
      <alignment horizontal="center" vertical="center"/>
    </xf>
    <xf numFmtId="0" fontId="48" fillId="0" borderId="14" xfId="0" applyFont="1" applyBorder="1" applyAlignment="1" applyProtection="1">
      <alignment horizontal="center" vertical="center"/>
    </xf>
    <xf numFmtId="0" fontId="0" fillId="0" borderId="38" xfId="0" applyBorder="1" applyAlignment="1">
      <alignment horizontal="right" vertical="center"/>
    </xf>
    <xf numFmtId="0" fontId="36" fillId="0" borderId="17" xfId="0" applyFont="1" applyBorder="1" applyAlignment="1">
      <alignment horizontal="right" vertical="center"/>
    </xf>
    <xf numFmtId="0" fontId="36" fillId="0" borderId="18" xfId="0" applyFont="1" applyBorder="1" applyAlignment="1">
      <alignment horizontal="right" vertical="center"/>
    </xf>
    <xf numFmtId="168" fontId="48" fillId="0" borderId="18" xfId="0" applyNumberFormat="1" applyFont="1" applyBorder="1" applyAlignment="1">
      <alignment horizontal="left" vertical="center"/>
    </xf>
    <xf numFmtId="168" fontId="48" fillId="0" borderId="19" xfId="0" applyNumberFormat="1" applyFont="1" applyBorder="1" applyAlignment="1">
      <alignment horizontal="left" vertical="center"/>
    </xf>
    <xf numFmtId="212" fontId="0" fillId="0" borderId="0" xfId="0" applyNumberFormat="1" applyBorder="1" applyAlignment="1">
      <alignment horizontal="left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36" xfId="0" applyFont="1" applyFill="1" applyBorder="1" applyAlignment="1">
      <alignment horizontal="center" vertical="center"/>
    </xf>
    <xf numFmtId="0" fontId="15" fillId="2" borderId="46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35" xfId="0" applyFont="1" applyFill="1" applyBorder="1" applyAlignment="1">
      <alignment horizontal="center" vertical="center"/>
    </xf>
    <xf numFmtId="0" fontId="17" fillId="2" borderId="21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36" xfId="0" applyFont="1" applyFill="1" applyBorder="1" applyAlignment="1">
      <alignment horizontal="center" vertical="center"/>
    </xf>
    <xf numFmtId="0" fontId="17" fillId="2" borderId="46" xfId="0" applyFont="1" applyFill="1" applyBorder="1" applyAlignment="1">
      <alignment horizontal="center" vertical="center"/>
    </xf>
    <xf numFmtId="195" fontId="0" fillId="0" borderId="0" xfId="0" applyNumberFormat="1" applyFill="1" applyBorder="1" applyAlignment="1">
      <alignment horizontal="left" vertical="center"/>
    </xf>
    <xf numFmtId="195" fontId="0" fillId="0" borderId="16" xfId="0" applyNumberFormat="1" applyFill="1" applyBorder="1" applyAlignment="1">
      <alignment horizontal="left" vertical="center"/>
    </xf>
    <xf numFmtId="0" fontId="18" fillId="0" borderId="30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5" fontId="0" fillId="0" borderId="8" xfId="0" applyNumberFormat="1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10" fillId="2" borderId="12" xfId="0" applyFont="1" applyFill="1" applyBorder="1" applyAlignment="1" applyProtection="1">
      <alignment horizontal="right" vertical="center"/>
    </xf>
    <xf numFmtId="0" fontId="10" fillId="2" borderId="35" xfId="0" applyFont="1" applyFill="1" applyBorder="1" applyAlignment="1" applyProtection="1">
      <alignment horizontal="right" vertical="center"/>
    </xf>
    <xf numFmtId="165" fontId="10" fillId="2" borderId="41" xfId="0" applyNumberFormat="1" applyFont="1" applyFill="1" applyBorder="1" applyAlignment="1" applyProtection="1">
      <alignment horizontal="left" vertical="center"/>
      <protection locked="0"/>
    </xf>
    <xf numFmtId="165" fontId="0" fillId="0" borderId="42" xfId="0" applyNumberFormat="1" applyBorder="1" applyAlignment="1" applyProtection="1">
      <alignment horizontal="left" vertical="center"/>
      <protection locked="0"/>
    </xf>
    <xf numFmtId="0" fontId="18" fillId="0" borderId="18" xfId="0" applyFont="1" applyBorder="1" applyAlignment="1">
      <alignment horizontal="right"/>
    </xf>
    <xf numFmtId="204" fontId="0" fillId="0" borderId="29" xfId="0" applyNumberFormat="1" applyBorder="1" applyAlignment="1">
      <alignment horizontal="left" vertical="center"/>
    </xf>
    <xf numFmtId="0" fontId="22" fillId="0" borderId="43" xfId="0" applyFont="1" applyBorder="1" applyAlignment="1">
      <alignment horizontal="right" vertical="center"/>
    </xf>
    <xf numFmtId="0" fontId="0" fillId="0" borderId="35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95" fontId="0" fillId="0" borderId="18" xfId="0" applyNumberFormat="1" applyBorder="1" applyAlignment="1">
      <alignment horizontal="left" vertical="center"/>
    </xf>
    <xf numFmtId="205" fontId="18" fillId="0" borderId="8" xfId="0" applyNumberFormat="1" applyFont="1" applyBorder="1" applyAlignment="1">
      <alignment horizontal="left" vertical="center"/>
    </xf>
    <xf numFmtId="204" fontId="0" fillId="0" borderId="29" xfId="0" applyNumberFormat="1" applyBorder="1" applyAlignment="1" applyProtection="1">
      <alignment horizontal="left" vertical="center"/>
      <protection locked="0"/>
    </xf>
    <xf numFmtId="0" fontId="0" fillId="0" borderId="17" xfId="0" applyBorder="1" applyAlignment="1">
      <alignment horizontal="right" vertical="center"/>
    </xf>
    <xf numFmtId="195" fontId="0" fillId="0" borderId="16" xfId="0" applyNumberFormat="1" applyBorder="1" applyAlignment="1">
      <alignment horizontal="left" vertical="center"/>
    </xf>
    <xf numFmtId="168" fontId="0" fillId="0" borderId="29" xfId="0" applyNumberFormat="1" applyFill="1" applyBorder="1" applyAlignment="1">
      <alignment horizontal="left" vertical="center" wrapText="1"/>
    </xf>
    <xf numFmtId="168" fontId="0" fillId="0" borderId="37" xfId="0" applyNumberFormat="1" applyFill="1" applyBorder="1" applyAlignment="1">
      <alignment horizontal="left" vertical="center" wrapText="1"/>
    </xf>
    <xf numFmtId="198" fontId="49" fillId="0" borderId="0" xfId="0" applyNumberFormat="1" applyFont="1" applyBorder="1" applyAlignment="1">
      <alignment horizontal="left" vertical="center"/>
    </xf>
    <xf numFmtId="198" fontId="49" fillId="0" borderId="26" xfId="0" applyNumberFormat="1" applyFont="1" applyBorder="1" applyAlignment="1">
      <alignment horizontal="left" vertical="center"/>
    </xf>
    <xf numFmtId="183" fontId="0" fillId="0" borderId="0" xfId="0" applyNumberFormat="1" applyFill="1" applyBorder="1" applyAlignment="1">
      <alignment horizontal="left" vertical="center"/>
    </xf>
    <xf numFmtId="4" fontId="0" fillId="0" borderId="0" xfId="0" applyNumberFormat="1" applyFill="1" applyBorder="1" applyAlignment="1">
      <alignment horizontal="left" vertical="center"/>
    </xf>
    <xf numFmtId="4" fontId="0" fillId="0" borderId="16" xfId="0" applyNumberFormat="1" applyFill="1" applyBorder="1" applyAlignment="1">
      <alignment horizontal="left" vertical="center"/>
    </xf>
    <xf numFmtId="169" fontId="0" fillId="0" borderId="0" xfId="0" applyNumberFormat="1" applyBorder="1" applyAlignment="1">
      <alignment horizontal="left" vertical="center"/>
    </xf>
    <xf numFmtId="183" fontId="0" fillId="0" borderId="16" xfId="0" applyNumberFormat="1" applyBorder="1" applyAlignment="1">
      <alignment horizontal="left" vertical="center"/>
    </xf>
    <xf numFmtId="0" fontId="19" fillId="0" borderId="0" xfId="0" applyFont="1" applyFill="1" applyAlignment="1" applyProtection="1">
      <alignment horizontal="center"/>
    </xf>
    <xf numFmtId="0" fontId="0" fillId="0" borderId="0" xfId="0" applyFill="1" applyProtection="1"/>
  </cellXfs>
  <cellStyles count="3">
    <cellStyle name="Normal" xfId="0" builtinId="0"/>
    <cellStyle name="Normal 2" xfId="1"/>
    <cellStyle name="Porcentagem" xfId="2" builtinId="5"/>
  </cellStyles>
  <dxfs count="5">
    <dxf>
      <font>
        <color rgb="FF0000FF"/>
      </font>
    </dxf>
    <dxf>
      <font>
        <color rgb="FF0000FF"/>
      </font>
    </dxf>
    <dxf>
      <font>
        <color rgb="FF0000FF"/>
      </font>
    </dxf>
    <dxf>
      <font>
        <condense val="0"/>
        <extend val="0"/>
        <color indexed="12"/>
      </font>
    </dxf>
    <dxf>
      <font>
        <color rgb="FF0000FF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2" Type="http://schemas.openxmlformats.org/officeDocument/2006/relationships/image" Target="../media/image12.jpeg"/><Relationship Id="rId1" Type="http://schemas.openxmlformats.org/officeDocument/2006/relationships/image" Target="../media/image11.jpe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wmf"/><Relationship Id="rId7" Type="http://schemas.openxmlformats.org/officeDocument/2006/relationships/image" Target="../media/image7.e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342900</xdr:colOff>
      <xdr:row>3</xdr:row>
      <xdr:rowOff>9525</xdr:rowOff>
    </xdr:to>
    <xdr:pic>
      <xdr:nvPicPr>
        <xdr:cNvPr id="4289" name="Imagem 2" descr="Concepção - Tipo 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3432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57150</xdr:colOff>
      <xdr:row>0</xdr:row>
      <xdr:rowOff>0</xdr:rowOff>
    </xdr:from>
    <xdr:to>
      <xdr:col>25</xdr:col>
      <xdr:colOff>371475</xdr:colOff>
      <xdr:row>3</xdr:row>
      <xdr:rowOff>0</xdr:rowOff>
    </xdr:to>
    <xdr:pic>
      <xdr:nvPicPr>
        <xdr:cNvPr id="4290" name="Imagem 4" descr="AISC Logo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0"/>
          <a:ext cx="742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104775</xdr:colOff>
      <xdr:row>9</xdr:row>
      <xdr:rowOff>47625</xdr:rowOff>
    </xdr:from>
    <xdr:to>
      <xdr:col>18</xdr:col>
      <xdr:colOff>314325</xdr:colOff>
      <xdr:row>30</xdr:row>
      <xdr:rowOff>171450</xdr:rowOff>
    </xdr:to>
    <xdr:pic>
      <xdr:nvPicPr>
        <xdr:cNvPr id="4291" name="Imagem 4" descr="Single-Plate.bmp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5150" y="1838325"/>
          <a:ext cx="4924425" cy="512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57150</xdr:colOff>
      <xdr:row>11</xdr:row>
      <xdr:rowOff>66675</xdr:rowOff>
    </xdr:from>
    <xdr:to>
      <xdr:col>12</xdr:col>
      <xdr:colOff>258525</xdr:colOff>
      <xdr:row>12</xdr:row>
      <xdr:rowOff>98550</xdr:rowOff>
    </xdr:to>
    <xdr:sp macro="" textlink="">
      <xdr:nvSpPr>
        <xdr:cNvPr id="5" name="CaixaDeTexto 4"/>
        <xdr:cNvSpPr txBox="1"/>
      </xdr:nvSpPr>
      <xdr:spPr>
        <a:xfrm>
          <a:off x="4772025" y="2333625"/>
          <a:ext cx="630000" cy="27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72000" tIns="72000" rIns="72000" bIns="72000" rtlCol="0" anchor="ctr" anchorCtr="0"/>
        <a:lstStyle/>
        <a:p>
          <a:pPr algn="ctr"/>
          <a:r>
            <a:rPr lang="pt-BR" sz="1200">
              <a:latin typeface="Times New Roman" pitchFamily="18" charset="0"/>
              <a:cs typeface="Times New Roman" pitchFamily="18" charset="0"/>
            </a:rPr>
            <a:t> Tipo 1</a:t>
          </a:r>
        </a:p>
      </xdr:txBody>
    </xdr:sp>
    <xdr:clientData/>
  </xdr:twoCellAnchor>
  <xdr:twoCellAnchor editAs="oneCell">
    <xdr:from>
      <xdr:col>16</xdr:col>
      <xdr:colOff>323850</xdr:colOff>
      <xdr:row>11</xdr:row>
      <xdr:rowOff>19050</xdr:rowOff>
    </xdr:from>
    <xdr:to>
      <xdr:col>18</xdr:col>
      <xdr:colOff>96600</xdr:colOff>
      <xdr:row>12</xdr:row>
      <xdr:rowOff>50925</xdr:rowOff>
    </xdr:to>
    <xdr:sp macro="" textlink="">
      <xdr:nvSpPr>
        <xdr:cNvPr id="6" name="CaixaDeTexto 5"/>
        <xdr:cNvSpPr txBox="1"/>
      </xdr:nvSpPr>
      <xdr:spPr>
        <a:xfrm>
          <a:off x="7181850" y="2286000"/>
          <a:ext cx="630000" cy="27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72000" tIns="72000" rIns="72000" bIns="72000" rtlCol="0" anchor="ctr" anchorCtr="0"/>
        <a:lstStyle/>
        <a:p>
          <a:pPr algn="ctr"/>
          <a:r>
            <a:rPr lang="pt-BR" sz="1200">
              <a:latin typeface="Times New Roman" pitchFamily="18" charset="0"/>
              <a:cs typeface="Times New Roman" pitchFamily="18" charset="0"/>
            </a:rPr>
            <a:t> Tipo 2</a:t>
          </a:r>
        </a:p>
      </xdr:txBody>
    </xdr:sp>
    <xdr:clientData/>
  </xdr:twoCellAnchor>
  <xdr:twoCellAnchor editAs="oneCell">
    <xdr:from>
      <xdr:col>9</xdr:col>
      <xdr:colOff>361950</xdr:colOff>
      <xdr:row>21</xdr:row>
      <xdr:rowOff>190500</xdr:rowOff>
    </xdr:from>
    <xdr:to>
      <xdr:col>11</xdr:col>
      <xdr:colOff>134700</xdr:colOff>
      <xdr:row>22</xdr:row>
      <xdr:rowOff>222375</xdr:rowOff>
    </xdr:to>
    <xdr:sp macro="" textlink="">
      <xdr:nvSpPr>
        <xdr:cNvPr id="7" name="CaixaDeTexto 6"/>
        <xdr:cNvSpPr txBox="1"/>
      </xdr:nvSpPr>
      <xdr:spPr>
        <a:xfrm>
          <a:off x="4219575" y="4838700"/>
          <a:ext cx="630000" cy="27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72000" tIns="72000" rIns="72000" bIns="72000" rtlCol="0" anchor="ctr" anchorCtr="0"/>
        <a:lstStyle/>
        <a:p>
          <a:pPr algn="ctr"/>
          <a:r>
            <a:rPr lang="pt-BR" sz="1200">
              <a:latin typeface="Times New Roman" pitchFamily="18" charset="0"/>
              <a:cs typeface="Times New Roman" pitchFamily="18" charset="0"/>
            </a:rPr>
            <a:t> Tipo 3</a:t>
          </a:r>
        </a:p>
      </xdr:txBody>
    </xdr:sp>
    <xdr:clientData/>
  </xdr:twoCellAnchor>
  <xdr:twoCellAnchor editAs="oneCell">
    <xdr:from>
      <xdr:col>16</xdr:col>
      <xdr:colOff>114300</xdr:colOff>
      <xdr:row>22</xdr:row>
      <xdr:rowOff>0</xdr:rowOff>
    </xdr:from>
    <xdr:to>
      <xdr:col>17</xdr:col>
      <xdr:colOff>315675</xdr:colOff>
      <xdr:row>23</xdr:row>
      <xdr:rowOff>31875</xdr:rowOff>
    </xdr:to>
    <xdr:sp macro="" textlink="">
      <xdr:nvSpPr>
        <xdr:cNvPr id="8" name="CaixaDeTexto 7"/>
        <xdr:cNvSpPr txBox="1"/>
      </xdr:nvSpPr>
      <xdr:spPr>
        <a:xfrm>
          <a:off x="6972300" y="4886325"/>
          <a:ext cx="630000" cy="27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72000" tIns="72000" rIns="72000" bIns="72000" rtlCol="0" anchor="ctr" anchorCtr="0"/>
        <a:lstStyle/>
        <a:p>
          <a:pPr algn="ctr"/>
          <a:r>
            <a:rPr lang="pt-BR" sz="1200">
              <a:latin typeface="Times New Roman" pitchFamily="18" charset="0"/>
              <a:cs typeface="Times New Roman" pitchFamily="18" charset="0"/>
            </a:rPr>
            <a:t> Tipo 4</a:t>
          </a:r>
        </a:p>
      </xdr:txBody>
    </xdr:sp>
    <xdr:clientData/>
  </xdr:twoCellAnchor>
  <xdr:twoCellAnchor editAs="oneCell">
    <xdr:from>
      <xdr:col>7</xdr:col>
      <xdr:colOff>304800</xdr:colOff>
      <xdr:row>12</xdr:row>
      <xdr:rowOff>219075</xdr:rowOff>
    </xdr:from>
    <xdr:to>
      <xdr:col>9</xdr:col>
      <xdr:colOff>77550</xdr:colOff>
      <xdr:row>16</xdr:row>
      <xdr:rowOff>166575</xdr:rowOff>
    </xdr:to>
    <xdr:sp macro="" textlink="">
      <xdr:nvSpPr>
        <xdr:cNvPr id="10" name="CaixaDeTexto 9"/>
        <xdr:cNvSpPr txBox="1"/>
      </xdr:nvSpPr>
      <xdr:spPr>
        <a:xfrm>
          <a:off x="3305175" y="2724150"/>
          <a:ext cx="630000" cy="90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72000" tIns="72000" rIns="72000" bIns="72000" rtlCol="0" anchor="ctr" anchorCtr="1"/>
        <a:lstStyle/>
        <a:p>
          <a:pPr algn="ctr"/>
          <a:r>
            <a:rPr lang="pt-BR" sz="1200">
              <a:latin typeface="Times New Roman" pitchFamily="18" charset="0"/>
              <a:cs typeface="Times New Roman" pitchFamily="18" charset="0"/>
            </a:rPr>
            <a:t>Suporte</a:t>
          </a:r>
          <a:r>
            <a:rPr lang="pt-BR" sz="1200" baseline="0">
              <a:latin typeface="Times New Roman" pitchFamily="18" charset="0"/>
              <a:cs typeface="Times New Roman" pitchFamily="18" charset="0"/>
            </a:rPr>
            <a:t> </a:t>
          </a:r>
          <a:r>
            <a:rPr lang="pt-BR" sz="1200">
              <a:latin typeface="Times New Roman" pitchFamily="18" charset="0"/>
              <a:cs typeface="Times New Roman" pitchFamily="18" charset="0"/>
            </a:rPr>
            <a:t>Alma</a:t>
          </a:r>
          <a:r>
            <a:rPr lang="pt-BR" sz="1200" baseline="0">
              <a:latin typeface="Times New Roman" pitchFamily="18" charset="0"/>
              <a:cs typeface="Times New Roman" pitchFamily="18" charset="0"/>
            </a:rPr>
            <a:t> ou Flange</a:t>
          </a:r>
          <a:endParaRPr lang="pt-BR" sz="12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72</xdr:row>
          <xdr:rowOff>0</xdr:rowOff>
        </xdr:from>
        <xdr:to>
          <xdr:col>13</xdr:col>
          <xdr:colOff>152400</xdr:colOff>
          <xdr:row>74</xdr:row>
          <xdr:rowOff>28575</xdr:rowOff>
        </xdr:to>
        <xdr:sp macro="" textlink="">
          <xdr:nvSpPr>
            <xdr:cNvPr id="1488" name="Object 464" hidden="1">
              <a:extLst>
                <a:ext uri="{63B3BB69-23CF-44E3-9099-C40C66FF867C}">
                  <a14:compatExt spid="_x0000_s14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76</xdr:row>
          <xdr:rowOff>9525</xdr:rowOff>
        </xdr:from>
        <xdr:to>
          <xdr:col>8</xdr:col>
          <xdr:colOff>371475</xdr:colOff>
          <xdr:row>77</xdr:row>
          <xdr:rowOff>228600</xdr:rowOff>
        </xdr:to>
        <xdr:sp macro="" textlink="">
          <xdr:nvSpPr>
            <xdr:cNvPr id="1489" name="Object 465" hidden="1">
              <a:extLst>
                <a:ext uri="{63B3BB69-23CF-44E3-9099-C40C66FF867C}">
                  <a14:compatExt spid="_x0000_s1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257175</xdr:colOff>
          <xdr:row>76</xdr:row>
          <xdr:rowOff>19050</xdr:rowOff>
        </xdr:from>
        <xdr:to>
          <xdr:col>19</xdr:col>
          <xdr:colOff>257175</xdr:colOff>
          <xdr:row>79</xdr:row>
          <xdr:rowOff>219075</xdr:rowOff>
        </xdr:to>
        <xdr:sp macro="" textlink="">
          <xdr:nvSpPr>
            <xdr:cNvPr id="1490" name="Object 466" hidden="1">
              <a:extLst>
                <a:ext uri="{63B3BB69-23CF-44E3-9099-C40C66FF867C}">
                  <a14:compatExt spid="_x0000_s14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76</xdr:row>
          <xdr:rowOff>0</xdr:rowOff>
        </xdr:from>
        <xdr:to>
          <xdr:col>13</xdr:col>
          <xdr:colOff>228600</xdr:colOff>
          <xdr:row>79</xdr:row>
          <xdr:rowOff>9525</xdr:rowOff>
        </xdr:to>
        <xdr:sp macro="" textlink="">
          <xdr:nvSpPr>
            <xdr:cNvPr id="1491" name="Object 467" hidden="1">
              <a:extLst>
                <a:ext uri="{63B3BB69-23CF-44E3-9099-C40C66FF867C}">
                  <a14:compatExt spid="_x0000_s1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390525</xdr:colOff>
          <xdr:row>76</xdr:row>
          <xdr:rowOff>228600</xdr:rowOff>
        </xdr:from>
        <xdr:to>
          <xdr:col>24</xdr:col>
          <xdr:colOff>9525</xdr:colOff>
          <xdr:row>78</xdr:row>
          <xdr:rowOff>28575</xdr:rowOff>
        </xdr:to>
        <xdr:sp macro="" textlink="">
          <xdr:nvSpPr>
            <xdr:cNvPr id="1851" name="Object 827" hidden="1">
              <a:extLst>
                <a:ext uri="{63B3BB69-23CF-44E3-9099-C40C66FF867C}">
                  <a14:compatExt spid="_x0000_s18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83</xdr:row>
          <xdr:rowOff>0</xdr:rowOff>
        </xdr:from>
        <xdr:to>
          <xdr:col>11</xdr:col>
          <xdr:colOff>228600</xdr:colOff>
          <xdr:row>86</xdr:row>
          <xdr:rowOff>9525</xdr:rowOff>
        </xdr:to>
        <xdr:sp macro="" textlink="">
          <xdr:nvSpPr>
            <xdr:cNvPr id="3266" name="Object 1218" hidden="1">
              <a:extLst>
                <a:ext uri="{63B3BB69-23CF-44E3-9099-C40C66FF867C}">
                  <a14:compatExt spid="_x0000_s3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257175</xdr:colOff>
          <xdr:row>83</xdr:row>
          <xdr:rowOff>19050</xdr:rowOff>
        </xdr:from>
        <xdr:to>
          <xdr:col>17</xdr:col>
          <xdr:colOff>257175</xdr:colOff>
          <xdr:row>86</xdr:row>
          <xdr:rowOff>219075</xdr:rowOff>
        </xdr:to>
        <xdr:sp macro="" textlink="">
          <xdr:nvSpPr>
            <xdr:cNvPr id="3268" name="Object 1220" hidden="1">
              <a:extLst>
                <a:ext uri="{63B3BB69-23CF-44E3-9099-C40C66FF867C}">
                  <a14:compatExt spid="_x0000_s3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82</xdr:row>
          <xdr:rowOff>38100</xdr:rowOff>
        </xdr:from>
        <xdr:to>
          <xdr:col>25</xdr:col>
          <xdr:colOff>9525</xdr:colOff>
          <xdr:row>83</xdr:row>
          <xdr:rowOff>200025</xdr:rowOff>
        </xdr:to>
        <xdr:sp macro="" textlink="">
          <xdr:nvSpPr>
            <xdr:cNvPr id="3657" name="Object 1609" hidden="1">
              <a:extLst>
                <a:ext uri="{63B3BB69-23CF-44E3-9099-C40C66FF867C}">
                  <a14:compatExt spid="_x0000_s36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84</xdr:row>
          <xdr:rowOff>9525</xdr:rowOff>
        </xdr:from>
        <xdr:to>
          <xdr:col>19</xdr:col>
          <xdr:colOff>0</xdr:colOff>
          <xdr:row>85</xdr:row>
          <xdr:rowOff>9525</xdr:rowOff>
        </xdr:to>
        <xdr:sp macro="" textlink="">
          <xdr:nvSpPr>
            <xdr:cNvPr id="3668" name="Object 1620" hidden="1">
              <a:extLst>
                <a:ext uri="{63B3BB69-23CF-44E3-9099-C40C66FF867C}">
                  <a14:compatExt spid="_x0000_s36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 algn="ctr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85</xdr:row>
          <xdr:rowOff>200025</xdr:rowOff>
        </xdr:from>
        <xdr:to>
          <xdr:col>22</xdr:col>
          <xdr:colOff>0</xdr:colOff>
          <xdr:row>87</xdr:row>
          <xdr:rowOff>38100</xdr:rowOff>
        </xdr:to>
        <xdr:sp macro="" textlink="">
          <xdr:nvSpPr>
            <xdr:cNvPr id="3669" name="Object 1621" hidden="1">
              <a:extLst>
                <a:ext uri="{63B3BB69-23CF-44E3-9099-C40C66FF867C}">
                  <a14:compatExt spid="_x0000_s36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 algn="ctr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85</xdr:row>
          <xdr:rowOff>0</xdr:rowOff>
        </xdr:from>
        <xdr:to>
          <xdr:col>19</xdr:col>
          <xdr:colOff>0</xdr:colOff>
          <xdr:row>86</xdr:row>
          <xdr:rowOff>0</xdr:rowOff>
        </xdr:to>
        <xdr:sp macro="" textlink="">
          <xdr:nvSpPr>
            <xdr:cNvPr id="3670" name="Object 1622" hidden="1">
              <a:extLst>
                <a:ext uri="{63B3BB69-23CF-44E3-9099-C40C66FF867C}">
                  <a14:compatExt spid="_x0000_s36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 algn="ctr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84</xdr:row>
          <xdr:rowOff>0</xdr:rowOff>
        </xdr:from>
        <xdr:to>
          <xdr:col>23</xdr:col>
          <xdr:colOff>0</xdr:colOff>
          <xdr:row>85</xdr:row>
          <xdr:rowOff>0</xdr:rowOff>
        </xdr:to>
        <xdr:sp macro="" textlink="">
          <xdr:nvSpPr>
            <xdr:cNvPr id="3671" name="Object 1623" hidden="1">
              <a:extLst>
                <a:ext uri="{63B3BB69-23CF-44E3-9099-C40C66FF867C}">
                  <a14:compatExt spid="_x0000_s36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 algn="ctr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emf"/><Relationship Id="rId18" Type="http://schemas.openxmlformats.org/officeDocument/2006/relationships/oleObject" Target="../embeddings/oleObject9.bin"/><Relationship Id="rId26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21" Type="http://schemas.openxmlformats.org/officeDocument/2006/relationships/image" Target="../media/image8.emf"/><Relationship Id="rId7" Type="http://schemas.openxmlformats.org/officeDocument/2006/relationships/image" Target="../media/image2.wmf"/><Relationship Id="rId12" Type="http://schemas.openxmlformats.org/officeDocument/2006/relationships/oleObject" Target="../embeddings/oleObject5.bin"/><Relationship Id="rId17" Type="http://schemas.openxmlformats.org/officeDocument/2006/relationships/image" Target="../media/image6.emf"/><Relationship Id="rId25" Type="http://schemas.openxmlformats.org/officeDocument/2006/relationships/image" Target="../media/image10.emf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8.bin"/><Relationship Id="rId20" Type="http://schemas.openxmlformats.org/officeDocument/2006/relationships/oleObject" Target="../embeddings/oleObject10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24" Type="http://schemas.openxmlformats.org/officeDocument/2006/relationships/oleObject" Target="../embeddings/oleObject12.bin"/><Relationship Id="rId5" Type="http://schemas.openxmlformats.org/officeDocument/2006/relationships/image" Target="../media/image1.wmf"/><Relationship Id="rId15" Type="http://schemas.openxmlformats.org/officeDocument/2006/relationships/oleObject" Target="../embeddings/oleObject7.bin"/><Relationship Id="rId23" Type="http://schemas.openxmlformats.org/officeDocument/2006/relationships/image" Target="../media/image9.emf"/><Relationship Id="rId10" Type="http://schemas.openxmlformats.org/officeDocument/2006/relationships/oleObject" Target="../embeddings/oleObject4.bin"/><Relationship Id="rId19" Type="http://schemas.openxmlformats.org/officeDocument/2006/relationships/image" Target="../media/image7.e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wmf"/><Relationship Id="rId14" Type="http://schemas.openxmlformats.org/officeDocument/2006/relationships/oleObject" Target="../embeddings/oleObject6.bin"/><Relationship Id="rId22" Type="http://schemas.openxmlformats.org/officeDocument/2006/relationships/oleObject" Target="../embeddings/oleObject1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AL1101"/>
  <sheetViews>
    <sheetView tabSelected="1" zoomScale="95" zoomScaleNormal="95" workbookViewId="0"/>
  </sheetViews>
  <sheetFormatPr defaultRowHeight="15.75" x14ac:dyDescent="0.25"/>
  <cols>
    <col min="1" max="52" width="5.625" style="84" customWidth="1"/>
    <col min="53" max="16384" width="9" style="84"/>
  </cols>
  <sheetData>
    <row r="1" spans="1:30" ht="19.5" x14ac:dyDescent="0.25">
      <c r="A1" s="64"/>
      <c r="B1" s="64"/>
      <c r="C1" s="64"/>
      <c r="D1" s="64"/>
      <c r="E1" s="64"/>
      <c r="F1" s="64"/>
      <c r="G1" s="64"/>
      <c r="H1" s="64"/>
      <c r="I1" s="502" t="s">
        <v>31</v>
      </c>
      <c r="J1" s="502"/>
      <c r="K1" s="502"/>
      <c r="L1" s="502"/>
      <c r="M1" s="502"/>
      <c r="N1" s="502"/>
      <c r="O1" s="502"/>
      <c r="P1" s="502"/>
      <c r="Q1" s="502"/>
      <c r="R1" s="502"/>
      <c r="S1" s="502"/>
      <c r="T1" s="502"/>
      <c r="U1" s="502"/>
      <c r="V1" s="502"/>
      <c r="W1" s="502"/>
      <c r="X1" s="502"/>
      <c r="Y1" s="65"/>
      <c r="Z1" s="65"/>
    </row>
    <row r="2" spans="1:30" ht="19.5" x14ac:dyDescent="0.25">
      <c r="A2" s="64"/>
      <c r="B2" s="64"/>
      <c r="C2" s="64"/>
      <c r="D2" s="64"/>
      <c r="E2" s="64"/>
      <c r="F2" s="64"/>
      <c r="G2" s="64"/>
      <c r="H2" s="64"/>
      <c r="I2" s="502" t="s">
        <v>32</v>
      </c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  <c r="U2" s="502"/>
      <c r="V2" s="502"/>
      <c r="W2" s="502"/>
      <c r="X2" s="502"/>
      <c r="Y2" s="64"/>
      <c r="Z2" s="64"/>
    </row>
    <row r="3" spans="1:30" ht="19.5" x14ac:dyDescent="0.25">
      <c r="A3" s="64"/>
      <c r="B3" s="64"/>
      <c r="C3" s="64"/>
      <c r="D3" s="64"/>
      <c r="E3" s="64"/>
      <c r="F3" s="64"/>
      <c r="G3" s="64"/>
      <c r="H3" s="64"/>
      <c r="I3" s="502" t="s">
        <v>153</v>
      </c>
      <c r="J3" s="502"/>
      <c r="K3" s="502"/>
      <c r="L3" s="502"/>
      <c r="M3" s="502"/>
      <c r="N3" s="502"/>
      <c r="O3" s="502"/>
      <c r="P3" s="502"/>
      <c r="Q3" s="502"/>
      <c r="R3" s="502"/>
      <c r="S3" s="502"/>
      <c r="T3" s="502"/>
      <c r="U3" s="502"/>
      <c r="V3" s="502"/>
      <c r="W3" s="502"/>
      <c r="X3" s="502"/>
      <c r="Y3" s="64"/>
      <c r="Z3" s="64"/>
    </row>
    <row r="4" spans="1:30" ht="9.9499999999999993" customHeight="1" x14ac:dyDescent="0.2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</row>
    <row r="5" spans="1:30" x14ac:dyDescent="0.25">
      <c r="A5" s="64"/>
      <c r="B5" s="66" t="s">
        <v>33</v>
      </c>
      <c r="C5" s="443"/>
      <c r="D5" s="443"/>
      <c r="E5" s="67"/>
      <c r="F5" s="67"/>
      <c r="G5" s="67"/>
      <c r="H5" s="67"/>
      <c r="I5" s="64"/>
      <c r="J5" s="64"/>
      <c r="K5" s="64"/>
      <c r="L5" s="67"/>
      <c r="M5" s="67"/>
      <c r="N5" s="67"/>
      <c r="O5" s="67"/>
      <c r="P5" s="67"/>
      <c r="Q5" s="64"/>
      <c r="R5" s="64"/>
      <c r="S5" s="64"/>
      <c r="T5" s="64"/>
      <c r="U5" s="64"/>
      <c r="V5" s="64"/>
      <c r="W5" s="64"/>
      <c r="X5" s="64"/>
      <c r="Y5" s="64"/>
      <c r="Z5" s="64"/>
    </row>
    <row r="6" spans="1:30" x14ac:dyDescent="0.25">
      <c r="A6" s="452" t="s">
        <v>34</v>
      </c>
      <c r="B6" s="452"/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  <c r="O6" s="449"/>
      <c r="P6" s="449"/>
      <c r="Q6" s="449"/>
      <c r="R6" s="449"/>
      <c r="S6" s="452" t="s">
        <v>35</v>
      </c>
      <c r="T6" s="452"/>
      <c r="U6" s="452"/>
      <c r="V6" s="449"/>
      <c r="W6" s="449"/>
      <c r="X6" s="449"/>
      <c r="Y6" s="449"/>
      <c r="Z6" s="449"/>
    </row>
    <row r="7" spans="1:30" x14ac:dyDescent="0.25">
      <c r="A7" s="452" t="s">
        <v>36</v>
      </c>
      <c r="B7" s="452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449"/>
      <c r="Q7" s="449"/>
      <c r="R7" s="449"/>
      <c r="S7" s="452" t="s">
        <v>37</v>
      </c>
      <c r="T7" s="452"/>
      <c r="U7" s="452"/>
      <c r="V7" s="460"/>
      <c r="W7" s="460"/>
      <c r="X7" s="460"/>
      <c r="Y7" s="461"/>
      <c r="Z7" s="94"/>
    </row>
    <row r="8" spans="1:30" x14ac:dyDescent="0.25">
      <c r="A8" s="452" t="s">
        <v>38</v>
      </c>
      <c r="B8" s="452"/>
      <c r="C8" s="449"/>
      <c r="D8" s="449"/>
      <c r="E8" s="449"/>
      <c r="F8" s="449"/>
      <c r="G8" s="449"/>
      <c r="H8" s="449"/>
      <c r="I8" s="449"/>
      <c r="J8" s="449"/>
      <c r="K8" s="449"/>
      <c r="L8" s="449"/>
      <c r="M8" s="449"/>
      <c r="N8" s="449"/>
      <c r="O8" s="449"/>
      <c r="P8" s="449"/>
      <c r="Q8" s="449"/>
      <c r="R8" s="449"/>
      <c r="S8" s="452" t="s">
        <v>39</v>
      </c>
      <c r="T8" s="452"/>
      <c r="U8" s="452"/>
      <c r="V8" s="4"/>
      <c r="W8" s="94"/>
      <c r="X8" s="94"/>
      <c r="Y8" s="94"/>
      <c r="Z8" s="94"/>
    </row>
    <row r="9" spans="1:30" ht="9.9499999999999993" customHeight="1" thickBot="1" x14ac:dyDescent="0.3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</row>
    <row r="10" spans="1:30" ht="18.75" customHeight="1" thickBot="1" x14ac:dyDescent="0.3">
      <c r="A10" s="456" t="s">
        <v>40</v>
      </c>
      <c r="B10" s="457"/>
      <c r="C10" s="457"/>
      <c r="D10" s="458" t="s">
        <v>108</v>
      </c>
      <c r="E10" s="458"/>
      <c r="F10" s="459"/>
      <c r="G10" s="64"/>
      <c r="H10" s="95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94"/>
      <c r="U10" s="343" t="s">
        <v>190</v>
      </c>
      <c r="V10" s="344"/>
      <c r="W10" s="344"/>
      <c r="X10" s="344"/>
      <c r="Y10" s="344"/>
      <c r="Z10" s="345"/>
      <c r="AA10" s="175" t="s">
        <v>312</v>
      </c>
      <c r="AB10" s="176">
        <v>0.5</v>
      </c>
      <c r="AC10" s="176"/>
    </row>
    <row r="11" spans="1:30" ht="18.75" customHeight="1" x14ac:dyDescent="0.25">
      <c r="A11" s="59" t="s">
        <v>154</v>
      </c>
      <c r="B11" s="531">
        <v>399</v>
      </c>
      <c r="C11" s="532"/>
      <c r="D11" s="528" t="s">
        <v>165</v>
      </c>
      <c r="E11" s="529"/>
      <c r="F11" s="530"/>
      <c r="G11" s="64"/>
      <c r="H11" s="98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100"/>
      <c r="T11" s="94"/>
      <c r="U11" s="349"/>
      <c r="V11" s="350"/>
      <c r="W11" s="350"/>
      <c r="X11" s="350"/>
      <c r="Y11" s="350"/>
      <c r="Z11" s="351"/>
      <c r="AA11" s="89" t="s">
        <v>313</v>
      </c>
      <c r="AB11" s="176">
        <v>1.1299999999999999</v>
      </c>
      <c r="AC11" s="176"/>
    </row>
    <row r="12" spans="1:30" ht="18.75" customHeight="1" x14ac:dyDescent="0.25">
      <c r="A12" s="60" t="s">
        <v>155</v>
      </c>
      <c r="B12" s="466">
        <v>140</v>
      </c>
      <c r="C12" s="467"/>
      <c r="D12" s="535" t="s">
        <v>318</v>
      </c>
      <c r="E12" s="536"/>
      <c r="F12" s="537"/>
      <c r="G12" s="64"/>
      <c r="H12" s="98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100"/>
      <c r="T12" s="94"/>
      <c r="U12" s="80" t="s">
        <v>197</v>
      </c>
      <c r="V12" s="321">
        <f>IF(db="5/8""",25.4*5/8,IF(db="3/4""",25.4*3/4,IF(db="7/8""",25.4*7/8,IF(db="1""",25.4*1,IF(db="1.1/8""",25.4*(1+1/8),25.4*(1+1/4))))))</f>
        <v>19.049999999999997</v>
      </c>
      <c r="W12" s="321"/>
      <c r="X12" s="91" t="s">
        <v>187</v>
      </c>
      <c r="Y12" s="318">
        <f>PI()*(dbSI/10)^2/4</f>
        <v>2.8502295699234241</v>
      </c>
      <c r="Z12" s="319"/>
      <c r="AA12" s="89" t="s">
        <v>314</v>
      </c>
      <c r="AB12" s="176">
        <v>1</v>
      </c>
      <c r="AC12" s="176"/>
    </row>
    <row r="13" spans="1:30" ht="18.75" customHeight="1" x14ac:dyDescent="0.25">
      <c r="A13" s="60" t="s">
        <v>156</v>
      </c>
      <c r="B13" s="533">
        <v>8.8000000000000007</v>
      </c>
      <c r="C13" s="534"/>
      <c r="D13" s="60" t="s">
        <v>162</v>
      </c>
      <c r="E13" s="466">
        <v>150</v>
      </c>
      <c r="F13" s="538"/>
      <c r="G13" s="64"/>
      <c r="H13" s="98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100"/>
      <c r="T13" s="94"/>
      <c r="U13" s="81" t="s">
        <v>188</v>
      </c>
      <c r="V13" s="320">
        <f>IF(Tipo="ASTM A325N",48*70.306957964,60*70.306957964)</f>
        <v>3374.7339822720005</v>
      </c>
      <c r="W13" s="320"/>
      <c r="X13" s="320"/>
      <c r="Y13" s="69"/>
      <c r="Z13" s="82"/>
      <c r="AA13" s="89" t="s">
        <v>315</v>
      </c>
      <c r="AB13" s="177">
        <f>IF(db="5/8""",91,IF(db="3/4""",142,IF(db="7/8""",176,IF(db="1""",205,IF(db="1.1/8""",267,326)))))*1000*'Conversão de Unidades'!C3</f>
        <v>14479.970181999999</v>
      </c>
      <c r="AC13" s="177"/>
    </row>
    <row r="14" spans="1:30" ht="18.75" customHeight="1" x14ac:dyDescent="0.25">
      <c r="A14" s="60" t="s">
        <v>157</v>
      </c>
      <c r="B14" s="466">
        <v>140</v>
      </c>
      <c r="C14" s="467"/>
      <c r="D14" s="60" t="s">
        <v>163</v>
      </c>
      <c r="E14" s="466">
        <v>35</v>
      </c>
      <c r="F14" s="467"/>
      <c r="G14" s="64"/>
      <c r="H14" s="98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100"/>
      <c r="T14" s="94"/>
      <c r="U14" s="188" t="s">
        <v>189</v>
      </c>
      <c r="V14" s="278"/>
      <c r="W14" s="278"/>
      <c r="X14" s="283">
        <f>0.75*Fn*Ab</f>
        <v>7214.0749401728162</v>
      </c>
      <c r="Y14" s="283"/>
      <c r="Z14" s="83"/>
      <c r="AA14" s="89" t="s">
        <v>316</v>
      </c>
      <c r="AB14" s="178">
        <v>1</v>
      </c>
      <c r="AC14" s="178"/>
    </row>
    <row r="15" spans="1:30" ht="18.75" customHeight="1" x14ac:dyDescent="0.25">
      <c r="A15" s="60" t="s">
        <v>158</v>
      </c>
      <c r="B15" s="533">
        <v>8.8000000000000007</v>
      </c>
      <c r="C15" s="534"/>
      <c r="D15" s="62" t="s">
        <v>164</v>
      </c>
      <c r="E15" s="509" t="str">
        <f>IF(TipoRec="Sem Recorte","Não Aplic.",rec+folga)</f>
        <v>Não Aplic.</v>
      </c>
      <c r="F15" s="510"/>
      <c r="G15" s="64"/>
      <c r="H15" s="98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100"/>
      <c r="T15" s="94"/>
      <c r="U15" s="503" t="s">
        <v>319</v>
      </c>
      <c r="V15" s="504"/>
      <c r="W15" s="504"/>
      <c r="X15" s="504"/>
      <c r="Y15" s="504"/>
      <c r="Z15" s="505"/>
      <c r="AA15" s="179" t="s">
        <v>317</v>
      </c>
      <c r="AB15" s="180"/>
      <c r="AC15" s="177">
        <f>1*AB10*AB11*AB12*AB13*AB14</f>
        <v>8181.183152829999</v>
      </c>
      <c r="AD15" s="177"/>
    </row>
    <row r="16" spans="1:30" ht="18.75" customHeight="1" thickBot="1" x14ac:dyDescent="0.3">
      <c r="A16" s="61" t="s">
        <v>159</v>
      </c>
      <c r="B16" s="539">
        <v>6.4</v>
      </c>
      <c r="C16" s="540"/>
      <c r="D16" s="518" t="str">
        <f>IF(TipoRec="Sem Recorte","",IF(AND(rec&lt;=2*d,dc&lt;=d/2),"Recorte Ok!","Não Permitido!"))</f>
        <v/>
      </c>
      <c r="E16" s="519"/>
      <c r="F16" s="520"/>
      <c r="G16" s="64"/>
      <c r="H16" s="98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100"/>
      <c r="T16" s="94"/>
      <c r="U16" s="506"/>
      <c r="V16" s="507"/>
      <c r="W16" s="507"/>
      <c r="X16" s="507"/>
      <c r="Y16" s="507"/>
      <c r="Z16" s="508"/>
    </row>
    <row r="17" spans="1:29" ht="18.75" customHeight="1" x14ac:dyDescent="0.25">
      <c r="A17" s="524" t="s">
        <v>160</v>
      </c>
      <c r="B17" s="525"/>
      <c r="C17" s="547">
        <v>3515.3478982000001</v>
      </c>
      <c r="D17" s="547"/>
      <c r="E17" s="547"/>
      <c r="F17" s="548"/>
      <c r="G17" s="64"/>
      <c r="H17" s="98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100"/>
      <c r="T17" s="94"/>
      <c r="U17" s="257" t="s">
        <v>192</v>
      </c>
      <c r="V17" s="258"/>
      <c r="W17" s="258"/>
      <c r="X17" s="258"/>
      <c r="Y17" s="545" t="str">
        <f>IF(nlp=1,"Ok!","Não Ok!")</f>
        <v>Ok!</v>
      </c>
      <c r="Z17" s="546"/>
    </row>
    <row r="18" spans="1:29" ht="18.75" customHeight="1" thickBot="1" x14ac:dyDescent="0.3">
      <c r="A18" s="482" t="s">
        <v>161</v>
      </c>
      <c r="B18" s="218"/>
      <c r="C18" s="253">
        <v>4569.95226766</v>
      </c>
      <c r="D18" s="253"/>
      <c r="E18" s="253"/>
      <c r="F18" s="254"/>
      <c r="G18" s="64"/>
      <c r="H18" s="98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100"/>
      <c r="T18" s="94"/>
      <c r="U18" s="322" t="s">
        <v>193</v>
      </c>
      <c r="V18" s="217"/>
      <c r="W18" s="217"/>
      <c r="X18" s="217"/>
      <c r="Y18" s="255" t="str">
        <f>IF(a&lt;=3.5*25.4,"Ok!","Não Ok!")</f>
        <v>Ok!</v>
      </c>
      <c r="Z18" s="256"/>
    </row>
    <row r="19" spans="1:29" ht="18.75" customHeight="1" thickBot="1" x14ac:dyDescent="0.3">
      <c r="A19" s="64"/>
      <c r="B19" s="64"/>
      <c r="C19" s="64"/>
      <c r="D19" s="64"/>
      <c r="E19" s="64"/>
      <c r="F19" s="64"/>
      <c r="G19" s="64"/>
      <c r="H19" s="68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70"/>
      <c r="T19" s="64"/>
      <c r="U19" s="323" t="s">
        <v>194</v>
      </c>
      <c r="V19" s="324"/>
      <c r="W19" s="324"/>
      <c r="X19" s="324"/>
      <c r="Y19" s="324"/>
      <c r="Z19" s="325"/>
    </row>
    <row r="20" spans="1:29" ht="18.75" customHeight="1" thickBot="1" x14ac:dyDescent="0.3">
      <c r="A20" s="470" t="s">
        <v>183</v>
      </c>
      <c r="B20" s="471"/>
      <c r="C20" s="471"/>
      <c r="D20" s="471"/>
      <c r="E20" s="471"/>
      <c r="F20" s="472"/>
      <c r="G20" s="64"/>
      <c r="H20" s="68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70"/>
      <c r="T20" s="64"/>
      <c r="U20" s="511" t="s">
        <v>308</v>
      </c>
      <c r="V20" s="512"/>
      <c r="W20" s="217" t="s">
        <v>195</v>
      </c>
      <c r="X20" s="217"/>
      <c r="Y20" s="255" t="str">
        <f>IF(OR(TipoLig="Tipo 1",TipoLig="Tipo 3"),IF(a-folga&gt;=2*dbSI,"Ok!","Não Ok!"),IF(deh&gt;=2*dbSI,"Ok!","Não Ok!"))</f>
        <v>Ok!</v>
      </c>
      <c r="Z20" s="256"/>
    </row>
    <row r="21" spans="1:29" ht="18.75" customHeight="1" x14ac:dyDescent="0.25">
      <c r="A21" s="462" t="s">
        <v>173</v>
      </c>
      <c r="B21" s="463"/>
      <c r="C21" s="463"/>
      <c r="D21" s="463"/>
      <c r="E21" s="463"/>
      <c r="F21" s="63">
        <v>1</v>
      </c>
      <c r="G21" s="64"/>
      <c r="H21" s="68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70"/>
      <c r="T21" s="64"/>
      <c r="U21" s="79"/>
      <c r="V21" s="93"/>
      <c r="W21" s="217" t="s">
        <v>196</v>
      </c>
      <c r="X21" s="217"/>
      <c r="Y21" s="255" t="str">
        <f>IF(deh&gt;=2*dbSI,"Ok!","Não Ok!")</f>
        <v>Ok!</v>
      </c>
      <c r="Z21" s="256"/>
    </row>
    <row r="22" spans="1:29" ht="18.75" customHeight="1" x14ac:dyDescent="0.25">
      <c r="A22" s="464" t="s">
        <v>174</v>
      </c>
      <c r="B22" s="465"/>
      <c r="C22" s="465"/>
      <c r="D22" s="465"/>
      <c r="E22" s="465"/>
      <c r="F22" s="75">
        <v>4</v>
      </c>
      <c r="G22" s="64"/>
      <c r="H22" s="68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70"/>
      <c r="T22" s="64"/>
      <c r="U22" s="322" t="s">
        <v>199</v>
      </c>
      <c r="V22" s="217"/>
      <c r="W22" s="217"/>
      <c r="X22" s="217"/>
      <c r="Y22" s="255" t="str">
        <f>IF(tw&lt;=dbSI/2+25.4/16,"Ok!","Não Ok!")</f>
        <v>Ok!</v>
      </c>
      <c r="Z22" s="256"/>
    </row>
    <row r="23" spans="1:29" ht="18.75" customHeight="1" x14ac:dyDescent="0.25">
      <c r="A23" s="60" t="s">
        <v>169</v>
      </c>
      <c r="B23" s="466">
        <f>3*25.4</f>
        <v>76.199999999999989</v>
      </c>
      <c r="C23" s="521"/>
      <c r="D23" s="74" t="s">
        <v>168</v>
      </c>
      <c r="E23" s="466">
        <f>3*25.4</f>
        <v>76.199999999999989</v>
      </c>
      <c r="F23" s="467"/>
      <c r="G23" s="64"/>
      <c r="H23" s="68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70"/>
      <c r="T23" s="64"/>
      <c r="U23" s="322" t="s">
        <v>200</v>
      </c>
      <c r="V23" s="217"/>
      <c r="W23" s="217"/>
      <c r="X23" s="217"/>
      <c r="Y23" s="255" t="str">
        <f>IF(tp&lt;=dbSI/2+25.4/16,"Ok!","Não Ok!")</f>
        <v>Ok!</v>
      </c>
      <c r="Z23" s="256"/>
    </row>
    <row r="24" spans="1:29" ht="18.75" customHeight="1" x14ac:dyDescent="0.25">
      <c r="A24" s="60" t="s">
        <v>170</v>
      </c>
      <c r="B24" s="466">
        <f>div</f>
        <v>76.199999999999989</v>
      </c>
      <c r="C24" s="521"/>
      <c r="D24" s="74" t="s">
        <v>175</v>
      </c>
      <c r="E24" s="466">
        <f>div</f>
        <v>76.199999999999989</v>
      </c>
      <c r="F24" s="467"/>
      <c r="G24" s="64"/>
      <c r="H24" s="68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70"/>
      <c r="T24" s="64"/>
      <c r="U24" s="549" t="str">
        <f>IF(AND(Nd=0,Y17="Ok!",Y18="Ok!",Y20="Ok!",Y21="Ok!",Y22="Ok!",Y23="Ok!"),"Configuração Convencional","Configuração Extendida")</f>
        <v>Configuração Extendida</v>
      </c>
      <c r="V24" s="550"/>
      <c r="W24" s="550"/>
      <c r="X24" s="550"/>
      <c r="Y24" s="550"/>
      <c r="Z24" s="551"/>
    </row>
    <row r="25" spans="1:29" ht="18.75" customHeight="1" x14ac:dyDescent="0.25">
      <c r="A25" s="60" t="s">
        <v>171</v>
      </c>
      <c r="B25" s="466">
        <f>1.25*25.4</f>
        <v>31.75</v>
      </c>
      <c r="C25" s="521"/>
      <c r="D25" s="74" t="s">
        <v>176</v>
      </c>
      <c r="E25" s="466">
        <f>0.5*25.4</f>
        <v>12.7</v>
      </c>
      <c r="F25" s="467"/>
      <c r="G25" s="64"/>
      <c r="H25" s="68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70"/>
      <c r="T25" s="64"/>
      <c r="U25" s="542" t="s">
        <v>201</v>
      </c>
      <c r="V25" s="543"/>
      <c r="W25" s="543"/>
      <c r="X25" s="543"/>
      <c r="Y25" s="543"/>
      <c r="Z25" s="544"/>
    </row>
    <row r="26" spans="1:29" ht="18.75" customHeight="1" thickBot="1" x14ac:dyDescent="0.3">
      <c r="A26" s="61" t="s">
        <v>172</v>
      </c>
      <c r="B26" s="522">
        <f>2*dbSI</f>
        <v>38.099999999999994</v>
      </c>
      <c r="C26" s="523"/>
      <c r="D26" s="76" t="s">
        <v>177</v>
      </c>
      <c r="E26" s="468">
        <f>a+(nlp-1)*dih/2</f>
        <v>76.199999999999989</v>
      </c>
      <c r="F26" s="469"/>
      <c r="G26" s="64"/>
      <c r="H26" s="68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70"/>
      <c r="T26" s="64"/>
      <c r="U26" s="188" t="s">
        <v>191</v>
      </c>
      <c r="V26" s="189"/>
      <c r="W26" s="338" t="str">
        <f>IF(Config="Configuração Convencional",IF(npl&gt;=10,W31*1.25,npl*Rb),"Não Aplicável")</f>
        <v>Não Aplicável</v>
      </c>
      <c r="X26" s="541"/>
      <c r="Y26" s="541"/>
      <c r="Z26" s="170" t="str">
        <f>IF(Config="Configuração Convencional",Vd/W26,"N.A.")</f>
        <v>N.A.</v>
      </c>
      <c r="AA26" s="181" t="e">
        <f>W26/453.59237</f>
        <v>#VALUE!</v>
      </c>
      <c r="AB26" s="182"/>
    </row>
    <row r="27" spans="1:29" ht="18.75" customHeight="1" x14ac:dyDescent="0.25">
      <c r="A27" s="558" t="s">
        <v>185</v>
      </c>
      <c r="B27" s="559"/>
      <c r="C27" s="557" t="s">
        <v>184</v>
      </c>
      <c r="D27" s="557"/>
      <c r="E27" s="557"/>
      <c r="F27" s="78" t="s">
        <v>16</v>
      </c>
      <c r="G27" s="64"/>
      <c r="H27" s="68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70"/>
      <c r="T27" s="64"/>
      <c r="U27" s="343" t="s">
        <v>279</v>
      </c>
      <c r="V27" s="344"/>
      <c r="W27" s="344"/>
      <c r="X27" s="344"/>
      <c r="Y27" s="344"/>
      <c r="Z27" s="345"/>
    </row>
    <row r="28" spans="1:29" ht="18.75" customHeight="1" x14ac:dyDescent="0.25">
      <c r="A28" s="555" t="s">
        <v>186</v>
      </c>
      <c r="B28" s="556"/>
      <c r="C28" s="556"/>
      <c r="D28" s="556"/>
      <c r="E28" s="526">
        <f>IF(db="5/8""",(5/8+1/16+1/16)*25.4,IF(db="3/4""",(3/4+1/16+1/16)*25.4,IF(db="7/8""",(7/8+1/16+1/16)*25.4,IF(db="1""",(1+1/16+1/16)*25.4,IF(db="1.1/8""",(1+1/8+1/16+1/16)*25.4,(1+1/4+1/16+1/16)*25.4)))))</f>
        <v>22.224999999999998</v>
      </c>
      <c r="F28" s="527"/>
      <c r="G28" s="64"/>
      <c r="H28" s="68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70"/>
      <c r="T28" s="64"/>
      <c r="U28" s="346"/>
      <c r="V28" s="347"/>
      <c r="W28" s="347"/>
      <c r="X28" s="347"/>
      <c r="Y28" s="347"/>
      <c r="Z28" s="348"/>
    </row>
    <row r="29" spans="1:29" ht="18.75" customHeight="1" thickBot="1" x14ac:dyDescent="0.3">
      <c r="A29" s="552" t="str">
        <f>IF((npl-1)*div+2*dfs&lt;=d,"Geometria Ok!","Geometria Inadequada Para O Perfil")</f>
        <v>Geometria Ok!</v>
      </c>
      <c r="B29" s="553"/>
      <c r="C29" s="553"/>
      <c r="D29" s="553"/>
      <c r="E29" s="553"/>
      <c r="F29" s="554"/>
      <c r="G29" s="64"/>
      <c r="H29" s="68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70"/>
      <c r="T29" s="64"/>
      <c r="U29" s="349"/>
      <c r="V29" s="350"/>
      <c r="W29" s="350"/>
      <c r="X29" s="350"/>
      <c r="Y29" s="350"/>
      <c r="Z29" s="351"/>
    </row>
    <row r="30" spans="1:29" ht="18.75" customHeight="1" thickBot="1" x14ac:dyDescent="0.3">
      <c r="G30" s="64"/>
      <c r="H30" s="68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70"/>
      <c r="T30" s="64"/>
      <c r="U30" s="87" t="s">
        <v>17</v>
      </c>
      <c r="V30" s="352">
        <f>IF(Nd=0,coefC,MIN(AB33,AB34))</f>
        <v>2.832409300369783</v>
      </c>
      <c r="W30" s="352"/>
      <c r="X30" s="88" t="s">
        <v>18</v>
      </c>
      <c r="Y30" s="353">
        <f>Clinha*2.54</f>
        <v>28.591032315879559</v>
      </c>
      <c r="Z30" s="354"/>
      <c r="AA30" s="174"/>
      <c r="AB30" s="174"/>
    </row>
    <row r="31" spans="1:29" ht="18.75" customHeight="1" thickBot="1" x14ac:dyDescent="0.3">
      <c r="A31" s="470" t="s">
        <v>178</v>
      </c>
      <c r="B31" s="471"/>
      <c r="C31" s="471"/>
      <c r="D31" s="471"/>
      <c r="E31" s="471"/>
      <c r="F31" s="472"/>
      <c r="G31" s="64"/>
      <c r="H31" s="71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3"/>
      <c r="T31" s="64"/>
      <c r="U31" s="179" t="s">
        <v>191</v>
      </c>
      <c r="V31" s="180"/>
      <c r="W31" s="185">
        <f>MIN(Rb,F55/(nlp*npl),L55/(nlp*npl))*V30</f>
        <v>20433.212954110069</v>
      </c>
      <c r="X31" s="182"/>
      <c r="Y31" s="182"/>
      <c r="Z31" s="171">
        <f>SQRT(Vd^2+Nd^2)/W31</f>
        <v>1.1906361923548694</v>
      </c>
      <c r="AA31" s="181">
        <f>W31/453.59237</f>
        <v>45.04752351568451</v>
      </c>
      <c r="AB31" s="182"/>
    </row>
    <row r="32" spans="1:29" ht="18.75" customHeight="1" thickBot="1" x14ac:dyDescent="0.3">
      <c r="A32" s="59" t="s">
        <v>179</v>
      </c>
      <c r="B32" s="590">
        <v>6.35</v>
      </c>
      <c r="C32" s="591"/>
      <c r="D32" s="77" t="s">
        <v>180</v>
      </c>
      <c r="E32" s="444">
        <f>(npl-1)*div+2*dev</f>
        <v>292.09999999999997</v>
      </c>
      <c r="F32" s="445"/>
      <c r="G32" s="64"/>
      <c r="T32" s="64"/>
      <c r="U32" s="513" t="s">
        <v>202</v>
      </c>
      <c r="V32" s="514"/>
      <c r="W32" s="514"/>
      <c r="X32" s="605">
        <f>1.25*Fn*Ab*Y30</f>
        <v>343763.08290609653</v>
      </c>
      <c r="Y32" s="605"/>
      <c r="Z32" s="606"/>
      <c r="AA32" s="172" t="s">
        <v>309</v>
      </c>
      <c r="AB32" s="568">
        <f>ATAN(Nd/Vd)*180/PI()</f>
        <v>-14.995891590377529</v>
      </c>
      <c r="AC32" s="568"/>
    </row>
    <row r="33" spans="1:38" ht="18.75" customHeight="1" thickBot="1" x14ac:dyDescent="0.3">
      <c r="A33" s="588" t="s">
        <v>181</v>
      </c>
      <c r="B33" s="589"/>
      <c r="C33" s="450">
        <f>36*70.306957964</f>
        <v>2531.0504867040004</v>
      </c>
      <c r="D33" s="450"/>
      <c r="E33" s="450"/>
      <c r="F33" s="451"/>
      <c r="G33" s="64"/>
      <c r="H33" s="470" t="s">
        <v>198</v>
      </c>
      <c r="I33" s="471"/>
      <c r="J33" s="471"/>
      <c r="K33" s="471"/>
      <c r="L33" s="471"/>
      <c r="M33" s="471"/>
      <c r="N33" s="471"/>
      <c r="O33" s="471"/>
      <c r="P33" s="471"/>
      <c r="Q33" s="471"/>
      <c r="R33" s="471"/>
      <c r="S33" s="472"/>
      <c r="T33" s="64"/>
      <c r="U33" s="102" t="s">
        <v>195</v>
      </c>
      <c r="V33" s="104" t="s">
        <v>203</v>
      </c>
      <c r="W33" s="263">
        <f>10*6*Mmax/(Fy*IF(TipoRec="Sem Recorte",d/10,IF(TipoRec="Flange Superior",(d-dc)/10,(d-2*dc)/10))^2)</f>
        <v>3.6854997226007638</v>
      </c>
      <c r="X33" s="263"/>
      <c r="Y33" s="255" t="str">
        <f>IF(nlp=1,IF(AND(Y20="Ok!",Y21="Ok!"),IF(OR(Y22="Ok!",Y23="Ok!"),"Ok!",IF(tw&lt;=tmaxv,"Ok!","Não Ok!")),IF(tw&lt;=tmaxv,"Ok!","Não Ok!")),IF(nlp=2,IF(AND(Y20="Ok!",Y21="Ok!",Y22="Ok!",Y23="Ok!"),"Ok!",IF(tw&lt;=tmaxv,"Ok!","Não Ok!")),IF(tw&lt;=tmaxv,"Ok!","Não Ok!")))</f>
        <v>Ok!</v>
      </c>
      <c r="Z33" s="256"/>
      <c r="AA33" s="172" t="s">
        <v>17</v>
      </c>
      <c r="AB33" s="610">
        <f>BoltCoefficient1(npl,nlp,div/25.4,dih/25.4,ep/25.4,ATAN(Nd/Vd)*180/PI())</f>
        <v>2.8618574817672373</v>
      </c>
      <c r="AC33" s="610"/>
      <c r="AD33" s="173" t="s">
        <v>311</v>
      </c>
    </row>
    <row r="34" spans="1:38" ht="18.75" customHeight="1" thickBot="1" x14ac:dyDescent="0.3">
      <c r="A34" s="482" t="s">
        <v>182</v>
      </c>
      <c r="B34" s="218"/>
      <c r="C34" s="253">
        <f>58*70.306957964</f>
        <v>4077.8035619120005</v>
      </c>
      <c r="D34" s="253"/>
      <c r="E34" s="253"/>
      <c r="F34" s="254"/>
      <c r="G34" s="64"/>
      <c r="H34" s="139" t="s">
        <v>280</v>
      </c>
      <c r="I34" s="249">
        <v>23500</v>
      </c>
      <c r="J34" s="250"/>
      <c r="K34" s="139" t="s">
        <v>281</v>
      </c>
      <c r="L34" s="249">
        <v>-6295</v>
      </c>
      <c r="M34" s="587"/>
      <c r="N34" s="141" t="s">
        <v>282</v>
      </c>
      <c r="O34" s="247" t="str">
        <f>IF(TipoRec="Sem Recorte","Não Aplic.",Vd*e/1000)</f>
        <v>Não Aplic.</v>
      </c>
      <c r="P34" s="248"/>
      <c r="Q34" s="141" t="s">
        <v>283</v>
      </c>
      <c r="R34" s="247">
        <f>Vd*ep/1000</f>
        <v>1790.6999999999998</v>
      </c>
      <c r="S34" s="248"/>
      <c r="T34" s="64"/>
      <c r="U34" s="103" t="s">
        <v>196</v>
      </c>
      <c r="V34" s="105" t="s">
        <v>203</v>
      </c>
      <c r="W34" s="586">
        <f>10*6*Mmax/(Fyp*(dp/10)^2)</f>
        <v>9.5509498315104029</v>
      </c>
      <c r="X34" s="586"/>
      <c r="Y34" s="358" t="str">
        <f>IF(nlp=1,IF(AND(Y20="Ok!",Y21="Ok!"),IF(OR(Y22="Ok!",Y23="Ok!"),"Ok!",IF(tp&lt;=tmaxp,"Ok!","Não Ok!")),IF(tp&lt;=tmaxp,"Ok!","Não Ok!")),IF(nlp=2,IF(AND(Y20="Ok!",Y21="Ok!",Y22="Ok!",Y23="Ok!"),"Ok!",IF(tp&lt;=tmaxp,"Ok!","Não Ok!")),IF(tp&lt;=tmaxp,"Ok!","Não Ok!")))</f>
        <v>Ok!</v>
      </c>
      <c r="Z34" s="359"/>
      <c r="AA34" s="172" t="s">
        <v>17</v>
      </c>
      <c r="AB34" s="610">
        <f>BoltCoefficient2(npl,nlp,div/25.4,dih/25.4,ep/25.4,ATAN(Nd/Vd)*180/PI())</f>
        <v>2.832409300369783</v>
      </c>
      <c r="AC34" s="610"/>
      <c r="AD34" s="173" t="s">
        <v>310</v>
      </c>
    </row>
    <row r="35" spans="1:38" ht="18.75" customHeight="1" thickBot="1" x14ac:dyDescent="0.3">
      <c r="A35" s="64"/>
      <c r="B35" s="64"/>
      <c r="C35" s="64"/>
      <c r="D35" s="64"/>
      <c r="E35" s="64"/>
      <c r="F35" s="64"/>
      <c r="G35" s="64"/>
      <c r="T35" s="64"/>
      <c r="U35" s="64"/>
      <c r="V35" s="64"/>
      <c r="W35" s="64"/>
      <c r="X35" s="64"/>
      <c r="Y35" s="64"/>
      <c r="Z35" s="64"/>
    </row>
    <row r="36" spans="1:38" ht="18.75" customHeight="1" x14ac:dyDescent="0.25">
      <c r="A36" s="228" t="s">
        <v>251</v>
      </c>
      <c r="B36" s="229"/>
      <c r="C36" s="234" t="s">
        <v>204</v>
      </c>
      <c r="D36" s="235"/>
      <c r="E36" s="235"/>
      <c r="F36" s="235"/>
      <c r="G36" s="229"/>
      <c r="H36" s="234" t="s">
        <v>223</v>
      </c>
      <c r="I36" s="235"/>
      <c r="J36" s="235"/>
      <c r="K36" s="235"/>
      <c r="L36" s="236"/>
      <c r="M36" s="238" t="s">
        <v>289</v>
      </c>
      <c r="N36" s="239"/>
      <c r="O36" s="239"/>
      <c r="P36" s="239"/>
      <c r="Q36" s="239"/>
      <c r="R36" s="239"/>
      <c r="S36" s="240"/>
      <c r="T36" s="360" t="s">
        <v>290</v>
      </c>
      <c r="U36" s="360"/>
      <c r="V36" s="360"/>
      <c r="W36" s="360"/>
      <c r="X36" s="360"/>
      <c r="Y36" s="360"/>
      <c r="Z36" s="361"/>
    </row>
    <row r="37" spans="1:38" ht="18.75" customHeight="1" x14ac:dyDescent="0.25">
      <c r="A37" s="230" t="s">
        <v>224</v>
      </c>
      <c r="B37" s="231"/>
      <c r="C37" s="237" t="s">
        <v>284</v>
      </c>
      <c r="D37" s="200"/>
      <c r="E37" s="142">
        <f>ROUND(ABS(Vd/G48),2)</f>
        <v>0.44</v>
      </c>
      <c r="F37" s="192" t="str">
        <f>IF(E37&lt;=1,"Ok!","Não Ok!")</f>
        <v>Ok!</v>
      </c>
      <c r="G37" s="224"/>
      <c r="H37" s="237" t="s">
        <v>284</v>
      </c>
      <c r="I37" s="200"/>
      <c r="J37" s="142">
        <f>ROUND(ABS(Vd/M48),2)</f>
        <v>0.83</v>
      </c>
      <c r="K37" s="192" t="str">
        <f>IF(J37&lt;=1,"Ok!","Não Ok!")</f>
        <v>Ok!</v>
      </c>
      <c r="L37" s="193"/>
      <c r="M37" s="241"/>
      <c r="N37" s="242"/>
      <c r="O37" s="242"/>
      <c r="P37" s="242"/>
      <c r="Q37" s="242"/>
      <c r="R37" s="242"/>
      <c r="S37" s="243"/>
      <c r="T37" s="208" t="s">
        <v>195</v>
      </c>
      <c r="U37" s="208"/>
      <c r="V37" s="200" t="s">
        <v>291</v>
      </c>
      <c r="W37" s="200"/>
      <c r="X37" s="142" t="str">
        <f>IF(TipoRec="Sem Recorte","N.A.",ROUND(ABS(Mdv/MIN(R71,R74,R81)),2))</f>
        <v>N.A.</v>
      </c>
      <c r="Y37" s="192" t="str">
        <f>IF(TipoRec="Sem Recorte","N.A.",IF(X37&lt;=1,"Ok!","Não Ok!"))</f>
        <v>N.A.</v>
      </c>
      <c r="Z37" s="193"/>
    </row>
    <row r="38" spans="1:38" ht="18.75" customHeight="1" thickBot="1" x14ac:dyDescent="0.3">
      <c r="A38" s="232"/>
      <c r="B38" s="233"/>
      <c r="C38" s="226" t="s">
        <v>285</v>
      </c>
      <c r="D38" s="201"/>
      <c r="E38" s="112">
        <f>IF(Nd=0,"N.A.",ROUND(ABS(Nd/S48),2))</f>
        <v>0.08</v>
      </c>
      <c r="F38" s="202" t="str">
        <f>IF(Nd=0,"N.A.",IF(E38&lt;=1,"Ok!","Não Ok!"))</f>
        <v>Ok!</v>
      </c>
      <c r="G38" s="225"/>
      <c r="H38" s="226" t="s">
        <v>285</v>
      </c>
      <c r="I38" s="201"/>
      <c r="J38" s="112">
        <f>IF(Nd=0,"N.A.",ROUND(ABS(Nd/Y48),2))</f>
        <v>0.15</v>
      </c>
      <c r="K38" s="202" t="str">
        <f>IF(Nd=0,"N.A.",IF(J38&lt;=1,"Ok!","Não Ok!"))</f>
        <v>Ok!</v>
      </c>
      <c r="L38" s="203"/>
      <c r="M38" s="355" t="s">
        <v>288</v>
      </c>
      <c r="N38" s="356"/>
      <c r="O38" s="356"/>
      <c r="P38" s="356"/>
      <c r="Q38" s="356"/>
      <c r="R38" s="356"/>
      <c r="S38" s="357"/>
      <c r="T38" s="194" t="s">
        <v>196</v>
      </c>
      <c r="U38" s="194"/>
      <c r="V38" s="195" t="s">
        <v>291</v>
      </c>
      <c r="W38" s="195"/>
      <c r="X38" s="143">
        <f>ROUND(ABS(Mdp/MIN(E85,E88,P88)),2)</f>
        <v>0.87</v>
      </c>
      <c r="Y38" s="196" t="str">
        <f>IF(X38&lt;=1,"Ok!","Não Ok!")</f>
        <v>Ok!</v>
      </c>
      <c r="Z38" s="197"/>
    </row>
    <row r="39" spans="1:38" ht="18.75" customHeight="1" x14ac:dyDescent="0.25">
      <c r="A39" s="230" t="s">
        <v>225</v>
      </c>
      <c r="B39" s="231"/>
      <c r="C39" s="237" t="s">
        <v>284</v>
      </c>
      <c r="D39" s="200"/>
      <c r="E39" s="142">
        <f>ROUND(ABS(Vd/G50),2)</f>
        <v>0.57999999999999996</v>
      </c>
      <c r="F39" s="192" t="str">
        <f>IF(E39&lt;=1,"Ok!","Não Ok!")</f>
        <v>Ok!</v>
      </c>
      <c r="G39" s="224"/>
      <c r="H39" s="237" t="s">
        <v>284</v>
      </c>
      <c r="I39" s="200"/>
      <c r="J39" s="142">
        <f>ROUND(ABS(Vd/M50),2)</f>
        <v>0.99</v>
      </c>
      <c r="K39" s="192" t="str">
        <f>IF(J39&lt;=1,"Ok!","Não Ok!")</f>
        <v>Ok!</v>
      </c>
      <c r="L39" s="193"/>
      <c r="M39" s="207" t="s">
        <v>195</v>
      </c>
      <c r="N39" s="208"/>
      <c r="O39" s="200" t="s">
        <v>285</v>
      </c>
      <c r="P39" s="200"/>
      <c r="Q39" s="142" t="str">
        <f>IF(Nd&gt;=0,"N.A.",IF(TipoRec&lt;&gt;"Ambos Flanges","N.A.",IF(OR(TipoLig&lt;&gt;"Tipo 3",a-folga+(nlp-1)*dih&gt;1.5*rec),"N.A.",ROUND(ABS(Nd/S67),2))))</f>
        <v>N.A.</v>
      </c>
      <c r="R39" s="192" t="str">
        <f>IF(Nd&gt;=0,"N.A.",IF(TipoRec&lt;&gt;"Ambos Flanges","N.A.",IF(OR(TipoLig&lt;&gt;"Tipo 3",a-folga+(nlp-1)*dih&gt;1.5*rec),"N.A.",IF(Q39&lt;=1,"Ok!","Não Ok!"))))</f>
        <v>N.A.</v>
      </c>
      <c r="S39" s="193"/>
      <c r="T39" s="584" t="s">
        <v>300</v>
      </c>
      <c r="U39" s="584"/>
      <c r="V39" s="584"/>
      <c r="W39" s="584"/>
      <c r="X39" s="584"/>
      <c r="Y39" s="584"/>
      <c r="Z39" s="585"/>
    </row>
    <row r="40" spans="1:38" ht="18.75" customHeight="1" thickBot="1" x14ac:dyDescent="0.3">
      <c r="A40" s="232"/>
      <c r="B40" s="233"/>
      <c r="C40" s="226" t="s">
        <v>285</v>
      </c>
      <c r="D40" s="201"/>
      <c r="E40" s="112">
        <f>IF(Nd&gt;=0,"N.A.",ROUND(ABS(Nd/S50),2))</f>
        <v>0.09</v>
      </c>
      <c r="F40" s="202" t="str">
        <f>IF(Nd&gt;=0,"N.A.",IF(E40&lt;=1,"Ok!","Não Ok!"))</f>
        <v>Ok!</v>
      </c>
      <c r="G40" s="225"/>
      <c r="H40" s="226" t="s">
        <v>285</v>
      </c>
      <c r="I40" s="201"/>
      <c r="J40" s="112">
        <f>IF(Nd&gt;=0,"N.A.",ROUND(ABS(Nd/Y50),2))</f>
        <v>0.16</v>
      </c>
      <c r="K40" s="202" t="str">
        <f>IF(Nd&gt;=0,"N.A.",IF(J40&lt;=1,"Ok!","Não Ok!"))</f>
        <v>Ok!</v>
      </c>
      <c r="L40" s="203"/>
      <c r="M40" s="209" t="s">
        <v>196</v>
      </c>
      <c r="N40" s="210"/>
      <c r="O40" s="201" t="s">
        <v>285</v>
      </c>
      <c r="P40" s="201"/>
      <c r="Q40" s="112">
        <f>IF(Nd&gt;=0,"N.A.",ROUND(ABS(Nd/Y67),2))</f>
        <v>0.47</v>
      </c>
      <c r="R40" s="202" t="str">
        <f>IF(Nd&gt;=0,"N.A.",IF(Q40&lt;=1,"Ok!","Não Ok!"))</f>
        <v>Ok!</v>
      </c>
      <c r="S40" s="203"/>
      <c r="T40" s="194" t="s">
        <v>196</v>
      </c>
      <c r="U40" s="194"/>
      <c r="V40" s="195" t="s">
        <v>302</v>
      </c>
      <c r="W40" s="195"/>
      <c r="X40" s="143">
        <f>X88</f>
        <v>1.2082970563720958</v>
      </c>
      <c r="Y40" s="196" t="str">
        <f>IF(Config="Configuração Convencional","N.A.",IF(X40&lt;=1,"Ok!","Não Ok!"))</f>
        <v>Não Ok!</v>
      </c>
      <c r="Z40" s="197"/>
      <c r="AD40" s="169"/>
      <c r="AE40" s="169"/>
      <c r="AF40" s="169"/>
      <c r="AG40" s="169"/>
      <c r="AH40" s="169"/>
      <c r="AI40" s="169"/>
      <c r="AJ40" s="169"/>
      <c r="AK40" s="169"/>
      <c r="AL40" s="169"/>
    </row>
    <row r="41" spans="1:38" ht="18.75" customHeight="1" x14ac:dyDescent="0.25">
      <c r="A41" s="230" t="s">
        <v>286</v>
      </c>
      <c r="B41" s="231"/>
      <c r="C41" s="237" t="s">
        <v>284</v>
      </c>
      <c r="D41" s="200"/>
      <c r="E41" s="142">
        <f>ROUND(ABS(Vd/F55),2)</f>
        <v>0.59</v>
      </c>
      <c r="F41" s="192" t="str">
        <f>IF(E41&lt;=1,"Ok!","Não Ok!")</f>
        <v>Ok!</v>
      </c>
      <c r="G41" s="224"/>
      <c r="H41" s="237" t="s">
        <v>284</v>
      </c>
      <c r="I41" s="200"/>
      <c r="J41" s="142">
        <f>ROUND(ABS(Vd/L55),2)</f>
        <v>0.66</v>
      </c>
      <c r="K41" s="192" t="str">
        <f>IF(J41&lt;=1,"Ok!","Não Ok!")</f>
        <v>Ok!</v>
      </c>
      <c r="L41" s="193"/>
      <c r="M41" s="204" t="s">
        <v>259</v>
      </c>
      <c r="N41" s="205"/>
      <c r="O41" s="205"/>
      <c r="P41" s="205"/>
      <c r="Q41" s="205"/>
      <c r="R41" s="205"/>
      <c r="S41" s="206"/>
      <c r="T41" s="560" t="s">
        <v>304</v>
      </c>
      <c r="U41" s="561"/>
      <c r="V41" s="561"/>
      <c r="W41" s="561"/>
      <c r="X41" s="561"/>
      <c r="Y41" s="561"/>
      <c r="Z41" s="562"/>
    </row>
    <row r="42" spans="1:38" ht="18.75" customHeight="1" x14ac:dyDescent="0.25">
      <c r="A42" s="232"/>
      <c r="B42" s="233"/>
      <c r="C42" s="226" t="s">
        <v>285</v>
      </c>
      <c r="D42" s="201"/>
      <c r="E42" s="112">
        <f>IF(Nd=0,"N.A.",ROUND(ABS(Nd/R55),2))</f>
        <v>0.16</v>
      </c>
      <c r="F42" s="202" t="str">
        <f>IF(Nd=0,"N.A.",IF(E42&lt;=1,"Ok!","Não Ok!"))</f>
        <v>Ok!</v>
      </c>
      <c r="G42" s="225"/>
      <c r="H42" s="226" t="s">
        <v>285</v>
      </c>
      <c r="I42" s="201"/>
      <c r="J42" s="112">
        <f>IF(Nd=0,"N.A.",ROUND(ABS(Nd/X55),2))</f>
        <v>0.24</v>
      </c>
      <c r="K42" s="202" t="str">
        <f>IF(Nd=0,"N.A.",IF(J42&lt;=1,"Ok!","Não Ok!"))</f>
        <v>Ok!</v>
      </c>
      <c r="L42" s="203"/>
      <c r="M42" s="204" t="s">
        <v>196</v>
      </c>
      <c r="N42" s="205"/>
      <c r="O42" s="244" t="s">
        <v>285</v>
      </c>
      <c r="P42" s="244"/>
      <c r="Q42" s="144" t="str">
        <f>IF(Nd=0,"N.A.",IF(nlp=1,"N.A.",ROUND(ABS(Nd/Y73),2)))</f>
        <v>N.A.</v>
      </c>
      <c r="R42" s="245" t="str">
        <f>IF(Nd=0,"N.A.",IF(nlp=1,"N.A.",IF(Q42&lt;=1,"Ok!","Não Ok!")))</f>
        <v>N.A.</v>
      </c>
      <c r="S42" s="246"/>
      <c r="T42" s="563" t="s">
        <v>305</v>
      </c>
      <c r="U42" s="258"/>
      <c r="V42" s="258"/>
      <c r="W42" s="258"/>
      <c r="X42" s="213">
        <f>SQRT(Vd^2+Nd^2)</f>
        <v>24328.522869257806</v>
      </c>
      <c r="Y42" s="213"/>
      <c r="Z42" s="259"/>
    </row>
    <row r="43" spans="1:38" ht="18.75" customHeight="1" x14ac:dyDescent="0.25">
      <c r="A43" s="230" t="s">
        <v>287</v>
      </c>
      <c r="B43" s="231"/>
      <c r="C43" s="237" t="s">
        <v>284</v>
      </c>
      <c r="D43" s="200"/>
      <c r="E43" s="142" t="str">
        <f>IF(TipoRec="Sem Recorte","N.A.",ROUND(ABS(Vd/G61),2))</f>
        <v>N.A.</v>
      </c>
      <c r="F43" s="192" t="str">
        <f>IF(TipoRec="Sem Recorte","N.A.",IF(E43&lt;=1,"Ok!","Não Ok!"))</f>
        <v>N.A.</v>
      </c>
      <c r="G43" s="224"/>
      <c r="H43" s="237" t="s">
        <v>284</v>
      </c>
      <c r="I43" s="200"/>
      <c r="J43" s="142">
        <f>ROUND(ABS(Vd/M61),2)</f>
        <v>0.98</v>
      </c>
      <c r="K43" s="192" t="str">
        <f>IF(J43&lt;=1,"Ok!","Não Ok!")</f>
        <v>Ok!</v>
      </c>
      <c r="L43" s="193"/>
      <c r="M43" s="204" t="s">
        <v>260</v>
      </c>
      <c r="N43" s="205"/>
      <c r="O43" s="205"/>
      <c r="P43" s="205"/>
      <c r="Q43" s="205"/>
      <c r="R43" s="205"/>
      <c r="S43" s="206"/>
      <c r="T43" s="216" t="s">
        <v>307</v>
      </c>
      <c r="U43" s="217"/>
      <c r="V43" s="217"/>
      <c r="W43" s="217"/>
      <c r="X43" s="568">
        <f>ABS(ATAN(Nd/Vd)*180/PI())</f>
        <v>14.995891590377529</v>
      </c>
      <c r="Y43" s="568"/>
      <c r="Z43" s="148"/>
    </row>
    <row r="44" spans="1:38" ht="18.75" customHeight="1" thickBot="1" x14ac:dyDescent="0.3">
      <c r="A44" s="260"/>
      <c r="B44" s="261"/>
      <c r="C44" s="227" t="s">
        <v>285</v>
      </c>
      <c r="D44" s="195"/>
      <c r="E44" s="143">
        <f>IF(Nd&gt;=0,"N.A.",ROUND(ABS(Nd/S61),2))</f>
        <v>0.13</v>
      </c>
      <c r="F44" s="196" t="str">
        <f>IF(Nd&gt;=0,"N.A.",IF(E44&lt;=1,"Ok!","Não Ok!"))</f>
        <v>Ok!</v>
      </c>
      <c r="G44" s="223"/>
      <c r="H44" s="227" t="s">
        <v>285</v>
      </c>
      <c r="I44" s="195"/>
      <c r="J44" s="143">
        <f>IF(Nd&gt;=0,"N.A.",ROUND(ABS(Nd/Y61),2))</f>
        <v>0.17</v>
      </c>
      <c r="K44" s="196" t="str">
        <f>IF(Nd&gt;=0,"N.A.",IF(J44&lt;=1,"Ok!","Não Ok!"))</f>
        <v>Ok!</v>
      </c>
      <c r="L44" s="197"/>
      <c r="M44" s="221" t="s">
        <v>196</v>
      </c>
      <c r="N44" s="222"/>
      <c r="O44" s="218" t="s">
        <v>285</v>
      </c>
      <c r="P44" s="218"/>
      <c r="Q44" s="145" t="str">
        <f>IF(Nd&lt;=0,"N.A.",ROUND(ABS(Nd/X81),2))</f>
        <v>N.A.</v>
      </c>
      <c r="R44" s="219" t="str">
        <f>IF(Nd&lt;=0,"N.A.",IF(Q44&lt;=1,"Ok!","Não Ok!"))</f>
        <v>N.A.</v>
      </c>
      <c r="S44" s="220"/>
      <c r="T44" s="564" t="s">
        <v>306</v>
      </c>
      <c r="U44" s="565"/>
      <c r="V44" s="565"/>
      <c r="W44" s="565"/>
      <c r="X44" s="565"/>
      <c r="Y44" s="566">
        <f>ROUNDUP(MAX(Pd/(2*0.75*(0.6*70*'Conversão de Unidades'!E18)*(0.707*(dp/10))*(1+0.5*SIN(PI()*delta/180)^1.5)),(5/8)*tp/10)*10,0)</f>
        <v>4</v>
      </c>
      <c r="Z44" s="567"/>
    </row>
    <row r="45" spans="1:38" ht="18.75" customHeight="1" thickBot="1" x14ac:dyDescent="0.3">
      <c r="A45"/>
      <c r="B45"/>
    </row>
    <row r="46" spans="1:38" ht="18.75" customHeight="1" x14ac:dyDescent="0.25">
      <c r="A46" s="580" t="s">
        <v>251</v>
      </c>
      <c r="B46" s="581"/>
      <c r="C46" s="234" t="s">
        <v>252</v>
      </c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29"/>
      <c r="O46" s="234" t="s">
        <v>253</v>
      </c>
      <c r="P46" s="235"/>
      <c r="Q46" s="235"/>
      <c r="R46" s="235"/>
      <c r="S46" s="235"/>
      <c r="T46" s="235"/>
      <c r="U46" s="235"/>
      <c r="V46" s="235"/>
      <c r="W46" s="235"/>
      <c r="X46" s="235"/>
      <c r="Y46" s="235"/>
      <c r="Z46" s="236"/>
    </row>
    <row r="47" spans="1:38" ht="18.75" customHeight="1" x14ac:dyDescent="0.25">
      <c r="A47" s="582"/>
      <c r="B47" s="583"/>
      <c r="C47" s="251" t="s">
        <v>204</v>
      </c>
      <c r="D47" s="251"/>
      <c r="E47" s="251"/>
      <c r="F47" s="251"/>
      <c r="G47" s="251"/>
      <c r="H47" s="252"/>
      <c r="I47" s="326" t="s">
        <v>223</v>
      </c>
      <c r="J47" s="251"/>
      <c r="K47" s="251"/>
      <c r="L47" s="251"/>
      <c r="M47" s="251"/>
      <c r="N47" s="252"/>
      <c r="O47" s="251" t="s">
        <v>204</v>
      </c>
      <c r="P47" s="251"/>
      <c r="Q47" s="251"/>
      <c r="R47" s="251"/>
      <c r="S47" s="251"/>
      <c r="T47" s="252"/>
      <c r="U47" s="326" t="s">
        <v>223</v>
      </c>
      <c r="V47" s="251"/>
      <c r="W47" s="251"/>
      <c r="X47" s="251"/>
      <c r="Y47" s="251"/>
      <c r="Z47" s="307"/>
    </row>
    <row r="48" spans="1:38" ht="18.75" customHeight="1" x14ac:dyDescent="0.25">
      <c r="A48" s="230" t="s">
        <v>224</v>
      </c>
      <c r="B48" s="231"/>
      <c r="C48" s="211" t="s">
        <v>321</v>
      </c>
      <c r="D48" s="212"/>
      <c r="E48" s="212"/>
      <c r="F48" s="212"/>
      <c r="G48" s="213">
        <f>IF(Perfil="Perfil Soldado",0.9,1)*0.6*Fy*Ag</f>
        <v>53860.754357061131</v>
      </c>
      <c r="H48" s="214"/>
      <c r="I48" s="211" t="s">
        <v>320</v>
      </c>
      <c r="J48" s="212"/>
      <c r="K48" s="212"/>
      <c r="L48" s="212"/>
      <c r="M48" s="213">
        <f>0.6*Fyp*Agp</f>
        <v>28168.086177033685</v>
      </c>
      <c r="N48" s="214"/>
      <c r="O48" s="211" t="s">
        <v>257</v>
      </c>
      <c r="P48" s="212"/>
      <c r="Q48" s="212"/>
      <c r="R48" s="212"/>
      <c r="S48" s="213">
        <f>IF(Nd=0,"N.A.",0.9*Fy*Aga)</f>
        <v>80791.131535591703</v>
      </c>
      <c r="T48" s="214"/>
      <c r="U48" s="211" t="s">
        <v>257</v>
      </c>
      <c r="V48" s="212"/>
      <c r="W48" s="212"/>
      <c r="X48" s="212"/>
      <c r="Y48" s="213">
        <f>IF(Nd=0,"N.A.",0.9*Fyp*Agpa)</f>
        <v>42252.129265550524</v>
      </c>
      <c r="Z48" s="259"/>
      <c r="AA48" s="186">
        <f>M48/453.59237</f>
        <v>62.10000000007426</v>
      </c>
      <c r="AB48" s="182"/>
    </row>
    <row r="49" spans="1:28" ht="18.75" customHeight="1" x14ac:dyDescent="0.25">
      <c r="A49" s="232"/>
      <c r="B49" s="233"/>
      <c r="C49" s="106" t="s">
        <v>219</v>
      </c>
      <c r="D49" s="215">
        <f>IF(TipoRec="Sem Recorte",d*tw/100,IF(TipoRec="Flange Superior",(d-dc)*tw/100,(d-2*dc)*tw/100))</f>
        <v>25.536000000000005</v>
      </c>
      <c r="E49" s="215"/>
      <c r="F49" s="107"/>
      <c r="G49" s="108"/>
      <c r="H49" s="110"/>
      <c r="I49" s="106" t="s">
        <v>219</v>
      </c>
      <c r="J49" s="215">
        <f>((npl-1)*(div/10)+2*(dev/10))*(tp/10)</f>
        <v>18.548349999999999</v>
      </c>
      <c r="K49" s="215"/>
      <c r="L49" s="107"/>
      <c r="M49" s="107"/>
      <c r="N49" s="109"/>
      <c r="O49" s="106" t="s">
        <v>219</v>
      </c>
      <c r="P49" s="215">
        <f>IF(Nd=0,"N.A.",IF(TipoRec="Sem Recorte",IF(nlp=1,d*tw/100,IF(AND(Perfil&lt;&gt;"Perfil Soldado",Perfil&lt;&gt;"Perfil Laminado"),D107,((d-tfs-tfi)*tw+bfs*tfs+bfi*tfi)/100)),IF(TipoRec="Flange Superior",IF(nlp=1,(d-dc)*tw/100,IF(AND(Perfil&lt;&gt;"Perfil Soldado",Perfil&lt;&gt;"Perfil Laminado"),D107,((d-dc-tfi)*tw+bfi*tfi)/100)),(d-2*dc)*tw/100)))</f>
        <v>25.536000000000005</v>
      </c>
      <c r="Q49" s="215"/>
      <c r="R49" s="107"/>
      <c r="S49" s="108"/>
      <c r="T49" s="110"/>
      <c r="U49" s="106" t="s">
        <v>219</v>
      </c>
      <c r="V49" s="215">
        <f>IF(Nd=0,"N.A.",dp*tp/100)</f>
        <v>18.548349999999996</v>
      </c>
      <c r="W49" s="215"/>
      <c r="X49" s="107"/>
      <c r="Y49" s="107"/>
      <c r="Z49" s="118"/>
    </row>
    <row r="50" spans="1:28" ht="18.75" customHeight="1" x14ac:dyDescent="0.25">
      <c r="A50" s="230" t="s">
        <v>225</v>
      </c>
      <c r="B50" s="483"/>
      <c r="C50" s="211" t="s">
        <v>205</v>
      </c>
      <c r="D50" s="212"/>
      <c r="E50" s="212"/>
      <c r="F50" s="212"/>
      <c r="G50" s="213">
        <f>0.75*0.6*Fu*Ae</f>
        <v>40813.695308199349</v>
      </c>
      <c r="H50" s="214"/>
      <c r="I50" s="211" t="s">
        <v>205</v>
      </c>
      <c r="J50" s="212"/>
      <c r="K50" s="212"/>
      <c r="L50" s="212"/>
      <c r="M50" s="213">
        <f>0.75*0.6*Fup*Aep</f>
        <v>23677.521714028313</v>
      </c>
      <c r="N50" s="214"/>
      <c r="O50" s="293" t="s">
        <v>261</v>
      </c>
      <c r="P50" s="294"/>
      <c r="Q50" s="294"/>
      <c r="R50" s="294"/>
      <c r="S50" s="295">
        <f>IF(Nd&gt;=0,"N.A.",0.75*Fu*Aea)</f>
        <v>68022.825513665593</v>
      </c>
      <c r="T50" s="296"/>
      <c r="U50" s="293" t="s">
        <v>261</v>
      </c>
      <c r="V50" s="294"/>
      <c r="W50" s="294"/>
      <c r="X50" s="294"/>
      <c r="Y50" s="295">
        <f>IF(Nd&gt;=0,"N.A.",0.75*Fup*Aepa)</f>
        <v>39462.536190047183</v>
      </c>
      <c r="Z50" s="317"/>
      <c r="AA50" s="186">
        <f>M50/453.59237</f>
        <v>52.200000000062417</v>
      </c>
      <c r="AB50" s="182"/>
    </row>
    <row r="51" spans="1:28" ht="18.75" customHeight="1" x14ac:dyDescent="0.25">
      <c r="A51" s="232"/>
      <c r="B51" s="484"/>
      <c r="C51" s="111" t="s">
        <v>226</v>
      </c>
      <c r="D51" s="112">
        <v>1</v>
      </c>
      <c r="E51" s="278" t="s">
        <v>206</v>
      </c>
      <c r="F51" s="278"/>
      <c r="G51" s="276">
        <f>U*(Ag-npl*df*tw/100)</f>
        <v>19.846400000000006</v>
      </c>
      <c r="H51" s="277"/>
      <c r="I51" s="111" t="s">
        <v>226</v>
      </c>
      <c r="J51" s="112">
        <v>1</v>
      </c>
      <c r="K51" s="278" t="s">
        <v>206</v>
      </c>
      <c r="L51" s="278"/>
      <c r="M51" s="276">
        <f>Up*(Agp-npl*(df/10)*(tp/10))</f>
        <v>12.9032</v>
      </c>
      <c r="N51" s="359"/>
      <c r="O51" s="128" t="s">
        <v>226</v>
      </c>
      <c r="P51" s="129">
        <f>IF(Nd&gt;=0,"N.A.",IF(nlp=1,1,IF(1-R108/((nlp-1)*dih)&gt;=0.6,MIN(1-R108/((nlp-1)*dih),0.9),"U&lt;0,6")))</f>
        <v>1</v>
      </c>
      <c r="Q51" s="285" t="s">
        <v>206</v>
      </c>
      <c r="R51" s="285"/>
      <c r="S51" s="286">
        <f>IF(Nd&gt;=0,"N.A.",Ua*(Aga-npl*df*tw/100))</f>
        <v>19.846400000000006</v>
      </c>
      <c r="T51" s="287"/>
      <c r="U51" s="128" t="s">
        <v>226</v>
      </c>
      <c r="V51" s="130">
        <v>1</v>
      </c>
      <c r="W51" s="285" t="s">
        <v>206</v>
      </c>
      <c r="X51" s="285"/>
      <c r="Y51" s="286">
        <f>IF(Nd&gt;=0,"N.A.",Upa*(Agpa-npl*(df/10)*(tp/10)))</f>
        <v>12.903199999999996</v>
      </c>
      <c r="Z51" s="328"/>
    </row>
    <row r="52" spans="1:28" ht="18.75" customHeight="1" x14ac:dyDescent="0.25">
      <c r="A52" s="230" t="s">
        <v>222</v>
      </c>
      <c r="B52" s="231"/>
      <c r="C52" s="133" t="s">
        <v>220</v>
      </c>
      <c r="D52" s="336" t="str">
        <f>IF(TipoRec="Sem Recorte","N.A.",div-(df-2))</f>
        <v>N.A.</v>
      </c>
      <c r="E52" s="336"/>
      <c r="F52" s="91" t="s">
        <v>221</v>
      </c>
      <c r="G52" s="336" t="str">
        <f>IF(TipoRec="Sem Recorte","N.A.",(dfs-dc)-(df-2)/2)</f>
        <v>N.A.</v>
      </c>
      <c r="H52" s="337"/>
      <c r="I52" s="133" t="s">
        <v>220</v>
      </c>
      <c r="J52" s="336">
        <f>div-(df-2)</f>
        <v>55.974999999999994</v>
      </c>
      <c r="K52" s="336"/>
      <c r="L52" s="91" t="s">
        <v>221</v>
      </c>
      <c r="M52" s="336">
        <f>dev-(df-2)/2</f>
        <v>21.637500000000003</v>
      </c>
      <c r="N52" s="337"/>
      <c r="O52" s="134" t="s">
        <v>220</v>
      </c>
      <c r="P52" s="275">
        <f>IF(Nd=0,"N.A.",IF(nlp=1,0,dih-(df-2)))</f>
        <v>0</v>
      </c>
      <c r="Q52" s="275"/>
      <c r="R52" s="135" t="s">
        <v>221</v>
      </c>
      <c r="S52" s="275">
        <f>IF(Nd=0,"N.A.",IF(OR(TipoLig="Tipo 1",TipoLig="Tipo 3"),(a-folga)-(df-2)/2,deh-(df-2)/2))</f>
        <v>53.387499999999989</v>
      </c>
      <c r="T52" s="280"/>
      <c r="U52" s="134" t="s">
        <v>220</v>
      </c>
      <c r="V52" s="275">
        <f>IF(Nd=0,"N.A.",IF(nlp=1,0,dih-(df-2)))</f>
        <v>0</v>
      </c>
      <c r="W52" s="275"/>
      <c r="X52" s="135" t="s">
        <v>221</v>
      </c>
      <c r="Y52" s="275">
        <f>IF(Nd=0,"N.A.",deh-(df-2)/2)</f>
        <v>27.987499999999997</v>
      </c>
      <c r="Z52" s="335"/>
    </row>
    <row r="53" spans="1:28" ht="18.75" customHeight="1" x14ac:dyDescent="0.25">
      <c r="A53" s="308"/>
      <c r="B53" s="309"/>
      <c r="C53" s="179" t="s">
        <v>207</v>
      </c>
      <c r="D53" s="180"/>
      <c r="E53" s="180"/>
      <c r="F53" s="185" t="str">
        <f>IF(TipoRec="Sem Recorte","N.A.",nlp*1.2*((npl-1)*Lci/10+Lce/10)*(tw/10)*Fu)</f>
        <v>N.A.</v>
      </c>
      <c r="G53" s="301"/>
      <c r="H53" s="302"/>
      <c r="I53" s="179" t="s">
        <v>207</v>
      </c>
      <c r="J53" s="180"/>
      <c r="K53" s="180"/>
      <c r="L53" s="185">
        <f>nlp*1.2*((npl-1)*Lcip/10+Lcep/10)*(tp/10)*Fup</f>
        <v>58902.496193116691</v>
      </c>
      <c r="M53" s="301"/>
      <c r="N53" s="302"/>
      <c r="O53" s="315" t="s">
        <v>207</v>
      </c>
      <c r="P53" s="327"/>
      <c r="Q53" s="327"/>
      <c r="R53" s="311">
        <f>IF(Nd=0,"N.A.",npl*1.2*((nlp-1)*Lcia/10+Lcea/10)*(tw/10)*Fu)</f>
        <v>74950.141959075278</v>
      </c>
      <c r="S53" s="312"/>
      <c r="T53" s="314"/>
      <c r="U53" s="315" t="s">
        <v>207</v>
      </c>
      <c r="V53" s="327"/>
      <c r="W53" s="327"/>
      <c r="X53" s="311">
        <f>IF(Nd=0,"N.A.",npl*1.2*((nlp-1)*Lcipa/10+Lcepa/10)*(tp/10)*Fup)</f>
        <v>34786.070287210889</v>
      </c>
      <c r="Y53" s="312"/>
      <c r="Z53" s="313"/>
    </row>
    <row r="54" spans="1:28" ht="18.75" customHeight="1" x14ac:dyDescent="0.25">
      <c r="A54" s="308"/>
      <c r="B54" s="309"/>
      <c r="C54" s="179" t="s">
        <v>208</v>
      </c>
      <c r="D54" s="217"/>
      <c r="E54" s="217"/>
      <c r="F54" s="301">
        <f>2.4*(dbSI/10)*(tw/10)*Fu*npl*nlp</f>
        <v>53488.183725418276</v>
      </c>
      <c r="G54" s="301"/>
      <c r="H54" s="302"/>
      <c r="I54" s="179" t="s">
        <v>208</v>
      </c>
      <c r="J54" s="217"/>
      <c r="K54" s="217"/>
      <c r="L54" s="301">
        <f>2.4*(dbSI/10)*(tp/10)*Fup*npl*nlp</f>
        <v>47355.043428056626</v>
      </c>
      <c r="M54" s="301"/>
      <c r="N54" s="302"/>
      <c r="O54" s="315" t="s">
        <v>208</v>
      </c>
      <c r="P54" s="292"/>
      <c r="Q54" s="292"/>
      <c r="R54" s="312">
        <f>IF(Nd=0,"N.A.",2.4*(dbSI/10)*(tw/10)*Fu*npl*nlp)</f>
        <v>53488.183725418276</v>
      </c>
      <c r="S54" s="312"/>
      <c r="T54" s="314"/>
      <c r="U54" s="315" t="s">
        <v>208</v>
      </c>
      <c r="V54" s="292"/>
      <c r="W54" s="292"/>
      <c r="X54" s="312">
        <f>IF(Nd=0,"N.A.",2.4*(dbSI/10)*(tp/10)*Fup*npl*nlp)</f>
        <v>47355.043428056626</v>
      </c>
      <c r="Y54" s="312"/>
      <c r="Z54" s="313"/>
    </row>
    <row r="55" spans="1:28" ht="18.75" customHeight="1" x14ac:dyDescent="0.25">
      <c r="A55" s="232"/>
      <c r="B55" s="233"/>
      <c r="C55" s="387" t="s">
        <v>209</v>
      </c>
      <c r="D55" s="381"/>
      <c r="E55" s="381"/>
      <c r="F55" s="338">
        <f>IF(TipoRec="Sem Recorte",0.75*F54,0.75*MIN(F53:H54))</f>
        <v>40116.137794063703</v>
      </c>
      <c r="G55" s="338"/>
      <c r="H55" s="339"/>
      <c r="I55" s="387" t="s">
        <v>209</v>
      </c>
      <c r="J55" s="381"/>
      <c r="K55" s="381"/>
      <c r="L55" s="338">
        <f>0.75*MIN(L53:N54)</f>
        <v>35516.282571042466</v>
      </c>
      <c r="M55" s="338"/>
      <c r="N55" s="339"/>
      <c r="O55" s="297" t="s">
        <v>209</v>
      </c>
      <c r="P55" s="298"/>
      <c r="Q55" s="298"/>
      <c r="R55" s="299">
        <f>IF(Nd=0,"N.A.",0.75*MIN(R53:T54))</f>
        <v>40116.137794063703</v>
      </c>
      <c r="S55" s="299"/>
      <c r="T55" s="300"/>
      <c r="U55" s="297" t="s">
        <v>209</v>
      </c>
      <c r="V55" s="298"/>
      <c r="W55" s="298"/>
      <c r="X55" s="299">
        <f>IF(Nd=0,"N.A.",0.75*MIN(X53:Z54))</f>
        <v>26089.552715408165</v>
      </c>
      <c r="Y55" s="299"/>
      <c r="Z55" s="316"/>
      <c r="AA55" s="186">
        <f>L55/453.59237</f>
        <v>78.300000000093618</v>
      </c>
      <c r="AB55" s="182"/>
    </row>
    <row r="56" spans="1:28" ht="18.75" customHeight="1" x14ac:dyDescent="0.25">
      <c r="A56" s="230" t="s">
        <v>210</v>
      </c>
      <c r="B56" s="231"/>
      <c r="C56" s="131" t="s">
        <v>211</v>
      </c>
      <c r="D56" s="183" t="str">
        <f>IF(TipoRec="Sem Recorte","N.A.",IF(OR(TipoLig="Tipo 1",TipoLig="Tipo 3"),(((a-folga)+(nlp-1)*dih)/10)*(tw/10),((deh+(nlp-1)*dih)/10)*(tw/10)))</f>
        <v>N.A.</v>
      </c>
      <c r="E56" s="183"/>
      <c r="F56" s="132" t="s">
        <v>212</v>
      </c>
      <c r="G56" s="183" t="str">
        <f>IF(TipoRec="Sem Recorte","N.A.",Agt-(nlp-0.5)*(df/10)*(tw/10))</f>
        <v>N.A.</v>
      </c>
      <c r="H56" s="290"/>
      <c r="I56" s="154" t="s">
        <v>211</v>
      </c>
      <c r="J56" s="281">
        <f>((deh+(nlp-1)*dih)/10)*(tp/10)</f>
        <v>2.4193499999999997</v>
      </c>
      <c r="K56" s="281"/>
      <c r="L56" s="155" t="s">
        <v>212</v>
      </c>
      <c r="M56" s="281">
        <f>Agtp-(nlp-0.5)*(df/10)*(tp/10)</f>
        <v>1.7137062499999998</v>
      </c>
      <c r="N56" s="282"/>
      <c r="O56" s="131" t="s">
        <v>211</v>
      </c>
      <c r="P56" s="183">
        <f>IF(Nd&gt;=0,"N.A.",(npl-1)*(div/10)*(tw/10))</f>
        <v>14.6304</v>
      </c>
      <c r="Q56" s="183"/>
      <c r="R56" s="132" t="s">
        <v>212</v>
      </c>
      <c r="S56" s="183">
        <f>IF(Nd&gt;=0,"N.A.",Agta-(npl-1)*(df/10)*(tw/10))</f>
        <v>10.363200000000001</v>
      </c>
      <c r="T56" s="290"/>
      <c r="U56" s="131" t="s">
        <v>211</v>
      </c>
      <c r="V56" s="183">
        <f>IF(Nd&gt;=0,"N.A.",(npl-1)*(div/10)*(tp/10))</f>
        <v>14.5161</v>
      </c>
      <c r="W56" s="183"/>
      <c r="X56" s="132" t="s">
        <v>212</v>
      </c>
      <c r="Y56" s="183">
        <f>IF(Nd&gt;=0,"N.A.",Agtpa-(npl-1)*(df/10)*(tp/10))</f>
        <v>10.282237500000001</v>
      </c>
      <c r="Z56" s="184"/>
    </row>
    <row r="57" spans="1:28" ht="18.75" customHeight="1" x14ac:dyDescent="0.25">
      <c r="A57" s="308"/>
      <c r="B57" s="309"/>
      <c r="C57" s="160" t="s">
        <v>213</v>
      </c>
      <c r="D57" s="329" t="str">
        <f>IF(TipoRec="Sem Recorte","N.A.",((npl-1)*(div/10)+((dfs-dc)/10))*(tw/10))</f>
        <v>N.A.</v>
      </c>
      <c r="E57" s="329"/>
      <c r="F57" s="158" t="s">
        <v>214</v>
      </c>
      <c r="G57" s="329" t="str">
        <f>IF(TipoRec="Sem Recorte","N.A.",Agv-(npl-0.5)*(df/10)*(tw/10))</f>
        <v>N.A.</v>
      </c>
      <c r="H57" s="340"/>
      <c r="I57" s="152" t="s">
        <v>213</v>
      </c>
      <c r="J57" s="215">
        <f>((npl-1)*(div/10)+(dev/10))*(tp/10)</f>
        <v>16.532225</v>
      </c>
      <c r="K57" s="215"/>
      <c r="L57" s="153" t="s">
        <v>214</v>
      </c>
      <c r="M57" s="215">
        <f>Agvp-(npl-0.5)*(df/10)*(tp/10)</f>
        <v>11.592718750000001</v>
      </c>
      <c r="N57" s="398"/>
      <c r="O57" s="160" t="s">
        <v>213</v>
      </c>
      <c r="P57" s="329">
        <f>IF(Nd&gt;=0,"N.A.",IF(OR(TipoLig="Tipo 1",TipoLig="Tipo 3"),(((a-folga)+(nlp-1)*dih)/10)*(tw/10),((deh+(nlp-1)*dih)/10)*(tw/10))*2)</f>
        <v>8.1279999999999983</v>
      </c>
      <c r="Q57" s="329"/>
      <c r="R57" s="158" t="s">
        <v>214</v>
      </c>
      <c r="S57" s="329">
        <f>IF(Nd&gt;=0,"N.A.",Agva-(nlp-0.5)*(df/10)*(tw/10)*2)</f>
        <v>6.7055999999999987</v>
      </c>
      <c r="T57" s="340"/>
      <c r="U57" s="160" t="s">
        <v>213</v>
      </c>
      <c r="V57" s="329">
        <f>IF(Nd&gt;=0,"N.A.",((deh+(nlp-1)*dih)/10)*(tp/10)*2)</f>
        <v>4.8386999999999993</v>
      </c>
      <c r="W57" s="329"/>
      <c r="X57" s="158" t="s">
        <v>214</v>
      </c>
      <c r="Y57" s="329">
        <f>IF(Nd&gt;=0,"N.A.",Agvpa-(nlp-0.5)*(df/10)*(tp/10)*2)</f>
        <v>3.4274124999999995</v>
      </c>
      <c r="Z57" s="330"/>
    </row>
    <row r="58" spans="1:28" ht="18.75" customHeight="1" x14ac:dyDescent="0.25">
      <c r="A58" s="308"/>
      <c r="B58" s="309"/>
      <c r="C58" s="160" t="s">
        <v>215</v>
      </c>
      <c r="D58" s="159" t="str">
        <f>IF(TipoRec="Sem Recorte","N.A.",IF(nlp=1,1,0.5))</f>
        <v>N.A.</v>
      </c>
      <c r="E58" s="331" t="s">
        <v>216</v>
      </c>
      <c r="F58" s="331"/>
      <c r="G58" s="331"/>
      <c r="H58" s="433"/>
      <c r="I58" s="152" t="s">
        <v>215</v>
      </c>
      <c r="J58" s="113">
        <f>IF(nlp=1,1,0.5)</f>
        <v>1</v>
      </c>
      <c r="K58" s="333" t="s">
        <v>216</v>
      </c>
      <c r="L58" s="333"/>
      <c r="M58" s="333"/>
      <c r="N58" s="334"/>
      <c r="O58" s="160" t="s">
        <v>215</v>
      </c>
      <c r="P58" s="159">
        <v>1</v>
      </c>
      <c r="Q58" s="331" t="s">
        <v>216</v>
      </c>
      <c r="R58" s="331"/>
      <c r="S58" s="331"/>
      <c r="T58" s="433"/>
      <c r="U58" s="160" t="s">
        <v>215</v>
      </c>
      <c r="V58" s="159">
        <v>1</v>
      </c>
      <c r="W58" s="331" t="s">
        <v>216</v>
      </c>
      <c r="X58" s="331"/>
      <c r="Y58" s="331"/>
      <c r="Z58" s="332"/>
    </row>
    <row r="59" spans="1:28" ht="18.75" customHeight="1" x14ac:dyDescent="0.25">
      <c r="A59" s="308"/>
      <c r="B59" s="309"/>
      <c r="C59" s="291" t="s">
        <v>217</v>
      </c>
      <c r="D59" s="292"/>
      <c r="E59" s="292"/>
      <c r="F59" s="292"/>
      <c r="G59" s="312" t="str">
        <f>IF(TipoRec="Sem Recorte","N.A.",0.6*Fu*Anv+Ubs*Fu*Ant)</f>
        <v>N.A.</v>
      </c>
      <c r="H59" s="314"/>
      <c r="I59" s="322" t="s">
        <v>217</v>
      </c>
      <c r="J59" s="217"/>
      <c r="K59" s="217"/>
      <c r="L59" s="217"/>
      <c r="M59" s="301">
        <f>0.6*Fup*Anvp+Ubsp*Fup*Antp</f>
        <v>35351.855336917281</v>
      </c>
      <c r="N59" s="302"/>
      <c r="O59" s="291" t="s">
        <v>217</v>
      </c>
      <c r="P59" s="292"/>
      <c r="Q59" s="292"/>
      <c r="R59" s="292"/>
      <c r="S59" s="312">
        <f>IF(Nd&gt;=0,"N.A.",0.6*Fu*Anva+Ubsa*Fu*Anta)</f>
        <v>65745.892495826643</v>
      </c>
      <c r="T59" s="314"/>
      <c r="U59" s="291" t="s">
        <v>217</v>
      </c>
      <c r="V59" s="292"/>
      <c r="W59" s="292"/>
      <c r="X59" s="292"/>
      <c r="Y59" s="312">
        <f>IF(Nd&gt;=0,"N.A.",0.6*Fup*Anvpa+Ubspa*Fup*Antpa)</f>
        <v>50314.733642310173</v>
      </c>
      <c r="Z59" s="313"/>
    </row>
    <row r="60" spans="1:28" ht="18.75" customHeight="1" x14ac:dyDescent="0.25">
      <c r="A60" s="308"/>
      <c r="B60" s="309"/>
      <c r="C60" s="291" t="s">
        <v>218</v>
      </c>
      <c r="D60" s="292"/>
      <c r="E60" s="292"/>
      <c r="F60" s="292"/>
      <c r="G60" s="312" t="str">
        <f>IF(TipoRec="Sem Recorte","N.A.",0.6*Fy*Agv+Ubs*Fu*Ant)</f>
        <v>N.A.</v>
      </c>
      <c r="H60" s="314"/>
      <c r="I60" s="322" t="s">
        <v>218</v>
      </c>
      <c r="J60" s="217"/>
      <c r="K60" s="217"/>
      <c r="L60" s="217"/>
      <c r="M60" s="301">
        <f>0.6*Fyp*Agvp+Ubsp*Fup*Antp</f>
        <v>32094.495129850882</v>
      </c>
      <c r="N60" s="302"/>
      <c r="O60" s="291" t="s">
        <v>218</v>
      </c>
      <c r="P60" s="292"/>
      <c r="Q60" s="292"/>
      <c r="R60" s="292"/>
      <c r="S60" s="312">
        <f>IF(Nd&gt;=0,"N.A.",0.6*Fy*Agva+Ubsa*Fu*Anta)</f>
        <v>64502.977970155873</v>
      </c>
      <c r="T60" s="314"/>
      <c r="U60" s="291" t="s">
        <v>218</v>
      </c>
      <c r="V60" s="292"/>
      <c r="W60" s="292"/>
      <c r="X60" s="292"/>
      <c r="Y60" s="312">
        <f>IF(Nd&gt;=0,"N.A.",0.6*Fyp*Agvpa+Ubspa*Fup*Antpa)</f>
        <v>49277.141095933934</v>
      </c>
      <c r="Z60" s="313"/>
    </row>
    <row r="61" spans="1:28" ht="18.75" customHeight="1" x14ac:dyDescent="0.25">
      <c r="A61" s="232"/>
      <c r="B61" s="233"/>
      <c r="C61" s="297" t="s">
        <v>209</v>
      </c>
      <c r="D61" s="298"/>
      <c r="E61" s="298"/>
      <c r="F61" s="298"/>
      <c r="G61" s="341" t="str">
        <f>IF(TipoRec="Sem Recorte","N.A.",0.75*MIN(G59:H60))</f>
        <v>N.A.</v>
      </c>
      <c r="H61" s="388"/>
      <c r="I61" s="387" t="s">
        <v>209</v>
      </c>
      <c r="J61" s="381"/>
      <c r="K61" s="381"/>
      <c r="L61" s="381"/>
      <c r="M61" s="283">
        <f>0.75*MIN(M59:N60)</f>
        <v>24070.871347388162</v>
      </c>
      <c r="N61" s="284"/>
      <c r="O61" s="297" t="s">
        <v>209</v>
      </c>
      <c r="P61" s="298"/>
      <c r="Q61" s="298"/>
      <c r="R61" s="298"/>
      <c r="S61" s="341">
        <f>IF(Nd&gt;=0,"N.A.",0.75*MIN(S59:T60))</f>
        <v>48377.233477616901</v>
      </c>
      <c r="T61" s="388"/>
      <c r="U61" s="297" t="s">
        <v>209</v>
      </c>
      <c r="V61" s="298"/>
      <c r="W61" s="298"/>
      <c r="X61" s="298"/>
      <c r="Y61" s="341">
        <f>IF(Nd&gt;=0,"N.A.",0.75*MIN(Y59:Z60))</f>
        <v>36957.855821950448</v>
      </c>
      <c r="Z61" s="342"/>
      <c r="AA61" s="186">
        <f>M61/453.59237</f>
        <v>53.067187500063461</v>
      </c>
      <c r="AB61" s="187"/>
    </row>
    <row r="62" spans="1:28" ht="18.75" customHeight="1" x14ac:dyDescent="0.25">
      <c r="A62" s="230" t="s">
        <v>270</v>
      </c>
      <c r="B62" s="231"/>
      <c r="C62" s="389" t="s">
        <v>243</v>
      </c>
      <c r="D62" s="390"/>
      <c r="E62" s="390"/>
      <c r="F62" s="390"/>
      <c r="G62" s="390"/>
      <c r="H62" s="391"/>
      <c r="I62" s="401" t="s">
        <v>243</v>
      </c>
      <c r="J62" s="208"/>
      <c r="K62" s="208"/>
      <c r="L62" s="208"/>
      <c r="M62" s="208"/>
      <c r="N62" s="402"/>
      <c r="O62" s="131" t="s">
        <v>211</v>
      </c>
      <c r="P62" s="183" t="str">
        <f>IF(Nd&gt;=0,"N.A.",IF(TipoRec&lt;&gt;"Ambos Flanges","N.A.",IF(OR(TipoLig&lt;&gt;"Tipo 3",a-folga+(nlp-1)*dih&gt;1.5*rec),"N.A.",2*((dfs-dc)/10)*(tw/10))))</f>
        <v>N.A.</v>
      </c>
      <c r="Q62" s="183"/>
      <c r="R62" s="132" t="s">
        <v>212</v>
      </c>
      <c r="S62" s="183" t="str">
        <f>IF(Nd&gt;=0,"N.A.",IF(TipoRec&lt;&gt;"Ambos Flanges","N.A.",IF(OR(TipoLig&lt;&gt;"Tipo 3",a-folga+(nlp-1)*dih&gt;1.5*rec),"N.A.",Agtae-(df/10)*(tw/10))))</f>
        <v>N.A.</v>
      </c>
      <c r="T62" s="290"/>
      <c r="U62" s="131" t="s">
        <v>211</v>
      </c>
      <c r="V62" s="183">
        <f>IF(Nd&gt;=0,"N.A.",2*(dev/10)*(tp/10))</f>
        <v>4.0322499999999994</v>
      </c>
      <c r="W62" s="183"/>
      <c r="X62" s="132" t="s">
        <v>212</v>
      </c>
      <c r="Y62" s="183">
        <f>IF(Nd&gt;=0,"N.A.",Agtpae-(df/10)*(tp/10))</f>
        <v>2.6209624999999996</v>
      </c>
      <c r="Z62" s="184"/>
    </row>
    <row r="63" spans="1:28" ht="18.75" customHeight="1" x14ac:dyDescent="0.25">
      <c r="A63" s="308"/>
      <c r="B63" s="309"/>
      <c r="C63" s="392"/>
      <c r="D63" s="393"/>
      <c r="E63" s="393"/>
      <c r="F63" s="393"/>
      <c r="G63" s="393"/>
      <c r="H63" s="394"/>
      <c r="I63" s="323"/>
      <c r="J63" s="324"/>
      <c r="K63" s="324"/>
      <c r="L63" s="324"/>
      <c r="M63" s="324"/>
      <c r="N63" s="325"/>
      <c r="O63" s="160" t="s">
        <v>213</v>
      </c>
      <c r="P63" s="329" t="str">
        <f>IF(Nd&gt;=0,"N.A.",IF(TipoRec&lt;&gt;"Ambos Flanges","N.A.",IF(OR(TipoLig&lt;&gt;"Tipo 3",a-folga+(nlp-1)*dih&gt;1.5*rec),"N.A.",IF(OR(TipoLig="Tipo 1",TipoLig="Tipo 3"),(((a-folga)+(nlp-1)*dih)/10)*(tw/10),((deh+(nlp-1)*dih)/10)*(tw/10))*2)))</f>
        <v>N.A.</v>
      </c>
      <c r="Q63" s="329"/>
      <c r="R63" s="158" t="s">
        <v>214</v>
      </c>
      <c r="S63" s="329" t="str">
        <f>IF(Nd&gt;=0,"N.A.",IF(TipoRec&lt;&gt;"Ambos Flanges","N.A.",IF(OR(TipoLig&lt;&gt;"Tipo 3",a-folga+(nlp-1)*dih&gt;1.5*rec),"N.A.",Agvae-(nlp-0.5)*(df/10)*(tw/10)*2)))</f>
        <v>N.A.</v>
      </c>
      <c r="T63" s="340"/>
      <c r="U63" s="160" t="s">
        <v>213</v>
      </c>
      <c r="V63" s="329">
        <f>IF(Nd&gt;=0,"N.A.",((deh+(nlp-1)*dih)/10)*(tp/10)*2)</f>
        <v>4.8386999999999993</v>
      </c>
      <c r="W63" s="329"/>
      <c r="X63" s="158" t="s">
        <v>214</v>
      </c>
      <c r="Y63" s="329">
        <f>IF(Nd&gt;=0,"N.A.",Agvpae-(nlp-0.5)*(df/10)*(tp/10)*2)</f>
        <v>3.4274124999999995</v>
      </c>
      <c r="Z63" s="330"/>
    </row>
    <row r="64" spans="1:28" ht="18.75" customHeight="1" x14ac:dyDescent="0.25">
      <c r="A64" s="308"/>
      <c r="B64" s="309"/>
      <c r="C64" s="392"/>
      <c r="D64" s="393"/>
      <c r="E64" s="393"/>
      <c r="F64" s="393"/>
      <c r="G64" s="393"/>
      <c r="H64" s="394"/>
      <c r="I64" s="323"/>
      <c r="J64" s="324"/>
      <c r="K64" s="324"/>
      <c r="L64" s="324"/>
      <c r="M64" s="324"/>
      <c r="N64" s="325"/>
      <c r="O64" s="160" t="s">
        <v>215</v>
      </c>
      <c r="P64" s="159">
        <v>1</v>
      </c>
      <c r="Q64" s="331" t="s">
        <v>216</v>
      </c>
      <c r="R64" s="331"/>
      <c r="S64" s="331"/>
      <c r="T64" s="433"/>
      <c r="U64" s="160" t="s">
        <v>215</v>
      </c>
      <c r="V64" s="159">
        <v>1</v>
      </c>
      <c r="W64" s="331" t="s">
        <v>216</v>
      </c>
      <c r="X64" s="331"/>
      <c r="Y64" s="331"/>
      <c r="Z64" s="332"/>
    </row>
    <row r="65" spans="1:26" ht="18.75" customHeight="1" x14ac:dyDescent="0.25">
      <c r="A65" s="308"/>
      <c r="B65" s="309"/>
      <c r="C65" s="392"/>
      <c r="D65" s="393"/>
      <c r="E65" s="393"/>
      <c r="F65" s="393"/>
      <c r="G65" s="393"/>
      <c r="H65" s="394"/>
      <c r="I65" s="323"/>
      <c r="J65" s="324"/>
      <c r="K65" s="324"/>
      <c r="L65" s="324"/>
      <c r="M65" s="324"/>
      <c r="N65" s="325"/>
      <c r="O65" s="291" t="s">
        <v>217</v>
      </c>
      <c r="P65" s="292"/>
      <c r="Q65" s="292"/>
      <c r="R65" s="292"/>
      <c r="S65" s="312" t="str">
        <f>IF(Nd&gt;=0,"N.A.",IF(TipoRec&lt;&gt;"Ambos Flanges","N.A.",IF(OR(TipoLig&lt;&gt;"Tipo 3",a-folga+(nlp-1)*dih&gt;1.5*rec),"N.A.",0.6*Fu*Anvae+Ubsae*Fu*Antae)))</f>
        <v>N.A.</v>
      </c>
      <c r="T65" s="314"/>
      <c r="U65" s="291" t="s">
        <v>217</v>
      </c>
      <c r="V65" s="292"/>
      <c r="W65" s="292"/>
      <c r="X65" s="292"/>
      <c r="Y65" s="312">
        <f>IF(Nd&gt;=0,"N.A.",0.6*Fup*Anvpae+Ubspae*Fup*Antpae)</f>
        <v>19073.55915852281</v>
      </c>
      <c r="Z65" s="313"/>
    </row>
    <row r="66" spans="1:26" ht="18.75" customHeight="1" x14ac:dyDescent="0.25">
      <c r="A66" s="308"/>
      <c r="B66" s="309"/>
      <c r="C66" s="392"/>
      <c r="D66" s="393"/>
      <c r="E66" s="393"/>
      <c r="F66" s="393"/>
      <c r="G66" s="393"/>
      <c r="H66" s="394"/>
      <c r="I66" s="323"/>
      <c r="J66" s="324"/>
      <c r="K66" s="324"/>
      <c r="L66" s="324"/>
      <c r="M66" s="324"/>
      <c r="N66" s="325"/>
      <c r="O66" s="291" t="s">
        <v>218</v>
      </c>
      <c r="P66" s="292"/>
      <c r="Q66" s="292"/>
      <c r="R66" s="292"/>
      <c r="S66" s="312" t="str">
        <f>IF(Nd&gt;=0,"N.A.",IF(TipoRec&lt;&gt;"Ambos Flanges","N.A.",IF(OR(TipoLig&lt;&gt;"Tipo 3",a-folga+(nlp-1)*dih&gt;1.5*rec),"N.A.",0.6*Fy*Agvae+Ubsae*Fu*Antae)))</f>
        <v>N.A.</v>
      </c>
      <c r="T66" s="314"/>
      <c r="U66" s="291" t="s">
        <v>218</v>
      </c>
      <c r="V66" s="292"/>
      <c r="W66" s="292"/>
      <c r="X66" s="292"/>
      <c r="Y66" s="312">
        <f>IF(Nd&gt;=0,"N.A.",0.6*Fyp*Agvpae+Ubspae*Fup*Antpae)</f>
        <v>18035.966612146567</v>
      </c>
      <c r="Z66" s="313"/>
    </row>
    <row r="67" spans="1:26" ht="18.75" customHeight="1" thickBot="1" x14ac:dyDescent="0.3">
      <c r="A67" s="260"/>
      <c r="B67" s="261"/>
      <c r="C67" s="395"/>
      <c r="D67" s="396"/>
      <c r="E67" s="396"/>
      <c r="F67" s="396"/>
      <c r="G67" s="396"/>
      <c r="H67" s="397"/>
      <c r="I67" s="403"/>
      <c r="J67" s="194"/>
      <c r="K67" s="194"/>
      <c r="L67" s="194"/>
      <c r="M67" s="194"/>
      <c r="N67" s="404"/>
      <c r="O67" s="407" t="s">
        <v>209</v>
      </c>
      <c r="P67" s="408"/>
      <c r="Q67" s="408"/>
      <c r="R67" s="408"/>
      <c r="S67" s="405" t="str">
        <f>IF(Nd&gt;=0,"N.A.",IF(TipoRec&lt;&gt;"Ambos Flanges","N.A.",IF(OR(TipoLig&lt;&gt;"Tipo 3",a-folga+(nlp-1)*dih&gt;1.5*rec),"N.A.",0.75*MIN(S65:T66))))</f>
        <v>N.A.</v>
      </c>
      <c r="T67" s="406"/>
      <c r="U67" s="407" t="s">
        <v>209</v>
      </c>
      <c r="V67" s="408"/>
      <c r="W67" s="408"/>
      <c r="X67" s="408"/>
      <c r="Y67" s="405">
        <f>IF(Nd&gt;=0,"N.A.",0.75*MIN(Y65:Z66))</f>
        <v>13526.974959109924</v>
      </c>
      <c r="Z67" s="430"/>
    </row>
    <row r="68" spans="1:26" ht="18.75" customHeight="1" x14ac:dyDescent="0.25">
      <c r="A68" s="416" t="s">
        <v>227</v>
      </c>
      <c r="B68" s="417"/>
      <c r="C68" s="417"/>
      <c r="D68" s="417"/>
      <c r="E68" s="417"/>
      <c r="F68" s="417"/>
      <c r="G68" s="417"/>
      <c r="H68" s="417"/>
      <c r="I68" s="417"/>
      <c r="J68" s="417"/>
      <c r="K68" s="417"/>
      <c r="L68" s="417"/>
      <c r="M68" s="417"/>
      <c r="N68" s="417"/>
      <c r="O68" s="417"/>
      <c r="P68" s="417"/>
      <c r="Q68" s="417"/>
      <c r="R68" s="417"/>
      <c r="S68" s="417"/>
      <c r="T68" s="418"/>
      <c r="U68" s="362" t="s">
        <v>258</v>
      </c>
      <c r="V68" s="362"/>
      <c r="W68" s="362"/>
      <c r="X68" s="362"/>
      <c r="Y68" s="362"/>
      <c r="Z68" s="363"/>
    </row>
    <row r="69" spans="1:26" ht="18.75" customHeight="1" x14ac:dyDescent="0.25">
      <c r="A69" s="216" t="s">
        <v>228</v>
      </c>
      <c r="B69" s="217"/>
      <c r="C69" s="305" t="str">
        <f>IF(TipoRec="Sem Recorte","Não Aplicável",IF(TipoRec="Flange Superior",(d-dc-tfi)*tw,(d-2*dc)*tw))</f>
        <v>Não Aplicável</v>
      </c>
      <c r="D69" s="305"/>
      <c r="E69" s="305"/>
      <c r="F69" s="217" t="s">
        <v>229</v>
      </c>
      <c r="G69" s="217"/>
      <c r="H69" s="263" t="str">
        <f>IF(TipoRec="Sem Recorte","Não Aplicável",IF(TipoRec="Flange Superior",(d-dc-tfi)/2+tfi,(d-2*dc)/2))</f>
        <v>Não Aplicável</v>
      </c>
      <c r="I69" s="263"/>
      <c r="J69" s="263"/>
      <c r="K69" s="107" t="s">
        <v>230</v>
      </c>
      <c r="L69" s="263" t="str">
        <f>IF(TipoRec="Sem Recorte","Não Aplicável",IF(YCGw&gt;=YCGn,YCGw-YCGn,YCGn-YCGw))</f>
        <v>Não Aplicável</v>
      </c>
      <c r="M69" s="263"/>
      <c r="N69" s="262"/>
      <c r="O69" s="217" t="s">
        <v>231</v>
      </c>
      <c r="P69" s="217"/>
      <c r="Q69" s="266" t="str">
        <f>IF(TipoRec="Sem Recorte","Não Aplicável",IF(TipoRec="Flange Superior",(tw*(d-dc-tfi)^3/12+Awn*dw^2+bfi*tfi^3/12+Afi*dfi^2)/10000,(tw*(d-2*dc)^3/12/10000)))</f>
        <v>Não Aplicável</v>
      </c>
      <c r="R69" s="266"/>
      <c r="S69" s="266"/>
      <c r="T69" s="148"/>
      <c r="U69" s="364"/>
      <c r="V69" s="364"/>
      <c r="W69" s="364"/>
      <c r="X69" s="364"/>
      <c r="Y69" s="364"/>
      <c r="Z69" s="365"/>
    </row>
    <row r="70" spans="1:26" ht="18.75" customHeight="1" x14ac:dyDescent="0.25">
      <c r="A70" s="216" t="s">
        <v>232</v>
      </c>
      <c r="B70" s="217"/>
      <c r="C70" s="305" t="str">
        <f>IF(TipoRec="Sem Recorte","Não Aplicável",IF(TipoRec="Flange Superior",bfi*tfi,"Não Aplicável"))</f>
        <v>Não Aplicável</v>
      </c>
      <c r="D70" s="305"/>
      <c r="E70" s="305"/>
      <c r="F70" s="217" t="s">
        <v>233</v>
      </c>
      <c r="G70" s="217"/>
      <c r="H70" s="263" t="str">
        <f>IF(TipoRec="Sem Recorte","Não Aplicável",IF(TipoRec="Flange Superior",tfi/2,"Não Aplicável"))</f>
        <v>Não Aplicável</v>
      </c>
      <c r="I70" s="263"/>
      <c r="J70" s="263"/>
      <c r="K70" s="107" t="s">
        <v>234</v>
      </c>
      <c r="L70" s="263" t="str">
        <f>IF(TipoRec="Sem Recorte","Não Aplicável",IF(TipoRec="Flange Superior",YCGn-YCGfi,"Não Aplicável"))</f>
        <v>Não Aplicável</v>
      </c>
      <c r="M70" s="263"/>
      <c r="N70" s="262"/>
      <c r="O70" s="217" t="s">
        <v>235</v>
      </c>
      <c r="P70" s="217"/>
      <c r="Q70" s="267" t="str">
        <f>IF(TipoRec="Sem Recorte","Não Aplicável",IF(TipoRec="Flange Superior",MIN(Ixn/((d-dc-YCGn)/10),Ixn/(YCGn/10)),Ixn/(YCGn/10)))</f>
        <v>Não Aplicável</v>
      </c>
      <c r="R70" s="262"/>
      <c r="S70" s="262"/>
      <c r="T70" s="148"/>
      <c r="U70" s="595" t="s">
        <v>259</v>
      </c>
      <c r="V70" s="595"/>
      <c r="W70" s="595"/>
      <c r="X70" s="595"/>
      <c r="Y70" s="595"/>
      <c r="Z70" s="596"/>
    </row>
    <row r="71" spans="1:26" ht="18.75" customHeight="1" x14ac:dyDescent="0.25">
      <c r="A71" s="114"/>
      <c r="B71" s="162"/>
      <c r="C71" s="162"/>
      <c r="D71" s="162"/>
      <c r="E71" s="162"/>
      <c r="F71" s="217" t="s">
        <v>236</v>
      </c>
      <c r="G71" s="217"/>
      <c r="H71" s="263" t="str">
        <f>IF(TipoRec="Sem Recorte","Não Aplicável",IF(TipoRec="Flange Superior",(Awn*YCGw+Afi*YCGfi)/(Awn+Afi),YCGw))</f>
        <v>Não Aplicável</v>
      </c>
      <c r="I71" s="263"/>
      <c r="J71" s="263"/>
      <c r="K71" s="162"/>
      <c r="L71" s="162"/>
      <c r="M71" s="162"/>
      <c r="N71" s="274" t="s">
        <v>237</v>
      </c>
      <c r="O71" s="274"/>
      <c r="P71" s="274"/>
      <c r="Q71" s="274"/>
      <c r="R71" s="264" t="str">
        <f>IF(TipoRec="Sem Recorte","Não Aplicável",0.75*Fu*wxn/100)</f>
        <v>Não Aplicável</v>
      </c>
      <c r="S71" s="264"/>
      <c r="T71" s="265"/>
      <c r="U71" s="147" t="s">
        <v>271</v>
      </c>
      <c r="V71" s="603" t="str">
        <f>IF(Nd=0,"N.A.",IF(nlp=1,"N.A.",2*(nlp-1)*dih*TAN(PI()*30/180)+(npl-1)*div))</f>
        <v>N.A.</v>
      </c>
      <c r="W71" s="603"/>
      <c r="X71" s="147" t="s">
        <v>272</v>
      </c>
      <c r="Y71" s="603" t="str">
        <f>IF(Nd=0,"N.A.",IF(nlp=1,"N.A.",MIN(dwt,dp)))</f>
        <v>N.A.</v>
      </c>
      <c r="Z71" s="604"/>
    </row>
    <row r="72" spans="1:26" ht="18.75" customHeight="1" x14ac:dyDescent="0.25">
      <c r="A72" s="306" t="s">
        <v>238</v>
      </c>
      <c r="B72" s="251"/>
      <c r="C72" s="251"/>
      <c r="D72" s="251"/>
      <c r="E72" s="251"/>
      <c r="F72" s="251"/>
      <c r="G72" s="251"/>
      <c r="H72" s="251"/>
      <c r="I72" s="251"/>
      <c r="J72" s="251"/>
      <c r="K72" s="251"/>
      <c r="L72" s="251"/>
      <c r="M72" s="251"/>
      <c r="N72" s="251"/>
      <c r="O72" s="251"/>
      <c r="P72" s="251"/>
      <c r="Q72" s="251"/>
      <c r="R72" s="251"/>
      <c r="S72" s="251"/>
      <c r="T72" s="307"/>
      <c r="U72" s="138" t="s">
        <v>219</v>
      </c>
      <c r="V72" s="215" t="str">
        <f>IF(Nd=0,"N.A.",IF(nlp=1,"N.A.",dpf*tp/100))</f>
        <v>N.A.</v>
      </c>
      <c r="W72" s="215"/>
      <c r="X72" s="136"/>
      <c r="Y72" s="136"/>
      <c r="Z72" s="137"/>
    </row>
    <row r="73" spans="1:26" ht="18.75" customHeight="1" x14ac:dyDescent="0.25">
      <c r="A73" s="164" t="s">
        <v>244</v>
      </c>
      <c r="B73" s="263">
        <f>d-dc</f>
        <v>364</v>
      </c>
      <c r="C73" s="263"/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53" t="s">
        <v>245</v>
      </c>
      <c r="Q73" s="272" t="str">
        <f>IF(TipoRec="Sem Recorte","Não Aplicável",(PI()^2*2.05*10^6/(12*(1-0.3^2)))*(tw/ho)^2*f*k)</f>
        <v>Não Aplicável</v>
      </c>
      <c r="R73" s="272"/>
      <c r="S73" s="272"/>
      <c r="T73" s="273"/>
      <c r="U73" s="381" t="s">
        <v>257</v>
      </c>
      <c r="V73" s="381"/>
      <c r="W73" s="381"/>
      <c r="X73" s="381"/>
      <c r="Y73" s="283" t="str">
        <f>IF(Nd=0,"N.A.",IF(nlp=1,"N.A.",0.9*Fyp*Agpaf))</f>
        <v>N.A.</v>
      </c>
      <c r="Z73" s="382"/>
    </row>
    <row r="74" spans="1:26" ht="18.75" customHeight="1" x14ac:dyDescent="0.25">
      <c r="A74" s="164" t="s">
        <v>176</v>
      </c>
      <c r="B74" s="113">
        <f>IF(rec/d&lt;=1,2*rec/d,1+rec/d)</f>
        <v>0.75187969924812026</v>
      </c>
      <c r="C74" s="153" t="s">
        <v>239</v>
      </c>
      <c r="D74" s="113">
        <f>IF(rec/ho&lt;=1,2.2*(ho/rec)^1.65,2.2*ho/rec)</f>
        <v>9.4992515064339678</v>
      </c>
      <c r="E74" s="162"/>
      <c r="F74" s="162"/>
      <c r="G74" s="162"/>
      <c r="H74" s="162"/>
      <c r="I74" s="162"/>
      <c r="J74" s="162"/>
      <c r="K74" s="162"/>
      <c r="L74" s="162"/>
      <c r="M74" s="162"/>
      <c r="N74" s="274" t="s">
        <v>240</v>
      </c>
      <c r="O74" s="274"/>
      <c r="P74" s="274"/>
      <c r="Q74" s="274"/>
      <c r="R74" s="264" t="str">
        <f>IF(TipoRec="Sem Recorte","Não Aplicável",IF(TipoRec="Flange Superior",0.9*MIN(Fcr,Fy)*wxn/100,"Não Aplicável"))</f>
        <v>Não Aplicável</v>
      </c>
      <c r="S74" s="264"/>
      <c r="T74" s="265"/>
      <c r="U74" s="595" t="s">
        <v>260</v>
      </c>
      <c r="V74" s="595"/>
      <c r="W74" s="595"/>
      <c r="X74" s="595"/>
      <c r="Y74" s="595"/>
      <c r="Z74" s="596"/>
    </row>
    <row r="75" spans="1:26" ht="18.75" customHeight="1" x14ac:dyDescent="0.25">
      <c r="A75" s="306" t="s">
        <v>241</v>
      </c>
      <c r="B75" s="251"/>
      <c r="C75" s="251"/>
      <c r="D75" s="251"/>
      <c r="E75" s="251"/>
      <c r="F75" s="251"/>
      <c r="G75" s="251"/>
      <c r="H75" s="251"/>
      <c r="I75" s="251"/>
      <c r="J75" s="251"/>
      <c r="K75" s="251"/>
      <c r="L75" s="251"/>
      <c r="M75" s="251"/>
      <c r="N75" s="251"/>
      <c r="O75" s="251"/>
      <c r="P75" s="251"/>
      <c r="Q75" s="251"/>
      <c r="R75" s="251"/>
      <c r="S75" s="251"/>
      <c r="T75" s="307"/>
      <c r="U75" s="155" t="s">
        <v>269</v>
      </c>
      <c r="V75" s="281" t="str">
        <f>IF(Nd&lt;=0,"N.A.",IF(nlp=1,Agpa,Agpaf))</f>
        <v>N.A.</v>
      </c>
      <c r="W75" s="281"/>
      <c r="X75" s="155" t="s">
        <v>273</v>
      </c>
      <c r="Y75" s="431" t="str">
        <f>IF(Nd&lt;=0,"N.A.",IF(nlp=1,(dp/10)*(tp/10)^3/12,(dpf/10)*(tp/10)^3/12))</f>
        <v>N.A.</v>
      </c>
      <c r="Z75" s="432"/>
    </row>
    <row r="76" spans="1:26" ht="18.75" customHeight="1" x14ac:dyDescent="0.25">
      <c r="A76" s="304" t="s">
        <v>246</v>
      </c>
      <c r="B76" s="262"/>
      <c r="C76" s="262"/>
      <c r="D76" s="162"/>
      <c r="E76" s="162"/>
      <c r="F76" s="162"/>
      <c r="G76" s="162"/>
      <c r="H76" s="162"/>
      <c r="I76" s="162"/>
      <c r="J76" s="262" t="s">
        <v>247</v>
      </c>
      <c r="K76" s="262"/>
      <c r="L76" s="262"/>
      <c r="M76" s="162"/>
      <c r="N76" s="162"/>
      <c r="O76" s="162"/>
      <c r="P76" s="162"/>
      <c r="Q76" s="162"/>
      <c r="R76" s="162"/>
      <c r="S76" s="162"/>
      <c r="T76" s="148"/>
      <c r="U76" s="158" t="s">
        <v>274</v>
      </c>
      <c r="V76" s="607" t="str">
        <f>IF(Nd&lt;=0,"N.A.",SQRT(Y75/V75))</f>
        <v>N.A.</v>
      </c>
      <c r="W76" s="607"/>
      <c r="X76" s="158" t="s">
        <v>275</v>
      </c>
      <c r="Y76" s="607" t="str">
        <f>IF(Nd&lt;=0,"N.A.",a/10)</f>
        <v>N.A.</v>
      </c>
      <c r="Z76" s="611"/>
    </row>
    <row r="77" spans="1:26" ht="18.75" customHeight="1" x14ac:dyDescent="0.25">
      <c r="A77" s="114"/>
      <c r="B77" s="162"/>
      <c r="C77" s="162"/>
      <c r="D77" s="162"/>
      <c r="E77" s="162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48"/>
      <c r="U77" s="162"/>
      <c r="V77" s="292" t="s">
        <v>276</v>
      </c>
      <c r="W77" s="292"/>
      <c r="X77" s="292"/>
      <c r="Y77" s="608" t="str">
        <f>IF(Nd&lt;=0,"N.A.",1.2*Y76/V76)</f>
        <v>N.A.</v>
      </c>
      <c r="Z77" s="609"/>
    </row>
    <row r="78" spans="1:26" ht="18.75" customHeight="1" x14ac:dyDescent="0.25">
      <c r="A78" s="114"/>
      <c r="B78" s="162"/>
      <c r="C78" s="162"/>
      <c r="D78" s="162"/>
      <c r="E78" s="162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48"/>
      <c r="U78" s="162"/>
      <c r="V78" s="163"/>
      <c r="W78" s="163"/>
      <c r="X78" s="163"/>
      <c r="Y78" s="608" t="str">
        <f>IF(Nd&lt;=0,"N.A.",4.71*SQRT(2040000/Fyp))</f>
        <v>N.A.</v>
      </c>
      <c r="Z78" s="609"/>
    </row>
    <row r="79" spans="1:26" ht="18.75" x14ac:dyDescent="0.25">
      <c r="A79" s="310" t="s">
        <v>248</v>
      </c>
      <c r="B79" s="180"/>
      <c r="C79" s="180"/>
      <c r="D79" s="116">
        <f>3.5-7.5*(dc/d)</f>
        <v>2.8421052631578947</v>
      </c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48"/>
      <c r="U79" s="162"/>
      <c r="V79" s="153" t="s">
        <v>277</v>
      </c>
      <c r="W79" s="578" t="str">
        <f>IF(Nd&lt;=0,"N.A.",PI()^2*2040000/Y77^2)</f>
        <v>N.A.</v>
      </c>
      <c r="X79" s="578"/>
      <c r="Y79" s="578"/>
      <c r="Z79" s="579"/>
    </row>
    <row r="80" spans="1:26" ht="18.75" x14ac:dyDescent="0.25">
      <c r="A80" s="164" t="s">
        <v>245</v>
      </c>
      <c r="B80" s="272" t="str">
        <f>IF(TipoRec="Sem Recorte","Não Aplicável",0.62*PI()*2.05*10^6*(tw^2/(rec*ho))*fd)</f>
        <v>Não Aplicável</v>
      </c>
      <c r="C80" s="272"/>
      <c r="D80" s="272"/>
      <c r="E80" s="162"/>
      <c r="F80" s="162"/>
      <c r="G80" s="162"/>
      <c r="H80" s="162"/>
      <c r="I80" s="162"/>
      <c r="J80" s="115" t="s">
        <v>249</v>
      </c>
      <c r="K80" s="113">
        <f>ho*SQRT(Fy*'Conversão de Unidades'!$E$17)/(10*tw*SQRT(475+280*(ho/rec)^2))</f>
        <v>0.87266106561470302</v>
      </c>
      <c r="L80" s="162"/>
      <c r="M80" s="162"/>
      <c r="N80" s="162"/>
      <c r="O80" s="162"/>
      <c r="P80" s="162"/>
      <c r="Q80" s="162"/>
      <c r="R80" s="162"/>
      <c r="S80" s="153" t="s">
        <v>242</v>
      </c>
      <c r="T80" s="149">
        <f>IF(lambda&lt;=0.7,1,IF(lambda&lt;=1.41,1.34-0.486*lambda,1.3/lambda^2))</f>
        <v>0.91588672211125444</v>
      </c>
      <c r="U80" s="162"/>
      <c r="V80" s="153" t="s">
        <v>245</v>
      </c>
      <c r="W80" s="578" t="str">
        <f>IF(Nd&lt;=0,"N.A.",IF(Y77&lt;=25,Fyp,IF(Y77&lt;=Y78,(0.658^(Fyp/W79))*Fyp,0.877*Fep)))</f>
        <v>N.A.</v>
      </c>
      <c r="X80" s="578"/>
      <c r="Y80" s="578"/>
      <c r="Z80" s="579"/>
    </row>
    <row r="81" spans="1:35" ht="19.5" thickBot="1" x14ac:dyDescent="0.4">
      <c r="A81" s="303" t="s">
        <v>240</v>
      </c>
      <c r="B81" s="271"/>
      <c r="C81" s="271"/>
      <c r="D81" s="271"/>
      <c r="E81" s="268" t="str">
        <f>IF(TipoRec="Sem Recorte","Não Aplicável",IF(TipoRec="Flange Superior","Não Aplicável",IF(dc&gt;0.2*d,"Não Aplicável",0.9*MIN(B80,Fy)*wxn/100)))</f>
        <v>Não Aplicável</v>
      </c>
      <c r="F81" s="268"/>
      <c r="G81" s="268"/>
      <c r="H81" s="117"/>
      <c r="I81" s="117"/>
      <c r="J81" s="288" t="s">
        <v>250</v>
      </c>
      <c r="K81" s="289"/>
      <c r="L81" s="270" t="str">
        <f>IF(TipoRec="Sem Recorte","Não Aplicável",Fy*Q)</f>
        <v>Não Aplicável</v>
      </c>
      <c r="M81" s="270"/>
      <c r="N81" s="271" t="s">
        <v>240</v>
      </c>
      <c r="O81" s="271"/>
      <c r="P81" s="271"/>
      <c r="Q81" s="271"/>
      <c r="R81" s="268" t="str">
        <f>IF(TipoRec="Sem Recorte","Não Aplicável",IF(TipoRec="Flange Superior","Não Aplicável",IF(dc&lt;=0.5*d,"Não Aplicável",0.9*L81*wxn/100)))</f>
        <v>Não Aplicável</v>
      </c>
      <c r="S81" s="268"/>
      <c r="T81" s="269"/>
      <c r="U81" s="592" t="s">
        <v>278</v>
      </c>
      <c r="V81" s="592"/>
      <c r="W81" s="592"/>
      <c r="X81" s="405" t="str">
        <f>IF(Nd&lt;=0,"N.A.",0.9*W80*V75)</f>
        <v>N.A.</v>
      </c>
      <c r="Y81" s="405"/>
      <c r="Z81" s="430"/>
    </row>
    <row r="82" spans="1:35" ht="18.75" customHeight="1" x14ac:dyDescent="0.25">
      <c r="A82" s="228" t="s">
        <v>292</v>
      </c>
      <c r="B82" s="235"/>
      <c r="C82" s="235"/>
      <c r="D82" s="235"/>
      <c r="E82" s="235"/>
      <c r="F82" s="235"/>
      <c r="G82" s="235"/>
      <c r="H82" s="235"/>
      <c r="I82" s="235"/>
      <c r="J82" s="235"/>
      <c r="K82" s="235"/>
      <c r="L82" s="235"/>
      <c r="M82" s="235"/>
      <c r="N82" s="235"/>
      <c r="O82" s="235"/>
      <c r="P82" s="235"/>
      <c r="Q82" s="235"/>
      <c r="R82" s="236"/>
      <c r="S82" s="597" t="s">
        <v>303</v>
      </c>
      <c r="T82" s="584"/>
      <c r="U82" s="584"/>
      <c r="V82" s="584"/>
      <c r="W82" s="584"/>
      <c r="X82" s="584"/>
      <c r="Y82" s="584"/>
      <c r="Z82" s="585"/>
      <c r="AC82"/>
      <c r="AD82"/>
      <c r="AE82"/>
      <c r="AF82"/>
      <c r="AG82"/>
      <c r="AH82"/>
      <c r="AI82"/>
    </row>
    <row r="83" spans="1:35" ht="18.75" customHeight="1" x14ac:dyDescent="0.25">
      <c r="A83" s="204" t="s">
        <v>293</v>
      </c>
      <c r="B83" s="205"/>
      <c r="C83" s="205"/>
      <c r="D83" s="205"/>
      <c r="E83" s="205"/>
      <c r="F83" s="205"/>
      <c r="G83" s="473"/>
      <c r="H83" s="279" t="s">
        <v>295</v>
      </c>
      <c r="I83" s="205"/>
      <c r="J83" s="205"/>
      <c r="K83" s="205"/>
      <c r="L83" s="205"/>
      <c r="M83" s="205"/>
      <c r="N83" s="205"/>
      <c r="O83" s="205"/>
      <c r="P83" s="205"/>
      <c r="Q83" s="205"/>
      <c r="R83" s="206"/>
      <c r="S83" s="165"/>
      <c r="T83" s="166"/>
      <c r="U83" s="166"/>
      <c r="V83" s="166"/>
      <c r="W83" s="166"/>
      <c r="X83" s="166"/>
      <c r="Y83" s="166"/>
      <c r="Z83" s="167"/>
    </row>
    <row r="84" spans="1:35" ht="18.75" customHeight="1" x14ac:dyDescent="0.25">
      <c r="A84" s="151" t="s">
        <v>296</v>
      </c>
      <c r="B84" s="593">
        <f>tp*dp^2/4000</f>
        <v>135.44932587499994</v>
      </c>
      <c r="C84" s="593"/>
      <c r="D84" s="161"/>
      <c r="E84" s="161"/>
      <c r="F84" s="161"/>
      <c r="G84" s="161"/>
      <c r="H84" s="156"/>
      <c r="I84" s="161"/>
      <c r="J84" s="161"/>
      <c r="K84" s="161"/>
      <c r="L84" s="161"/>
      <c r="M84" s="161"/>
      <c r="N84" s="161"/>
      <c r="O84" s="161"/>
      <c r="P84" s="161"/>
      <c r="Q84" s="161"/>
      <c r="R84" s="150"/>
      <c r="S84" s="114"/>
      <c r="T84" s="162"/>
      <c r="U84" s="162"/>
      <c r="V84" s="162"/>
      <c r="W84" s="162"/>
      <c r="X84" s="162"/>
      <c r="Y84" s="162"/>
      <c r="Z84" s="148"/>
    </row>
    <row r="85" spans="1:35" ht="18.75" customHeight="1" x14ac:dyDescent="0.25">
      <c r="A85" s="594" t="s">
        <v>297</v>
      </c>
      <c r="B85" s="381"/>
      <c r="C85" s="381"/>
      <c r="D85" s="381"/>
      <c r="E85" s="599">
        <f>0.9*Fyp*Zplp/100</f>
        <v>3085.4617396168264</v>
      </c>
      <c r="F85" s="599"/>
      <c r="G85" s="599"/>
      <c r="H85" s="157"/>
      <c r="I85" s="162"/>
      <c r="J85" s="162"/>
      <c r="K85" s="162"/>
      <c r="L85" s="162"/>
      <c r="M85" s="162"/>
      <c r="N85" s="162"/>
      <c r="O85" s="162"/>
      <c r="P85" s="162"/>
      <c r="Q85" s="162"/>
      <c r="R85" s="148"/>
      <c r="S85" s="114"/>
      <c r="T85" s="320">
        <f>IF(Config="Configuração Convencional","N.A.",IF(Nd=0,"N.A.",ABS(Nd/Agpa)))</f>
        <v>339.3832874622272</v>
      </c>
      <c r="U85" s="320"/>
      <c r="V85" s="320"/>
      <c r="W85" s="162"/>
      <c r="X85" s="320">
        <f>IF(Config="Configuração Convencional","N.A.",Vd/Agp)</f>
        <v>1266.9590556572418</v>
      </c>
      <c r="Y85" s="320"/>
      <c r="Z85" s="602"/>
    </row>
    <row r="86" spans="1:35" ht="18.75" customHeight="1" x14ac:dyDescent="0.25">
      <c r="A86" s="204" t="s">
        <v>294</v>
      </c>
      <c r="B86" s="205"/>
      <c r="C86" s="205"/>
      <c r="D86" s="205"/>
      <c r="E86" s="205"/>
      <c r="F86" s="205"/>
      <c r="G86" s="473"/>
      <c r="H86" s="157"/>
      <c r="I86" s="162"/>
      <c r="J86" s="162"/>
      <c r="K86" s="162"/>
      <c r="L86" s="162"/>
      <c r="M86" s="162"/>
      <c r="N86" s="162"/>
      <c r="O86" s="162"/>
      <c r="P86" s="162"/>
      <c r="Q86" s="162"/>
      <c r="R86" s="148"/>
      <c r="S86" s="114"/>
      <c r="T86" s="320">
        <f>IF(Config="Configuração Convencional","N.A.",Mdp*100/Zplp)</f>
        <v>1322.0442319901656</v>
      </c>
      <c r="U86" s="320"/>
      <c r="V86" s="320"/>
      <c r="W86" s="162"/>
      <c r="X86" s="162"/>
      <c r="Y86" s="162"/>
      <c r="Z86" s="148"/>
    </row>
    <row r="87" spans="1:35" ht="18.75" customHeight="1" x14ac:dyDescent="0.25">
      <c r="A87" s="151" t="s">
        <v>298</v>
      </c>
      <c r="B87" s="600">
        <v>96.304242874999943</v>
      </c>
      <c r="C87" s="600"/>
      <c r="D87" s="161"/>
      <c r="E87" s="161"/>
      <c r="F87" s="161"/>
      <c r="G87" s="161"/>
      <c r="H87" s="146" t="s">
        <v>249</v>
      </c>
      <c r="I87" s="113">
        <f>dp*SQRT(Fyp*'Conversão de Unidades'!$E$17)/(10*tp*SQRT(475+280*(dp/a)^2))</f>
        <v>0.40740749919758845</v>
      </c>
      <c r="J87" s="162"/>
      <c r="K87" s="162"/>
      <c r="L87" s="162"/>
      <c r="M87" s="162"/>
      <c r="N87" s="162"/>
      <c r="O87" s="162"/>
      <c r="P87" s="162"/>
      <c r="Q87" s="153" t="s">
        <v>242</v>
      </c>
      <c r="R87" s="149">
        <f>IF(lambdap&lt;=0.7,1,IF(lambdap&lt;=1.41,1.34-0.486*lambdap,1.3/lambdap^2))</f>
        <v>1</v>
      </c>
      <c r="S87" s="114"/>
      <c r="T87" s="162"/>
      <c r="U87" s="162"/>
      <c r="V87" s="162"/>
      <c r="W87" s="320">
        <f>IF(Config="Configuração Convencional","N.A.",IF(Nd=0,SQRT(T86^2+3*X85^2),SQRT((T85+T86)^2+3*X85^2)))</f>
        <v>2752.4347673522439</v>
      </c>
      <c r="X87" s="320"/>
      <c r="Y87" s="320"/>
      <c r="Z87" s="148"/>
    </row>
    <row r="88" spans="1:35" ht="18.75" customHeight="1" thickBot="1" x14ac:dyDescent="0.3">
      <c r="A88" s="303" t="s">
        <v>299</v>
      </c>
      <c r="B88" s="271"/>
      <c r="C88" s="271"/>
      <c r="D88" s="271"/>
      <c r="E88" s="268">
        <f>0.75*Fup*Znet/100</f>
        <v>2945.3233846718485</v>
      </c>
      <c r="F88" s="268"/>
      <c r="G88" s="268"/>
      <c r="H88" s="400" t="s">
        <v>250</v>
      </c>
      <c r="I88" s="289"/>
      <c r="J88" s="270">
        <f>Fyp*Qp</f>
        <v>2531.0504867040004</v>
      </c>
      <c r="K88" s="270"/>
      <c r="L88" s="271" t="s">
        <v>240</v>
      </c>
      <c r="M88" s="271"/>
      <c r="N88" s="271"/>
      <c r="O88" s="271"/>
      <c r="P88" s="268">
        <f>0.9*Fcrp*(tp*dp^2/6000)/100</f>
        <v>2056.9744930778847</v>
      </c>
      <c r="Q88" s="268"/>
      <c r="R88" s="269"/>
      <c r="S88" s="601" t="s">
        <v>301</v>
      </c>
      <c r="T88" s="289"/>
      <c r="U88" s="598">
        <f>0.9*Fyp</f>
        <v>2277.9454380336006</v>
      </c>
      <c r="V88" s="598"/>
      <c r="W88" s="598"/>
      <c r="X88" s="168">
        <f>IF(Config="Configuração Convencional","N.A.",W87/U88)</f>
        <v>1.2082970563720958</v>
      </c>
      <c r="Y88" s="196" t="str">
        <f>IF(Config="Configuração Convencional","N.A.",IF(X88&lt;=1,"Ok!","Não Ok!"))</f>
        <v>Não Ok!</v>
      </c>
      <c r="Z88" s="197"/>
    </row>
    <row r="89" spans="1:35" ht="18.75" customHeight="1" x14ac:dyDescent="0.25"/>
    <row r="90" spans="1:35" ht="18.75" customHeight="1" x14ac:dyDescent="0.25"/>
    <row r="91" spans="1:35" ht="18.75" customHeight="1" x14ac:dyDescent="0.25"/>
    <row r="92" spans="1:35" ht="18.75" customHeight="1" x14ac:dyDescent="0.25"/>
    <row r="93" spans="1:35" ht="18.75" customHeight="1" x14ac:dyDescent="0.25"/>
    <row r="94" spans="1:35" ht="18.75" customHeight="1" x14ac:dyDescent="0.25"/>
    <row r="95" spans="1:35" ht="18.75" customHeight="1" x14ac:dyDescent="0.25"/>
    <row r="96" spans="1:35" ht="18.75" customHeight="1" x14ac:dyDescent="0.25"/>
    <row r="97" spans="1:26" ht="18.75" customHeight="1" x14ac:dyDescent="0.25"/>
    <row r="98" spans="1:26" ht="18.75" customHeight="1" x14ac:dyDescent="0.25"/>
    <row r="99" spans="1:26" ht="18.75" customHeight="1" thickBot="1" x14ac:dyDescent="0.3"/>
    <row r="100" spans="1:26" ht="18" thickBot="1" x14ac:dyDescent="0.3">
      <c r="A100" s="376" t="s">
        <v>146</v>
      </c>
      <c r="B100" s="377"/>
      <c r="C100" s="377"/>
      <c r="D100" s="377" t="str">
        <f>Perfil</f>
        <v>W 410 x 38,8</v>
      </c>
      <c r="E100" s="377"/>
      <c r="F100" s="378"/>
      <c r="G100" s="101"/>
      <c r="H100" s="370" t="s">
        <v>152</v>
      </c>
      <c r="I100" s="371"/>
      <c r="J100" s="372"/>
      <c r="K100" s="55" t="s">
        <v>147</v>
      </c>
      <c r="L100" s="55" t="s">
        <v>148</v>
      </c>
      <c r="M100" s="56" t="s">
        <v>149</v>
      </c>
      <c r="N100" s="56" t="s">
        <v>150</v>
      </c>
      <c r="O100" s="56" t="s">
        <v>254</v>
      </c>
    </row>
    <row r="101" spans="1:26" ht="16.5" thickBot="1" x14ac:dyDescent="0.3">
      <c r="A101" s="379" t="s">
        <v>42</v>
      </c>
      <c r="B101" s="380"/>
      <c r="C101" s="380"/>
      <c r="D101" s="425">
        <v>399</v>
      </c>
      <c r="E101" s="425"/>
      <c r="F101" s="426"/>
      <c r="G101" s="101"/>
      <c r="H101" s="373"/>
      <c r="I101" s="374"/>
      <c r="J101" s="375"/>
      <c r="K101" s="57" t="s">
        <v>151</v>
      </c>
      <c r="L101" s="57" t="s">
        <v>151</v>
      </c>
      <c r="M101" s="58" t="s">
        <v>151</v>
      </c>
      <c r="N101" s="58" t="s">
        <v>151</v>
      </c>
      <c r="O101" s="58" t="s">
        <v>255</v>
      </c>
      <c r="Q101" s="89" t="s">
        <v>262</v>
      </c>
      <c r="R101" s="90">
        <f>d-tfs-tfi</f>
        <v>381.4</v>
      </c>
    </row>
    <row r="102" spans="1:26" ht="19.5" thickBot="1" x14ac:dyDescent="0.3">
      <c r="A102" s="366" t="s">
        <v>43</v>
      </c>
      <c r="B102" s="367"/>
      <c r="C102" s="367"/>
      <c r="D102" s="368">
        <v>140</v>
      </c>
      <c r="E102" s="368"/>
      <c r="F102" s="369"/>
      <c r="G102" s="92"/>
      <c r="H102" s="427" t="s">
        <v>48</v>
      </c>
      <c r="I102" s="428"/>
      <c r="J102" s="429"/>
      <c r="K102" s="5">
        <v>500</v>
      </c>
      <c r="L102" s="5">
        <v>250</v>
      </c>
      <c r="M102" s="6">
        <v>12.5</v>
      </c>
      <c r="N102" s="6">
        <v>6.35</v>
      </c>
      <c r="O102" s="6"/>
      <c r="Q102" s="89" t="s">
        <v>263</v>
      </c>
      <c r="R102" s="90">
        <f>bfs/2</f>
        <v>70</v>
      </c>
    </row>
    <row r="103" spans="1:26" ht="18.75" x14ac:dyDescent="0.25">
      <c r="A103" s="366" t="s">
        <v>44</v>
      </c>
      <c r="B103" s="367"/>
      <c r="C103" s="367"/>
      <c r="D103" s="454">
        <v>8.8000000000000007</v>
      </c>
      <c r="E103" s="454"/>
      <c r="F103" s="455"/>
      <c r="H103" s="419" t="s">
        <v>49</v>
      </c>
      <c r="I103" s="420"/>
      <c r="J103" s="421"/>
      <c r="K103" s="7">
        <v>148</v>
      </c>
      <c r="L103" s="7">
        <v>100</v>
      </c>
      <c r="M103" s="8">
        <v>4.9000000000000004</v>
      </c>
      <c r="N103" s="8">
        <v>4.3</v>
      </c>
      <c r="O103" s="119">
        <v>16.602599999999999</v>
      </c>
      <c r="Q103" s="89" t="s">
        <v>264</v>
      </c>
      <c r="R103" s="90">
        <f>tfs</f>
        <v>8.8000000000000007</v>
      </c>
    </row>
    <row r="104" spans="1:26" ht="18.75" x14ac:dyDescent="0.25">
      <c r="A104" s="366" t="s">
        <v>45</v>
      </c>
      <c r="B104" s="367"/>
      <c r="C104" s="367"/>
      <c r="D104" s="368">
        <v>140</v>
      </c>
      <c r="E104" s="368"/>
      <c r="F104" s="369"/>
      <c r="H104" s="412" t="s">
        <v>50</v>
      </c>
      <c r="I104" s="413"/>
      <c r="J104" s="414"/>
      <c r="K104" s="9">
        <v>150</v>
      </c>
      <c r="L104" s="9">
        <v>100</v>
      </c>
      <c r="M104" s="10">
        <v>5.5</v>
      </c>
      <c r="N104" s="10">
        <v>4.3</v>
      </c>
      <c r="O104" s="120">
        <v>18.2</v>
      </c>
      <c r="Q104" s="89" t="s">
        <v>265</v>
      </c>
      <c r="R104" s="90">
        <f>bfi/2</f>
        <v>70</v>
      </c>
      <c r="T104" s="89"/>
      <c r="U104" s="90"/>
    </row>
    <row r="105" spans="1:26" ht="18.75" x14ac:dyDescent="0.25">
      <c r="A105" s="366" t="s">
        <v>46</v>
      </c>
      <c r="B105" s="367"/>
      <c r="C105" s="367"/>
      <c r="D105" s="454">
        <v>8.8000000000000007</v>
      </c>
      <c r="E105" s="454"/>
      <c r="F105" s="455"/>
      <c r="H105" s="412" t="s">
        <v>51</v>
      </c>
      <c r="I105" s="413"/>
      <c r="J105" s="414"/>
      <c r="K105" s="9">
        <v>153</v>
      </c>
      <c r="L105" s="9">
        <v>102</v>
      </c>
      <c r="M105" s="10">
        <v>7.1</v>
      </c>
      <c r="N105" s="10">
        <v>5.8</v>
      </c>
      <c r="O105" s="120">
        <v>23.394399999999997</v>
      </c>
      <c r="Q105" s="89" t="s">
        <v>266</v>
      </c>
      <c r="R105" s="90">
        <f>tfi</f>
        <v>8.8000000000000007</v>
      </c>
      <c r="T105" s="89"/>
      <c r="U105" s="90"/>
      <c r="W105" s="101"/>
      <c r="X105" s="101"/>
      <c r="Y105" s="101"/>
      <c r="Z105" s="101"/>
    </row>
    <row r="106" spans="1:26" ht="18.75" x14ac:dyDescent="0.25">
      <c r="A106" s="366" t="s">
        <v>47</v>
      </c>
      <c r="B106" s="367"/>
      <c r="C106" s="367"/>
      <c r="D106" s="454">
        <v>6.4</v>
      </c>
      <c r="E106" s="454"/>
      <c r="F106" s="455"/>
      <c r="H106" s="422" t="s">
        <v>52</v>
      </c>
      <c r="I106" s="423"/>
      <c r="J106" s="424"/>
      <c r="K106" s="11">
        <v>152</v>
      </c>
      <c r="L106" s="12">
        <v>152</v>
      </c>
      <c r="M106" s="13">
        <v>6.6</v>
      </c>
      <c r="N106" s="13">
        <v>5.8</v>
      </c>
      <c r="O106" s="121">
        <v>28.974399999999996</v>
      </c>
      <c r="Q106" s="89" t="s">
        <v>267</v>
      </c>
      <c r="R106" s="90">
        <f>tw/2</f>
        <v>3.2</v>
      </c>
      <c r="T106" s="89"/>
      <c r="U106" s="90"/>
      <c r="W106" s="101"/>
      <c r="X106" s="101"/>
      <c r="Y106" s="101"/>
      <c r="Z106" s="101"/>
    </row>
    <row r="107" spans="1:26" ht="18" thickBot="1" x14ac:dyDescent="0.3">
      <c r="A107" s="485" t="s">
        <v>256</v>
      </c>
      <c r="B107" s="486"/>
      <c r="C107" s="486"/>
      <c r="D107" s="474">
        <v>50.288000000000004</v>
      </c>
      <c r="E107" s="474"/>
      <c r="F107" s="475"/>
      <c r="H107" s="412" t="s">
        <v>53</v>
      </c>
      <c r="I107" s="413"/>
      <c r="J107" s="414"/>
      <c r="K107" s="14">
        <v>160</v>
      </c>
      <c r="L107" s="9">
        <v>102</v>
      </c>
      <c r="M107" s="10">
        <v>10.3</v>
      </c>
      <c r="N107" s="10">
        <v>6.6</v>
      </c>
      <c r="O107" s="120">
        <v>31.5</v>
      </c>
      <c r="Q107" s="89" t="s">
        <v>269</v>
      </c>
      <c r="R107" s="90">
        <f>R101*R106+R102*R103+R104*R105</f>
        <v>2452.48</v>
      </c>
      <c r="W107" s="101"/>
      <c r="X107" s="101"/>
      <c r="Y107" s="101"/>
      <c r="Z107" s="101"/>
    </row>
    <row r="108" spans="1:26" ht="18.75" x14ac:dyDescent="0.25">
      <c r="H108" s="422" t="s">
        <v>54</v>
      </c>
      <c r="I108" s="423"/>
      <c r="J108" s="424"/>
      <c r="K108" s="12">
        <v>157</v>
      </c>
      <c r="L108" s="12">
        <v>153</v>
      </c>
      <c r="M108" s="13">
        <v>9.3000000000000007</v>
      </c>
      <c r="N108" s="13">
        <v>6.6</v>
      </c>
      <c r="O108" s="121">
        <v>38.452399999999997</v>
      </c>
      <c r="Q108" s="89" t="s">
        <v>268</v>
      </c>
      <c r="R108" s="90">
        <f>(R101*R106^2/2+R103*R102^2/2+R105*R104^2/2)/R107</f>
        <v>18.378444676409185</v>
      </c>
      <c r="W108" s="101"/>
      <c r="X108" s="101"/>
      <c r="Y108" s="101"/>
      <c r="Z108" s="101"/>
    </row>
    <row r="109" spans="1:26" ht="16.5" thickBot="1" x14ac:dyDescent="0.3">
      <c r="H109" s="476" t="s">
        <v>55</v>
      </c>
      <c r="I109" s="477"/>
      <c r="J109" s="478"/>
      <c r="K109" s="15">
        <v>162</v>
      </c>
      <c r="L109" s="15">
        <v>154</v>
      </c>
      <c r="M109" s="16">
        <v>11.6</v>
      </c>
      <c r="N109" s="16">
        <v>8.1</v>
      </c>
      <c r="O109" s="122">
        <v>47.830799999999996</v>
      </c>
      <c r="W109" s="101"/>
      <c r="X109" s="101"/>
      <c r="Y109" s="101"/>
      <c r="Z109" s="101"/>
    </row>
    <row r="110" spans="1:26" x14ac:dyDescent="0.25">
      <c r="H110" s="479" t="s">
        <v>56</v>
      </c>
      <c r="I110" s="480"/>
      <c r="J110" s="481"/>
      <c r="K110" s="17">
        <v>200</v>
      </c>
      <c r="L110" s="17">
        <v>100</v>
      </c>
      <c r="M110" s="18">
        <v>5.2</v>
      </c>
      <c r="N110" s="18">
        <v>4.3</v>
      </c>
      <c r="O110" s="123">
        <v>19.412800000000001</v>
      </c>
      <c r="W110" s="101"/>
      <c r="X110" s="101"/>
      <c r="Y110" s="101"/>
      <c r="Z110" s="101"/>
    </row>
    <row r="111" spans="1:26" x14ac:dyDescent="0.25">
      <c r="H111" s="446" t="s">
        <v>57</v>
      </c>
      <c r="I111" s="447"/>
      <c r="J111" s="448"/>
      <c r="K111" s="19">
        <v>203</v>
      </c>
      <c r="L111" s="19">
        <v>102</v>
      </c>
      <c r="M111" s="20">
        <v>6.5</v>
      </c>
      <c r="N111" s="20">
        <v>5.8</v>
      </c>
      <c r="O111" s="124">
        <v>25.14</v>
      </c>
      <c r="W111" s="101"/>
      <c r="X111" s="101"/>
      <c r="Y111" s="101"/>
      <c r="Z111" s="101"/>
    </row>
    <row r="112" spans="1:26" x14ac:dyDescent="0.25">
      <c r="H112" s="446" t="s">
        <v>58</v>
      </c>
      <c r="I112" s="447"/>
      <c r="J112" s="448"/>
      <c r="K112" s="19">
        <v>206</v>
      </c>
      <c r="L112" s="19">
        <v>102</v>
      </c>
      <c r="M112" s="20">
        <v>8</v>
      </c>
      <c r="N112" s="20">
        <v>6.2</v>
      </c>
      <c r="O112" s="124">
        <v>28.96</v>
      </c>
      <c r="W112" s="101"/>
      <c r="X112" s="101"/>
      <c r="Y112" s="101"/>
      <c r="Z112" s="101"/>
    </row>
    <row r="113" spans="8:26" x14ac:dyDescent="0.25">
      <c r="H113" s="446" t="s">
        <v>59</v>
      </c>
      <c r="I113" s="447"/>
      <c r="J113" s="448"/>
      <c r="K113" s="19">
        <v>207</v>
      </c>
      <c r="L113" s="19">
        <v>133</v>
      </c>
      <c r="M113" s="20">
        <v>8.4</v>
      </c>
      <c r="N113" s="20">
        <v>5.8</v>
      </c>
      <c r="O113" s="124">
        <v>34.235600000000005</v>
      </c>
      <c r="W113" s="101"/>
      <c r="X113" s="101"/>
      <c r="Y113" s="101"/>
      <c r="Z113" s="101"/>
    </row>
    <row r="114" spans="8:26" x14ac:dyDescent="0.25">
      <c r="H114" s="446" t="s">
        <v>60</v>
      </c>
      <c r="I114" s="447"/>
      <c r="J114" s="448"/>
      <c r="K114" s="19">
        <v>210</v>
      </c>
      <c r="L114" s="19">
        <v>134</v>
      </c>
      <c r="M114" s="20">
        <v>10.199999999999999</v>
      </c>
      <c r="N114" s="20">
        <v>6.4</v>
      </c>
      <c r="O114" s="124">
        <v>40.330400000000004</v>
      </c>
      <c r="W114" s="101"/>
      <c r="X114" s="101"/>
      <c r="Y114" s="101"/>
      <c r="Z114" s="101"/>
    </row>
    <row r="115" spans="8:26" x14ac:dyDescent="0.25">
      <c r="H115" s="422" t="s">
        <v>61</v>
      </c>
      <c r="I115" s="423"/>
      <c r="J115" s="424"/>
      <c r="K115" s="12">
        <v>201</v>
      </c>
      <c r="L115" s="12">
        <v>165</v>
      </c>
      <c r="M115" s="13">
        <v>10.199999999999999</v>
      </c>
      <c r="N115" s="13">
        <v>6.2</v>
      </c>
      <c r="O115" s="121">
        <v>45.7</v>
      </c>
      <c r="W115" s="101"/>
      <c r="X115" s="101"/>
      <c r="Y115" s="101"/>
      <c r="Z115" s="101"/>
    </row>
    <row r="116" spans="8:26" x14ac:dyDescent="0.25">
      <c r="H116" s="422" t="s">
        <v>62</v>
      </c>
      <c r="I116" s="423"/>
      <c r="J116" s="424"/>
      <c r="K116" s="12">
        <v>205</v>
      </c>
      <c r="L116" s="12">
        <v>166</v>
      </c>
      <c r="M116" s="13">
        <v>11.8</v>
      </c>
      <c r="N116" s="13">
        <v>7.2</v>
      </c>
      <c r="O116" s="121">
        <v>53.5</v>
      </c>
      <c r="W116" s="101"/>
      <c r="X116" s="101"/>
      <c r="Y116" s="101"/>
      <c r="Z116" s="101"/>
    </row>
    <row r="117" spans="8:26" x14ac:dyDescent="0.25">
      <c r="H117" s="422" t="s">
        <v>63</v>
      </c>
      <c r="I117" s="423"/>
      <c r="J117" s="424"/>
      <c r="K117" s="12">
        <v>203</v>
      </c>
      <c r="L117" s="12">
        <v>203</v>
      </c>
      <c r="M117" s="13">
        <v>11</v>
      </c>
      <c r="N117" s="13">
        <v>7.2</v>
      </c>
      <c r="O117" s="121">
        <v>58.552000000000007</v>
      </c>
      <c r="W117" s="101"/>
      <c r="X117" s="101"/>
      <c r="Y117" s="101"/>
      <c r="Z117" s="101"/>
    </row>
    <row r="118" spans="8:26" x14ac:dyDescent="0.25">
      <c r="H118" s="422" t="s">
        <v>64</v>
      </c>
      <c r="I118" s="423"/>
      <c r="J118" s="424"/>
      <c r="K118" s="12">
        <v>206</v>
      </c>
      <c r="L118" s="12">
        <v>204</v>
      </c>
      <c r="M118" s="13">
        <v>12.6</v>
      </c>
      <c r="N118" s="13">
        <v>7.9</v>
      </c>
      <c r="O118" s="121">
        <v>66.900000000000006</v>
      </c>
      <c r="W118" s="101"/>
      <c r="X118" s="101"/>
      <c r="Y118" s="101"/>
      <c r="Z118" s="101"/>
    </row>
    <row r="119" spans="8:26" x14ac:dyDescent="0.25">
      <c r="H119" s="422" t="s">
        <v>65</v>
      </c>
      <c r="I119" s="423"/>
      <c r="J119" s="424"/>
      <c r="K119" s="12">
        <v>204</v>
      </c>
      <c r="L119" s="12">
        <v>207</v>
      </c>
      <c r="M119" s="13">
        <v>11.3</v>
      </c>
      <c r="N119" s="13">
        <v>11.3</v>
      </c>
      <c r="O119" s="121">
        <v>68.140200000000007</v>
      </c>
      <c r="W119" s="101"/>
      <c r="X119" s="101"/>
      <c r="Y119" s="101"/>
      <c r="Z119" s="101"/>
    </row>
    <row r="120" spans="8:26" x14ac:dyDescent="0.25">
      <c r="H120" s="422" t="s">
        <v>66</v>
      </c>
      <c r="I120" s="423"/>
      <c r="J120" s="424"/>
      <c r="K120" s="12">
        <v>210</v>
      </c>
      <c r="L120" s="12">
        <v>205</v>
      </c>
      <c r="M120" s="13">
        <v>14.2</v>
      </c>
      <c r="N120" s="13">
        <v>9.1</v>
      </c>
      <c r="O120" s="121">
        <v>76</v>
      </c>
      <c r="W120" s="101"/>
      <c r="X120" s="101"/>
      <c r="Y120" s="101"/>
      <c r="Z120" s="101"/>
    </row>
    <row r="121" spans="8:26" x14ac:dyDescent="0.25">
      <c r="H121" s="422" t="s">
        <v>67</v>
      </c>
      <c r="I121" s="423"/>
      <c r="J121" s="424"/>
      <c r="K121" s="12">
        <v>216</v>
      </c>
      <c r="L121" s="12">
        <v>206</v>
      </c>
      <c r="M121" s="13">
        <v>17.399999999999999</v>
      </c>
      <c r="N121" s="13">
        <v>10.199999999999999</v>
      </c>
      <c r="O121" s="121">
        <v>91</v>
      </c>
      <c r="W121" s="101"/>
      <c r="X121" s="101"/>
      <c r="Y121" s="101"/>
      <c r="Z121" s="101"/>
    </row>
    <row r="122" spans="8:26" ht="16.5" thickBot="1" x14ac:dyDescent="0.3">
      <c r="H122" s="476" t="s">
        <v>68</v>
      </c>
      <c r="I122" s="477"/>
      <c r="J122" s="478"/>
      <c r="K122" s="15">
        <v>222</v>
      </c>
      <c r="L122" s="15">
        <v>209</v>
      </c>
      <c r="M122" s="16">
        <v>20.6</v>
      </c>
      <c r="N122" s="16">
        <v>13</v>
      </c>
      <c r="O122" s="122">
        <v>110.9</v>
      </c>
      <c r="W122" s="101"/>
      <c r="X122" s="101"/>
      <c r="Y122" s="101"/>
      <c r="Z122" s="101"/>
    </row>
    <row r="123" spans="8:26" x14ac:dyDescent="0.25">
      <c r="H123" s="419" t="s">
        <v>69</v>
      </c>
      <c r="I123" s="420"/>
      <c r="J123" s="421"/>
      <c r="K123" s="7">
        <v>251</v>
      </c>
      <c r="L123" s="7">
        <v>101</v>
      </c>
      <c r="M123" s="8">
        <v>5.3</v>
      </c>
      <c r="N123" s="8">
        <v>4.8</v>
      </c>
      <c r="O123" s="119">
        <v>23.1052</v>
      </c>
      <c r="W123" s="101"/>
      <c r="X123" s="101"/>
      <c r="Y123" s="101"/>
      <c r="Z123" s="101"/>
    </row>
    <row r="124" spans="8:26" x14ac:dyDescent="0.25">
      <c r="H124" s="412" t="s">
        <v>70</v>
      </c>
      <c r="I124" s="413"/>
      <c r="J124" s="414"/>
      <c r="K124" s="9">
        <v>254</v>
      </c>
      <c r="L124" s="9">
        <v>102</v>
      </c>
      <c r="M124" s="10">
        <v>6.9</v>
      </c>
      <c r="N124" s="10">
        <v>5.8</v>
      </c>
      <c r="O124" s="120">
        <v>28.867599999999999</v>
      </c>
      <c r="W124" s="101"/>
      <c r="X124" s="101"/>
      <c r="Y124" s="101"/>
      <c r="Z124" s="101"/>
    </row>
    <row r="125" spans="8:26" x14ac:dyDescent="0.25">
      <c r="H125" s="412" t="s">
        <v>71</v>
      </c>
      <c r="I125" s="413"/>
      <c r="J125" s="414"/>
      <c r="K125" s="9">
        <v>257</v>
      </c>
      <c r="L125" s="9">
        <v>102</v>
      </c>
      <c r="M125" s="10">
        <v>8.4</v>
      </c>
      <c r="N125" s="10">
        <v>6.1</v>
      </c>
      <c r="O125" s="120">
        <v>32.648199999999996</v>
      </c>
      <c r="W125" s="101"/>
      <c r="X125" s="101"/>
      <c r="Y125" s="101"/>
      <c r="Z125" s="101"/>
    </row>
    <row r="126" spans="8:26" x14ac:dyDescent="0.25">
      <c r="H126" s="412" t="s">
        <v>72</v>
      </c>
      <c r="I126" s="413"/>
      <c r="J126" s="414"/>
      <c r="K126" s="9">
        <v>260</v>
      </c>
      <c r="L126" s="9">
        <v>102</v>
      </c>
      <c r="M126" s="10">
        <v>10</v>
      </c>
      <c r="N126" s="10">
        <v>6.4</v>
      </c>
      <c r="O126" s="120">
        <v>36.619999999999997</v>
      </c>
      <c r="W126" s="101"/>
      <c r="X126" s="101"/>
      <c r="Y126" s="101"/>
      <c r="Z126" s="101"/>
    </row>
    <row r="127" spans="8:26" x14ac:dyDescent="0.25">
      <c r="H127" s="412" t="s">
        <v>73</v>
      </c>
      <c r="I127" s="413"/>
      <c r="J127" s="414"/>
      <c r="K127" s="9">
        <v>258</v>
      </c>
      <c r="L127" s="9">
        <v>146</v>
      </c>
      <c r="M127" s="10">
        <v>9.1</v>
      </c>
      <c r="N127" s="10">
        <v>6.1</v>
      </c>
      <c r="O127" s="120">
        <v>42.059799999999996</v>
      </c>
      <c r="W127" s="101"/>
      <c r="X127" s="101"/>
      <c r="Y127" s="101"/>
      <c r="Z127" s="101"/>
    </row>
    <row r="128" spans="8:26" x14ac:dyDescent="0.25">
      <c r="H128" s="412" t="s">
        <v>74</v>
      </c>
      <c r="I128" s="413"/>
      <c r="J128" s="414"/>
      <c r="K128" s="9">
        <v>262</v>
      </c>
      <c r="L128" s="9">
        <v>147</v>
      </c>
      <c r="M128" s="10">
        <v>11.2</v>
      </c>
      <c r="N128" s="10">
        <v>6.6</v>
      </c>
      <c r="O128" s="120">
        <v>49.601599999999998</v>
      </c>
      <c r="W128" s="101"/>
      <c r="X128" s="101"/>
      <c r="Y128" s="101"/>
      <c r="Z128" s="101"/>
    </row>
    <row r="129" spans="8:26" x14ac:dyDescent="0.25">
      <c r="H129" s="412" t="s">
        <v>75</v>
      </c>
      <c r="I129" s="413"/>
      <c r="J129" s="414"/>
      <c r="K129" s="9">
        <v>266</v>
      </c>
      <c r="L129" s="9">
        <v>148</v>
      </c>
      <c r="M129" s="10">
        <v>13</v>
      </c>
      <c r="N129" s="10">
        <v>7.6</v>
      </c>
      <c r="O129" s="120">
        <v>57.58</v>
      </c>
      <c r="W129" s="101"/>
      <c r="X129" s="101"/>
      <c r="Y129" s="101"/>
      <c r="Z129" s="101"/>
    </row>
    <row r="130" spans="8:26" x14ac:dyDescent="0.25">
      <c r="H130" s="487" t="s">
        <v>76</v>
      </c>
      <c r="I130" s="488"/>
      <c r="J130" s="489"/>
      <c r="K130" s="12">
        <v>246</v>
      </c>
      <c r="L130" s="12">
        <v>256</v>
      </c>
      <c r="M130" s="13">
        <v>10.7</v>
      </c>
      <c r="N130" s="13">
        <v>10.5</v>
      </c>
      <c r="O130" s="121">
        <v>79.605399999999989</v>
      </c>
      <c r="W130" s="101"/>
      <c r="X130" s="101"/>
      <c r="Y130" s="101"/>
      <c r="Z130" s="101"/>
    </row>
    <row r="131" spans="8:26" x14ac:dyDescent="0.25">
      <c r="H131" s="487" t="s">
        <v>77</v>
      </c>
      <c r="I131" s="488"/>
      <c r="J131" s="489"/>
      <c r="K131" s="12">
        <v>253</v>
      </c>
      <c r="L131" s="12">
        <v>254</v>
      </c>
      <c r="M131" s="13">
        <v>14.2</v>
      </c>
      <c r="N131" s="13">
        <v>8.6</v>
      </c>
      <c r="O131" s="121">
        <v>92.69</v>
      </c>
      <c r="W131" s="101"/>
      <c r="X131" s="101"/>
      <c r="Y131" s="101"/>
      <c r="Z131" s="101"/>
    </row>
    <row r="132" spans="8:26" x14ac:dyDescent="0.25">
      <c r="H132" s="490" t="s">
        <v>78</v>
      </c>
      <c r="I132" s="491"/>
      <c r="J132" s="492"/>
      <c r="K132" s="12">
        <v>256</v>
      </c>
      <c r="L132" s="11">
        <v>255</v>
      </c>
      <c r="M132" s="21">
        <v>15.6</v>
      </c>
      <c r="N132" s="21">
        <v>9.4</v>
      </c>
      <c r="O132" s="125">
        <v>101.92960000000001</v>
      </c>
      <c r="W132" s="101"/>
      <c r="X132" s="101"/>
      <c r="Y132" s="101"/>
      <c r="Z132" s="101"/>
    </row>
    <row r="133" spans="8:26" x14ac:dyDescent="0.25">
      <c r="H133" s="490" t="s">
        <v>79</v>
      </c>
      <c r="I133" s="491"/>
      <c r="J133" s="492"/>
      <c r="K133" s="11">
        <v>254</v>
      </c>
      <c r="L133" s="11">
        <v>260</v>
      </c>
      <c r="M133" s="21">
        <v>14.4</v>
      </c>
      <c r="N133" s="21">
        <v>14.4</v>
      </c>
      <c r="O133" s="125">
        <v>108.5</v>
      </c>
      <c r="W133" s="101"/>
      <c r="X133" s="101"/>
      <c r="Y133" s="101"/>
      <c r="Z133" s="101"/>
    </row>
    <row r="134" spans="8:26" x14ac:dyDescent="0.25">
      <c r="H134" s="487" t="s">
        <v>80</v>
      </c>
      <c r="I134" s="488"/>
      <c r="J134" s="489"/>
      <c r="K134" s="12">
        <v>260</v>
      </c>
      <c r="L134" s="12">
        <v>256</v>
      </c>
      <c r="M134" s="13">
        <v>17.3</v>
      </c>
      <c r="N134" s="13">
        <v>10.7</v>
      </c>
      <c r="O134" s="121">
        <v>113.93220000000001</v>
      </c>
      <c r="W134" s="101"/>
      <c r="X134" s="101"/>
      <c r="Y134" s="101"/>
      <c r="Z134" s="101"/>
    </row>
    <row r="135" spans="8:26" x14ac:dyDescent="0.25">
      <c r="H135" s="487" t="s">
        <v>81</v>
      </c>
      <c r="I135" s="488"/>
      <c r="J135" s="489"/>
      <c r="K135" s="12">
        <v>264</v>
      </c>
      <c r="L135" s="12">
        <v>257</v>
      </c>
      <c r="M135" s="13">
        <v>19.600000000000001</v>
      </c>
      <c r="N135" s="13">
        <v>11.9</v>
      </c>
      <c r="O135" s="121">
        <v>128.69999999999999</v>
      </c>
      <c r="W135" s="101"/>
      <c r="X135" s="101"/>
      <c r="Y135" s="101"/>
      <c r="Z135" s="101"/>
    </row>
    <row r="136" spans="8:26" ht="16.5" thickBot="1" x14ac:dyDescent="0.3">
      <c r="H136" s="499" t="s">
        <v>82</v>
      </c>
      <c r="I136" s="500"/>
      <c r="J136" s="501"/>
      <c r="K136" s="15">
        <v>269</v>
      </c>
      <c r="L136" s="15">
        <v>259</v>
      </c>
      <c r="M136" s="16">
        <v>22.1</v>
      </c>
      <c r="N136" s="16">
        <v>13.5</v>
      </c>
      <c r="O136" s="122">
        <v>146.1</v>
      </c>
      <c r="W136" s="101"/>
      <c r="X136" s="101"/>
      <c r="Y136" s="101"/>
      <c r="Z136" s="101"/>
    </row>
    <row r="137" spans="8:26" x14ac:dyDescent="0.25">
      <c r="H137" s="479" t="s">
        <v>41</v>
      </c>
      <c r="I137" s="480"/>
      <c r="J137" s="481"/>
      <c r="K137" s="17">
        <v>303</v>
      </c>
      <c r="L137" s="17">
        <v>101</v>
      </c>
      <c r="M137" s="18">
        <v>5.7</v>
      </c>
      <c r="N137" s="18">
        <v>5.0999999999999996</v>
      </c>
      <c r="O137" s="123">
        <v>27.245600000000003</v>
      </c>
      <c r="W137" s="101"/>
      <c r="X137" s="101"/>
      <c r="Y137" s="101"/>
      <c r="Z137" s="101"/>
    </row>
    <row r="138" spans="8:26" x14ac:dyDescent="0.25">
      <c r="H138" s="446" t="s">
        <v>83</v>
      </c>
      <c r="I138" s="447"/>
      <c r="J138" s="448"/>
      <c r="K138" s="19">
        <v>305</v>
      </c>
      <c r="L138" s="19">
        <v>101</v>
      </c>
      <c r="M138" s="20">
        <v>6.7</v>
      </c>
      <c r="N138" s="20">
        <v>5.6</v>
      </c>
      <c r="O138" s="124">
        <v>30.723599999999998</v>
      </c>
      <c r="W138" s="101"/>
      <c r="X138" s="101"/>
      <c r="Y138" s="101"/>
      <c r="Z138" s="101"/>
    </row>
    <row r="139" spans="8:26" x14ac:dyDescent="0.25">
      <c r="H139" s="446" t="s">
        <v>84</v>
      </c>
      <c r="I139" s="447"/>
      <c r="J139" s="448"/>
      <c r="K139" s="19">
        <v>309</v>
      </c>
      <c r="L139" s="19">
        <v>102</v>
      </c>
      <c r="M139" s="20">
        <v>8.9</v>
      </c>
      <c r="N139" s="20">
        <v>6</v>
      </c>
      <c r="O139" s="124">
        <v>36.488</v>
      </c>
      <c r="W139" s="101"/>
      <c r="X139" s="101"/>
      <c r="Y139" s="101"/>
      <c r="Z139" s="101"/>
    </row>
    <row r="140" spans="8:26" x14ac:dyDescent="0.25">
      <c r="H140" s="446" t="s">
        <v>85</v>
      </c>
      <c r="I140" s="447"/>
      <c r="J140" s="448"/>
      <c r="K140" s="19">
        <v>313</v>
      </c>
      <c r="L140" s="19">
        <v>102</v>
      </c>
      <c r="M140" s="20">
        <v>10.8</v>
      </c>
      <c r="N140" s="20">
        <v>6.6</v>
      </c>
      <c r="O140" s="124">
        <v>42.124399999999994</v>
      </c>
      <c r="W140" s="101"/>
      <c r="X140" s="101"/>
      <c r="Y140" s="101"/>
      <c r="Z140" s="101"/>
    </row>
    <row r="141" spans="8:26" x14ac:dyDescent="0.25">
      <c r="H141" s="446" t="s">
        <v>86</v>
      </c>
      <c r="I141" s="447"/>
      <c r="J141" s="448"/>
      <c r="K141" s="19">
        <v>310</v>
      </c>
      <c r="L141" s="19">
        <v>165</v>
      </c>
      <c r="M141" s="20">
        <v>9.6999999999999993</v>
      </c>
      <c r="N141" s="20">
        <v>5.8</v>
      </c>
      <c r="O141" s="124">
        <v>49.724799999999995</v>
      </c>
      <c r="W141" s="101"/>
      <c r="X141" s="101"/>
      <c r="Y141" s="101"/>
      <c r="Z141" s="101"/>
    </row>
    <row r="142" spans="8:26" x14ac:dyDescent="0.25">
      <c r="H142" s="446" t="s">
        <v>87</v>
      </c>
      <c r="I142" s="447"/>
      <c r="J142" s="448"/>
      <c r="K142" s="19">
        <v>313</v>
      </c>
      <c r="L142" s="19">
        <v>166</v>
      </c>
      <c r="M142" s="20">
        <v>11.2</v>
      </c>
      <c r="N142" s="20">
        <v>6.6</v>
      </c>
      <c r="O142" s="124">
        <v>57.223599999999998</v>
      </c>
      <c r="W142" s="101"/>
      <c r="X142" s="101"/>
      <c r="Y142" s="101"/>
      <c r="Z142" s="101"/>
    </row>
    <row r="143" spans="8:26" x14ac:dyDescent="0.25">
      <c r="H143" s="446" t="s">
        <v>88</v>
      </c>
      <c r="I143" s="447"/>
      <c r="J143" s="448"/>
      <c r="K143" s="19">
        <v>317</v>
      </c>
      <c r="L143" s="19">
        <v>167</v>
      </c>
      <c r="M143" s="20">
        <v>13.2</v>
      </c>
      <c r="N143" s="20">
        <v>7.6</v>
      </c>
      <c r="O143" s="124">
        <v>67.033599999999993</v>
      </c>
      <c r="W143" s="101"/>
      <c r="X143" s="101"/>
      <c r="Y143" s="101"/>
      <c r="Z143" s="101"/>
    </row>
    <row r="144" spans="8:26" x14ac:dyDescent="0.25">
      <c r="H144" s="496" t="s">
        <v>89</v>
      </c>
      <c r="I144" s="497"/>
      <c r="J144" s="498"/>
      <c r="K144" s="12">
        <v>299</v>
      </c>
      <c r="L144" s="12">
        <v>306</v>
      </c>
      <c r="M144" s="13">
        <v>11</v>
      </c>
      <c r="N144" s="13">
        <v>11</v>
      </c>
      <c r="O144" s="121">
        <v>99.991600000000005</v>
      </c>
      <c r="W144" s="101"/>
      <c r="X144" s="101"/>
      <c r="Y144" s="101"/>
      <c r="Z144" s="101"/>
    </row>
    <row r="145" spans="8:26" x14ac:dyDescent="0.25">
      <c r="H145" s="496" t="s">
        <v>90</v>
      </c>
      <c r="I145" s="497"/>
      <c r="J145" s="498"/>
      <c r="K145" s="12">
        <v>303</v>
      </c>
      <c r="L145" s="12">
        <v>308</v>
      </c>
      <c r="M145" s="13">
        <v>13.1</v>
      </c>
      <c r="N145" s="13">
        <v>13.1</v>
      </c>
      <c r="O145" s="121">
        <v>119.15840000000001</v>
      </c>
      <c r="W145" s="101"/>
      <c r="X145" s="101"/>
      <c r="Y145" s="101"/>
      <c r="Z145" s="101"/>
    </row>
    <row r="146" spans="8:26" x14ac:dyDescent="0.25">
      <c r="H146" s="496" t="s">
        <v>91</v>
      </c>
      <c r="I146" s="497"/>
      <c r="J146" s="498"/>
      <c r="K146" s="12">
        <v>308</v>
      </c>
      <c r="L146" s="12">
        <v>305</v>
      </c>
      <c r="M146" s="13">
        <v>15.4</v>
      </c>
      <c r="N146" s="13">
        <v>9.9</v>
      </c>
      <c r="O146" s="121">
        <v>123.5844</v>
      </c>
      <c r="W146" s="101"/>
      <c r="X146" s="101"/>
      <c r="Y146" s="101"/>
      <c r="Z146" s="101"/>
    </row>
    <row r="147" spans="8:26" x14ac:dyDescent="0.25">
      <c r="H147" s="496" t="s">
        <v>92</v>
      </c>
      <c r="I147" s="497"/>
      <c r="J147" s="498"/>
      <c r="K147" s="12">
        <v>311</v>
      </c>
      <c r="L147" s="12">
        <v>306</v>
      </c>
      <c r="M147" s="13">
        <v>17</v>
      </c>
      <c r="N147" s="13">
        <v>10.9</v>
      </c>
      <c r="O147" s="121">
        <v>136.43460000000002</v>
      </c>
      <c r="W147" s="101"/>
      <c r="X147" s="101"/>
      <c r="Y147" s="101"/>
      <c r="Z147" s="101"/>
    </row>
    <row r="148" spans="8:26" x14ac:dyDescent="0.25">
      <c r="H148" s="496" t="s">
        <v>93</v>
      </c>
      <c r="I148" s="497"/>
      <c r="J148" s="498"/>
      <c r="K148" s="12">
        <v>308</v>
      </c>
      <c r="L148" s="12">
        <v>310</v>
      </c>
      <c r="M148" s="13">
        <v>15.5</v>
      </c>
      <c r="N148" s="13">
        <v>15.4</v>
      </c>
      <c r="O148" s="121">
        <v>140.95960000000002</v>
      </c>
      <c r="W148" s="101"/>
      <c r="X148" s="101"/>
      <c r="Y148" s="101"/>
      <c r="Z148" s="101"/>
    </row>
    <row r="149" spans="8:26" x14ac:dyDescent="0.25">
      <c r="H149" s="496" t="s">
        <v>94</v>
      </c>
      <c r="I149" s="497"/>
      <c r="J149" s="498"/>
      <c r="K149" s="12">
        <v>314</v>
      </c>
      <c r="L149" s="12">
        <v>307</v>
      </c>
      <c r="M149" s="13">
        <v>18.7</v>
      </c>
      <c r="N149" s="13">
        <v>11.9</v>
      </c>
      <c r="O149" s="121">
        <v>149.935</v>
      </c>
      <c r="W149" s="101"/>
      <c r="X149" s="101"/>
      <c r="Y149" s="101"/>
      <c r="Z149" s="101"/>
    </row>
    <row r="150" spans="8:26" ht="16.5" thickBot="1" x14ac:dyDescent="0.3">
      <c r="H150" s="476" t="s">
        <v>95</v>
      </c>
      <c r="I150" s="477"/>
      <c r="J150" s="478"/>
      <c r="K150" s="15">
        <v>312</v>
      </c>
      <c r="L150" s="15">
        <v>312</v>
      </c>
      <c r="M150" s="16">
        <v>17.399999999999999</v>
      </c>
      <c r="N150" s="16">
        <v>17.399999999999999</v>
      </c>
      <c r="O150" s="122">
        <v>159.01039999999998</v>
      </c>
      <c r="W150" s="101"/>
      <c r="X150" s="101"/>
      <c r="Y150" s="101"/>
      <c r="Z150" s="101"/>
    </row>
    <row r="151" spans="8:26" x14ac:dyDescent="0.25">
      <c r="H151" s="419" t="s">
        <v>96</v>
      </c>
      <c r="I151" s="420"/>
      <c r="J151" s="421"/>
      <c r="K151" s="7">
        <v>349</v>
      </c>
      <c r="L151" s="7">
        <v>127</v>
      </c>
      <c r="M151" s="8">
        <v>8.5</v>
      </c>
      <c r="N151" s="8">
        <v>5.8</v>
      </c>
      <c r="O151" s="119">
        <v>42.084399999999995</v>
      </c>
      <c r="W151" s="101"/>
      <c r="X151" s="101"/>
      <c r="Y151" s="101"/>
      <c r="Z151" s="101"/>
    </row>
    <row r="152" spans="8:26" x14ac:dyDescent="0.25">
      <c r="H152" s="412" t="s">
        <v>97</v>
      </c>
      <c r="I152" s="413"/>
      <c r="J152" s="414"/>
      <c r="K152" s="9">
        <v>353</v>
      </c>
      <c r="L152" s="9">
        <v>128</v>
      </c>
      <c r="M152" s="10">
        <v>10.7</v>
      </c>
      <c r="N152" s="10">
        <v>6.5</v>
      </c>
      <c r="O152" s="120">
        <v>50.184399999999997</v>
      </c>
      <c r="W152" s="101"/>
      <c r="X152" s="101"/>
      <c r="Y152" s="101"/>
      <c r="Z152" s="101"/>
    </row>
    <row r="153" spans="8:26" x14ac:dyDescent="0.25">
      <c r="H153" s="493" t="s">
        <v>98</v>
      </c>
      <c r="I153" s="494"/>
      <c r="J153" s="495"/>
      <c r="K153" s="9">
        <v>352</v>
      </c>
      <c r="L153" s="9">
        <v>171</v>
      </c>
      <c r="M153" s="10">
        <v>9.8000000000000007</v>
      </c>
      <c r="N153" s="10">
        <v>6.9</v>
      </c>
      <c r="O153" s="120">
        <v>57.69</v>
      </c>
      <c r="W153" s="101"/>
      <c r="X153" s="101"/>
      <c r="Y153" s="101"/>
      <c r="Z153" s="101"/>
    </row>
    <row r="154" spans="8:26" x14ac:dyDescent="0.25">
      <c r="H154" s="493" t="s">
        <v>99</v>
      </c>
      <c r="I154" s="494"/>
      <c r="J154" s="495"/>
      <c r="K154" s="9">
        <v>355</v>
      </c>
      <c r="L154" s="9">
        <v>171</v>
      </c>
      <c r="M154" s="10">
        <v>11.6</v>
      </c>
      <c r="N154" s="10">
        <v>7.2</v>
      </c>
      <c r="O154" s="120">
        <v>64.8</v>
      </c>
      <c r="W154" s="101"/>
      <c r="X154" s="101"/>
      <c r="Y154" s="101"/>
      <c r="Z154" s="101"/>
    </row>
    <row r="155" spans="8:26" x14ac:dyDescent="0.25">
      <c r="H155" s="493" t="s">
        <v>100</v>
      </c>
      <c r="I155" s="494"/>
      <c r="J155" s="495"/>
      <c r="K155" s="9">
        <v>358</v>
      </c>
      <c r="L155" s="9">
        <v>172</v>
      </c>
      <c r="M155" s="10">
        <v>13.1</v>
      </c>
      <c r="N155" s="10">
        <v>7.9</v>
      </c>
      <c r="O155" s="120">
        <v>72.514600000000002</v>
      </c>
      <c r="W155" s="101"/>
      <c r="X155" s="101"/>
      <c r="Y155" s="101"/>
      <c r="Z155" s="101"/>
    </row>
    <row r="156" spans="8:26" x14ac:dyDescent="0.25">
      <c r="H156" s="412" t="s">
        <v>101</v>
      </c>
      <c r="I156" s="413"/>
      <c r="J156" s="414"/>
      <c r="K156" s="9">
        <v>347</v>
      </c>
      <c r="L156" s="9">
        <v>203</v>
      </c>
      <c r="M156" s="10">
        <v>13.5</v>
      </c>
      <c r="N156" s="10">
        <v>7.7</v>
      </c>
      <c r="O156" s="120">
        <v>81.651600000000002</v>
      </c>
      <c r="W156" s="101"/>
      <c r="X156" s="101"/>
      <c r="Y156" s="101"/>
      <c r="Z156" s="101"/>
    </row>
    <row r="157" spans="8:26" x14ac:dyDescent="0.25">
      <c r="H157" s="412" t="s">
        <v>102</v>
      </c>
      <c r="I157" s="413"/>
      <c r="J157" s="414"/>
      <c r="K157" s="9">
        <v>350</v>
      </c>
      <c r="L157" s="9">
        <v>204</v>
      </c>
      <c r="M157" s="10">
        <v>15.1</v>
      </c>
      <c r="N157" s="10">
        <v>8.6</v>
      </c>
      <c r="O157" s="120">
        <v>91.312399999999997</v>
      </c>
      <c r="W157" s="101"/>
      <c r="X157" s="101"/>
      <c r="Y157" s="101"/>
      <c r="Z157" s="101"/>
    </row>
    <row r="158" spans="8:26" x14ac:dyDescent="0.25">
      <c r="H158" s="412" t="s">
        <v>103</v>
      </c>
      <c r="I158" s="413"/>
      <c r="J158" s="414"/>
      <c r="K158" s="9">
        <v>354</v>
      </c>
      <c r="L158" s="9">
        <v>205</v>
      </c>
      <c r="M158" s="10">
        <v>16.8</v>
      </c>
      <c r="N158" s="10">
        <v>9.4</v>
      </c>
      <c r="O158" s="120">
        <v>101.1992</v>
      </c>
      <c r="W158" s="101"/>
      <c r="X158" s="101"/>
      <c r="Y158" s="101"/>
      <c r="Z158" s="101"/>
    </row>
    <row r="159" spans="8:26" x14ac:dyDescent="0.25">
      <c r="H159" s="422" t="s">
        <v>104</v>
      </c>
      <c r="I159" s="423"/>
      <c r="J159" s="424"/>
      <c r="K159" s="12">
        <v>353</v>
      </c>
      <c r="L159" s="11">
        <v>254</v>
      </c>
      <c r="M159" s="21">
        <v>16.399999999999999</v>
      </c>
      <c r="N159" s="21">
        <v>9.5</v>
      </c>
      <c r="O159" s="125">
        <v>115.9</v>
      </c>
      <c r="W159" s="101"/>
      <c r="X159" s="101"/>
      <c r="Y159" s="101"/>
      <c r="Z159" s="101"/>
    </row>
    <row r="160" spans="8:26" x14ac:dyDescent="0.25">
      <c r="H160" s="422" t="s">
        <v>105</v>
      </c>
      <c r="I160" s="423"/>
      <c r="J160" s="424"/>
      <c r="K160" s="12">
        <v>357</v>
      </c>
      <c r="L160" s="11">
        <v>255</v>
      </c>
      <c r="M160" s="21">
        <v>18.3</v>
      </c>
      <c r="N160" s="21">
        <v>10.5</v>
      </c>
      <c r="O160" s="125">
        <v>129.5</v>
      </c>
      <c r="W160" s="101"/>
      <c r="X160" s="101"/>
      <c r="Y160" s="101"/>
      <c r="Z160" s="101"/>
    </row>
    <row r="161" spans="8:26" x14ac:dyDescent="0.25">
      <c r="H161" s="422" t="s">
        <v>106</v>
      </c>
      <c r="I161" s="423"/>
      <c r="J161" s="424"/>
      <c r="K161" s="12">
        <v>360</v>
      </c>
      <c r="L161" s="11">
        <v>256</v>
      </c>
      <c r="M161" s="21">
        <v>19.899999999999999</v>
      </c>
      <c r="N161" s="21">
        <v>11.4</v>
      </c>
      <c r="O161" s="125">
        <v>140.59240000000003</v>
      </c>
      <c r="W161" s="101"/>
      <c r="X161" s="101"/>
      <c r="Y161" s="101"/>
      <c r="Z161" s="101"/>
    </row>
    <row r="162" spans="8:26" ht="16.5" thickBot="1" x14ac:dyDescent="0.3">
      <c r="H162" s="476" t="s">
        <v>107</v>
      </c>
      <c r="I162" s="477"/>
      <c r="J162" s="478"/>
      <c r="K162" s="15">
        <v>363</v>
      </c>
      <c r="L162" s="15">
        <v>257</v>
      </c>
      <c r="M162" s="16">
        <v>21.7</v>
      </c>
      <c r="N162" s="16">
        <v>13</v>
      </c>
      <c r="O162" s="122">
        <v>155.2876</v>
      </c>
      <c r="W162" s="101"/>
      <c r="X162" s="101"/>
      <c r="Y162" s="101"/>
      <c r="Z162" s="101"/>
    </row>
    <row r="163" spans="8:26" x14ac:dyDescent="0.25">
      <c r="H163" s="479" t="s">
        <v>108</v>
      </c>
      <c r="I163" s="480"/>
      <c r="J163" s="481"/>
      <c r="K163" s="17">
        <v>399</v>
      </c>
      <c r="L163" s="17">
        <v>140</v>
      </c>
      <c r="M163" s="18">
        <v>8.8000000000000007</v>
      </c>
      <c r="N163" s="18">
        <v>6.4</v>
      </c>
      <c r="O163" s="123">
        <v>50.288000000000004</v>
      </c>
      <c r="W163" s="101"/>
      <c r="X163" s="101"/>
      <c r="Y163" s="101"/>
      <c r="Z163" s="101"/>
    </row>
    <row r="164" spans="8:26" x14ac:dyDescent="0.25">
      <c r="H164" s="446" t="s">
        <v>109</v>
      </c>
      <c r="I164" s="447"/>
      <c r="J164" s="448"/>
      <c r="K164" s="19">
        <v>403</v>
      </c>
      <c r="L164" s="19">
        <v>140</v>
      </c>
      <c r="M164" s="20">
        <v>11.2</v>
      </c>
      <c r="N164" s="20">
        <v>7</v>
      </c>
      <c r="O164" s="124">
        <v>59.240399999999994</v>
      </c>
      <c r="W164" s="101"/>
      <c r="X164" s="101"/>
      <c r="Y164" s="101"/>
      <c r="Z164" s="101"/>
    </row>
    <row r="165" spans="8:26" x14ac:dyDescent="0.25">
      <c r="H165" s="515" t="s">
        <v>110</v>
      </c>
      <c r="I165" s="516"/>
      <c r="J165" s="517"/>
      <c r="K165" s="19">
        <v>403</v>
      </c>
      <c r="L165" s="19">
        <v>177</v>
      </c>
      <c r="M165" s="20">
        <v>10.9</v>
      </c>
      <c r="N165" s="20">
        <v>7.5</v>
      </c>
      <c r="O165" s="124">
        <v>68.414399999999986</v>
      </c>
      <c r="W165" s="101"/>
      <c r="X165" s="101"/>
      <c r="Y165" s="101"/>
      <c r="Z165" s="101"/>
    </row>
    <row r="166" spans="8:26" x14ac:dyDescent="0.25">
      <c r="H166" s="515" t="s">
        <v>111</v>
      </c>
      <c r="I166" s="516"/>
      <c r="J166" s="517"/>
      <c r="K166" s="19">
        <v>407</v>
      </c>
      <c r="L166" s="19">
        <v>178</v>
      </c>
      <c r="M166" s="20">
        <v>12.8</v>
      </c>
      <c r="N166" s="20">
        <v>7.7</v>
      </c>
      <c r="O166" s="124">
        <v>76.174199999999999</v>
      </c>
      <c r="W166" s="101"/>
      <c r="X166" s="101"/>
      <c r="Y166" s="101"/>
      <c r="Z166" s="101"/>
    </row>
    <row r="167" spans="8:26" x14ac:dyDescent="0.25">
      <c r="H167" s="515" t="s">
        <v>112</v>
      </c>
      <c r="I167" s="516"/>
      <c r="J167" s="517"/>
      <c r="K167" s="19">
        <v>410</v>
      </c>
      <c r="L167" s="19">
        <v>179</v>
      </c>
      <c r="M167" s="20">
        <v>14.4</v>
      </c>
      <c r="N167" s="20">
        <v>8.8000000000000007</v>
      </c>
      <c r="O167" s="124">
        <v>86.335999999999999</v>
      </c>
      <c r="W167" s="101"/>
      <c r="X167" s="101"/>
      <c r="Y167" s="101"/>
      <c r="Z167" s="101"/>
    </row>
    <row r="168" spans="8:26" x14ac:dyDescent="0.25">
      <c r="H168" s="572" t="s">
        <v>113</v>
      </c>
      <c r="I168" s="573"/>
      <c r="J168" s="574"/>
      <c r="K168" s="19">
        <v>413</v>
      </c>
      <c r="L168" s="19">
        <v>180</v>
      </c>
      <c r="M168" s="20">
        <v>16</v>
      </c>
      <c r="N168" s="20">
        <v>9.6999999999999993</v>
      </c>
      <c r="O168" s="124">
        <v>95.795399999999987</v>
      </c>
      <c r="W168" s="101"/>
      <c r="X168" s="101"/>
      <c r="Y168" s="101"/>
      <c r="Z168" s="101"/>
    </row>
    <row r="169" spans="8:26" ht="16.5" thickBot="1" x14ac:dyDescent="0.3">
      <c r="H169" s="575" t="s">
        <v>114</v>
      </c>
      <c r="I169" s="576"/>
      <c r="J169" s="577"/>
      <c r="K169" s="22">
        <v>417</v>
      </c>
      <c r="L169" s="22">
        <v>181</v>
      </c>
      <c r="M169" s="23">
        <v>18.2</v>
      </c>
      <c r="N169" s="23">
        <v>10.9</v>
      </c>
      <c r="O169" s="126">
        <v>108.6</v>
      </c>
      <c r="W169" s="101"/>
      <c r="X169" s="101"/>
      <c r="Y169" s="101"/>
      <c r="Z169" s="101"/>
    </row>
    <row r="170" spans="8:26" x14ac:dyDescent="0.25">
      <c r="H170" s="419" t="s">
        <v>115</v>
      </c>
      <c r="I170" s="420"/>
      <c r="J170" s="421"/>
      <c r="K170" s="7">
        <v>450</v>
      </c>
      <c r="L170" s="7">
        <v>152</v>
      </c>
      <c r="M170" s="8">
        <v>10.8</v>
      </c>
      <c r="N170" s="8">
        <v>7.6</v>
      </c>
      <c r="O170" s="119">
        <v>66.628799999999998</v>
      </c>
      <c r="W170" s="101"/>
      <c r="X170" s="101"/>
      <c r="Y170" s="101"/>
      <c r="Z170" s="101"/>
    </row>
    <row r="171" spans="8:26" x14ac:dyDescent="0.25">
      <c r="H171" s="412" t="s">
        <v>116</v>
      </c>
      <c r="I171" s="413"/>
      <c r="J171" s="414"/>
      <c r="K171" s="9">
        <v>455</v>
      </c>
      <c r="L171" s="9">
        <v>153</v>
      </c>
      <c r="M171" s="10">
        <v>13.3</v>
      </c>
      <c r="N171" s="10">
        <v>8</v>
      </c>
      <c r="O171" s="120">
        <v>76.208400000000012</v>
      </c>
      <c r="W171" s="101"/>
      <c r="X171" s="101"/>
      <c r="Y171" s="101"/>
      <c r="Z171" s="101"/>
    </row>
    <row r="172" spans="8:26" x14ac:dyDescent="0.25">
      <c r="H172" s="412" t="s">
        <v>117</v>
      </c>
      <c r="I172" s="413"/>
      <c r="J172" s="414"/>
      <c r="K172" s="9">
        <v>459</v>
      </c>
      <c r="L172" s="9">
        <v>154</v>
      </c>
      <c r="M172" s="10">
        <v>15.4</v>
      </c>
      <c r="N172" s="10">
        <v>9.1</v>
      </c>
      <c r="O172" s="120">
        <v>87.636600000000001</v>
      </c>
      <c r="W172" s="101"/>
      <c r="X172" s="101"/>
      <c r="Y172" s="101"/>
      <c r="Z172" s="101"/>
    </row>
    <row r="173" spans="8:26" x14ac:dyDescent="0.25">
      <c r="H173" s="412" t="s">
        <v>118</v>
      </c>
      <c r="I173" s="413"/>
      <c r="J173" s="414"/>
      <c r="K173" s="9">
        <v>457</v>
      </c>
      <c r="L173" s="9">
        <v>190</v>
      </c>
      <c r="M173" s="10">
        <v>14.5</v>
      </c>
      <c r="N173" s="10">
        <v>9</v>
      </c>
      <c r="O173" s="120">
        <v>94.858400000000003</v>
      </c>
      <c r="W173" s="101"/>
      <c r="X173" s="101"/>
      <c r="Y173" s="101"/>
      <c r="Z173" s="101"/>
    </row>
    <row r="174" spans="8:26" x14ac:dyDescent="0.25">
      <c r="H174" s="412" t="s">
        <v>119</v>
      </c>
      <c r="I174" s="413"/>
      <c r="J174" s="414"/>
      <c r="K174" s="9">
        <v>460</v>
      </c>
      <c r="L174" s="9">
        <v>191</v>
      </c>
      <c r="M174" s="10">
        <v>16</v>
      </c>
      <c r="N174" s="10">
        <v>9.9</v>
      </c>
      <c r="O174" s="120">
        <v>104.7304</v>
      </c>
      <c r="W174" s="101"/>
      <c r="X174" s="101"/>
      <c r="Y174" s="101"/>
      <c r="Z174" s="101"/>
    </row>
    <row r="175" spans="8:26" x14ac:dyDescent="0.25">
      <c r="H175" s="412" t="s">
        <v>120</v>
      </c>
      <c r="I175" s="413"/>
      <c r="J175" s="414"/>
      <c r="K175" s="9">
        <v>463</v>
      </c>
      <c r="L175" s="9">
        <v>192</v>
      </c>
      <c r="M175" s="10">
        <v>17.7</v>
      </c>
      <c r="N175" s="10">
        <v>10.5</v>
      </c>
      <c r="O175" s="120">
        <v>114.10440000000001</v>
      </c>
      <c r="W175" s="101"/>
      <c r="X175" s="101"/>
      <c r="Y175" s="101"/>
      <c r="Z175" s="101"/>
    </row>
    <row r="176" spans="8:26" x14ac:dyDescent="0.25">
      <c r="H176" s="412" t="s">
        <v>121</v>
      </c>
      <c r="I176" s="413"/>
      <c r="J176" s="414"/>
      <c r="K176" s="9">
        <v>466</v>
      </c>
      <c r="L176" s="9">
        <v>193</v>
      </c>
      <c r="M176" s="10">
        <v>19</v>
      </c>
      <c r="N176" s="10">
        <v>11.4</v>
      </c>
      <c r="O176" s="120">
        <v>123.4</v>
      </c>
      <c r="W176" s="101"/>
      <c r="X176" s="101"/>
      <c r="Y176" s="101"/>
      <c r="Z176" s="101"/>
    </row>
    <row r="177" spans="1:26" ht="16.5" thickBot="1" x14ac:dyDescent="0.3">
      <c r="H177" s="440" t="s">
        <v>122</v>
      </c>
      <c r="I177" s="441"/>
      <c r="J177" s="442"/>
      <c r="K177" s="24">
        <v>469</v>
      </c>
      <c r="L177" s="24">
        <v>194</v>
      </c>
      <c r="M177" s="25">
        <v>20.6</v>
      </c>
      <c r="N177" s="25">
        <v>12.6</v>
      </c>
      <c r="O177" s="127">
        <v>135.1</v>
      </c>
      <c r="W177" s="101"/>
      <c r="X177" s="101"/>
      <c r="Y177" s="101"/>
      <c r="Z177" s="101"/>
    </row>
    <row r="178" spans="1:26" x14ac:dyDescent="0.25">
      <c r="H178" s="479" t="s">
        <v>123</v>
      </c>
      <c r="I178" s="480"/>
      <c r="J178" s="481"/>
      <c r="K178" s="17">
        <v>525</v>
      </c>
      <c r="L178" s="17">
        <v>165</v>
      </c>
      <c r="M178" s="18">
        <v>11.4</v>
      </c>
      <c r="N178" s="18">
        <v>8.9</v>
      </c>
      <c r="O178" s="123">
        <v>83.554199999999994</v>
      </c>
      <c r="W178" s="101"/>
      <c r="X178" s="101"/>
      <c r="Y178" s="101"/>
      <c r="Z178" s="101"/>
    </row>
    <row r="179" spans="1:26" x14ac:dyDescent="0.25">
      <c r="H179" s="446" t="s">
        <v>124</v>
      </c>
      <c r="I179" s="447"/>
      <c r="J179" s="448"/>
      <c r="K179" s="19">
        <v>524</v>
      </c>
      <c r="L179" s="19">
        <v>207</v>
      </c>
      <c r="M179" s="20">
        <v>10.9</v>
      </c>
      <c r="N179" s="20">
        <v>9</v>
      </c>
      <c r="O179" s="124">
        <v>91.562400000000011</v>
      </c>
      <c r="W179" s="101"/>
      <c r="X179" s="101"/>
      <c r="Y179" s="101"/>
      <c r="Z179" s="101"/>
    </row>
    <row r="180" spans="1:26" x14ac:dyDescent="0.25">
      <c r="H180" s="446" t="s">
        <v>125</v>
      </c>
      <c r="I180" s="447"/>
      <c r="J180" s="448"/>
      <c r="K180" s="19">
        <v>529</v>
      </c>
      <c r="L180" s="19">
        <v>166</v>
      </c>
      <c r="M180" s="20">
        <v>13.6</v>
      </c>
      <c r="N180" s="20">
        <v>9.6999999999999993</v>
      </c>
      <c r="O180" s="124">
        <v>95.064999999999998</v>
      </c>
      <c r="W180" s="101"/>
      <c r="X180" s="101"/>
      <c r="Y180" s="101"/>
      <c r="Z180" s="101"/>
    </row>
    <row r="181" spans="1:26" ht="18.75" x14ac:dyDescent="0.25">
      <c r="A181" s="2" t="s">
        <v>166</v>
      </c>
      <c r="B181" s="434">
        <f>div/25.4</f>
        <v>2.9999999999999996</v>
      </c>
      <c r="C181" s="434"/>
      <c r="D181" s="89" t="s">
        <v>2</v>
      </c>
      <c r="E181" s="3">
        <f>nlp*npl</f>
        <v>4</v>
      </c>
      <c r="H181" s="446" t="s">
        <v>126</v>
      </c>
      <c r="I181" s="447"/>
      <c r="J181" s="448"/>
      <c r="K181" s="19">
        <v>528</v>
      </c>
      <c r="L181" s="19">
        <v>209</v>
      </c>
      <c r="M181" s="20">
        <v>13.3</v>
      </c>
      <c r="N181" s="20">
        <v>9.5</v>
      </c>
      <c r="O181" s="124">
        <v>104.4654</v>
      </c>
      <c r="W181" s="101"/>
      <c r="X181" s="101"/>
      <c r="Y181" s="101"/>
      <c r="Z181" s="101"/>
    </row>
    <row r="182" spans="1:26" ht="18.75" x14ac:dyDescent="0.25">
      <c r="A182" s="2" t="s">
        <v>167</v>
      </c>
      <c r="B182" s="434">
        <f>dih/25.4</f>
        <v>2.9999999999999996</v>
      </c>
      <c r="C182" s="434"/>
      <c r="D182" s="89" t="s">
        <v>3</v>
      </c>
      <c r="E182" s="415">
        <v>0</v>
      </c>
      <c r="F182" s="415"/>
      <c r="H182" s="446" t="s">
        <v>127</v>
      </c>
      <c r="I182" s="447"/>
      <c r="J182" s="448"/>
      <c r="K182" s="19">
        <v>535</v>
      </c>
      <c r="L182" s="19">
        <v>166</v>
      </c>
      <c r="M182" s="20">
        <v>16.5</v>
      </c>
      <c r="N182" s="20">
        <v>10.3</v>
      </c>
      <c r="O182" s="124">
        <v>107.7244</v>
      </c>
      <c r="W182" s="101"/>
      <c r="X182" s="101"/>
      <c r="Y182" s="101"/>
      <c r="Z182" s="101"/>
    </row>
    <row r="183" spans="1:26" ht="18.75" x14ac:dyDescent="0.25">
      <c r="A183" s="2" t="s">
        <v>5</v>
      </c>
      <c r="B183" s="434">
        <f>IF(Config="Configuração Convencional",IF(npl&gt;=10,npl-4,ep/25.4),ep/25.4)</f>
        <v>2.9999999999999996</v>
      </c>
      <c r="C183" s="434"/>
      <c r="D183" s="89" t="s">
        <v>4</v>
      </c>
      <c r="E183" s="415">
        <v>4.4999999999999991</v>
      </c>
      <c r="F183" s="415"/>
      <c r="H183" s="446" t="s">
        <v>128</v>
      </c>
      <c r="I183" s="447"/>
      <c r="J183" s="448"/>
      <c r="K183" s="19">
        <v>533</v>
      </c>
      <c r="L183" s="19">
        <v>209</v>
      </c>
      <c r="M183" s="20">
        <v>15.6</v>
      </c>
      <c r="N183" s="20">
        <v>10.199999999999999</v>
      </c>
      <c r="O183" s="124">
        <v>117.63</v>
      </c>
      <c r="W183" s="101"/>
      <c r="X183" s="101"/>
      <c r="Y183" s="101"/>
      <c r="Z183" s="101"/>
    </row>
    <row r="184" spans="1:26" ht="18.75" x14ac:dyDescent="0.25">
      <c r="A184" s="2" t="s">
        <v>12</v>
      </c>
      <c r="B184" s="90" t="s">
        <v>16</v>
      </c>
      <c r="D184" s="89" t="s">
        <v>15</v>
      </c>
      <c r="E184" s="415">
        <v>1</v>
      </c>
      <c r="F184" s="415"/>
      <c r="H184" s="446" t="s">
        <v>129</v>
      </c>
      <c r="I184" s="447"/>
      <c r="J184" s="448"/>
      <c r="K184" s="19">
        <v>537</v>
      </c>
      <c r="L184" s="19">
        <v>210</v>
      </c>
      <c r="M184" s="20">
        <v>17.399999999999999</v>
      </c>
      <c r="N184" s="20">
        <v>10.9</v>
      </c>
      <c r="O184" s="124">
        <v>130</v>
      </c>
      <c r="W184" s="101"/>
      <c r="X184" s="101"/>
      <c r="Y184" s="101"/>
      <c r="Z184" s="101"/>
    </row>
    <row r="185" spans="1:26" ht="19.5" thickBot="1" x14ac:dyDescent="0.3">
      <c r="D185" s="89" t="s">
        <v>6</v>
      </c>
      <c r="E185" s="415">
        <v>-1</v>
      </c>
      <c r="F185" s="415"/>
      <c r="H185" s="569" t="s">
        <v>130</v>
      </c>
      <c r="I185" s="570"/>
      <c r="J185" s="571"/>
      <c r="K185" s="22">
        <v>539</v>
      </c>
      <c r="L185" s="22">
        <v>211</v>
      </c>
      <c r="M185" s="23">
        <v>18.8</v>
      </c>
      <c r="N185" s="23">
        <v>11.6</v>
      </c>
      <c r="O185" s="126">
        <v>139.69999999999999</v>
      </c>
      <c r="W185" s="101"/>
      <c r="X185" s="101"/>
      <c r="Y185" s="101"/>
      <c r="Z185" s="101"/>
    </row>
    <row r="186" spans="1:26" ht="18.75" x14ac:dyDescent="0.25">
      <c r="D186" s="89" t="s">
        <v>7</v>
      </c>
      <c r="E186" s="415">
        <v>0</v>
      </c>
      <c r="F186" s="415"/>
      <c r="H186" s="419" t="s">
        <v>131</v>
      </c>
      <c r="I186" s="420"/>
      <c r="J186" s="421"/>
      <c r="K186" s="7">
        <v>603</v>
      </c>
      <c r="L186" s="7">
        <v>228</v>
      </c>
      <c r="M186" s="8">
        <v>14.9</v>
      </c>
      <c r="N186" s="8">
        <v>10.5</v>
      </c>
      <c r="O186" s="119">
        <v>130.33160000000001</v>
      </c>
      <c r="W186" s="101"/>
      <c r="X186" s="101"/>
      <c r="Y186" s="101"/>
      <c r="Z186" s="101"/>
    </row>
    <row r="187" spans="1:26" x14ac:dyDescent="0.25">
      <c r="H187" s="412" t="s">
        <v>132</v>
      </c>
      <c r="I187" s="413"/>
      <c r="J187" s="414"/>
      <c r="K187" s="9">
        <v>608</v>
      </c>
      <c r="L187" s="9">
        <v>228</v>
      </c>
      <c r="M187" s="10">
        <v>17.3</v>
      </c>
      <c r="N187" s="10">
        <v>11.2</v>
      </c>
      <c r="O187" s="120">
        <v>145.31039999999999</v>
      </c>
      <c r="W187" s="101"/>
      <c r="X187" s="101"/>
      <c r="Y187" s="101"/>
      <c r="Z187" s="101"/>
    </row>
    <row r="188" spans="1:26" ht="18.75" x14ac:dyDescent="0.25">
      <c r="D188" s="89" t="s">
        <v>9</v>
      </c>
      <c r="E188" s="415">
        <f>MAX(K201:K204)</f>
        <v>5.497851544896446</v>
      </c>
      <c r="F188" s="415"/>
      <c r="H188" s="412" t="s">
        <v>133</v>
      </c>
      <c r="I188" s="413"/>
      <c r="J188" s="414"/>
      <c r="K188" s="9">
        <v>612</v>
      </c>
      <c r="L188" s="9">
        <v>229</v>
      </c>
      <c r="M188" s="10">
        <v>19.600000000000001</v>
      </c>
      <c r="N188" s="10">
        <v>11.9</v>
      </c>
      <c r="O188" s="120">
        <v>160.1</v>
      </c>
      <c r="W188" s="101"/>
      <c r="X188" s="101"/>
      <c r="Y188" s="101"/>
      <c r="Z188" s="101"/>
    </row>
    <row r="189" spans="1:26" ht="18.75" x14ac:dyDescent="0.25">
      <c r="D189" s="89" t="s">
        <v>11</v>
      </c>
      <c r="E189" s="409">
        <f>0.7*120*PI()*(3/4)^2/4</f>
        <v>37.110063220529433</v>
      </c>
      <c r="F189" s="409"/>
      <c r="H189" s="412" t="s">
        <v>134</v>
      </c>
      <c r="I189" s="413"/>
      <c r="J189" s="414"/>
      <c r="K189" s="9">
        <v>617</v>
      </c>
      <c r="L189" s="9">
        <v>230</v>
      </c>
      <c r="M189" s="10">
        <v>22.2</v>
      </c>
      <c r="N189" s="10">
        <v>13.1</v>
      </c>
      <c r="O189" s="120">
        <v>179.3</v>
      </c>
      <c r="W189" s="101"/>
      <c r="X189" s="101"/>
      <c r="Y189" s="101"/>
      <c r="Z189" s="101"/>
    </row>
    <row r="190" spans="1:26" ht="18.75" x14ac:dyDescent="0.25">
      <c r="D190" s="89" t="s">
        <v>10</v>
      </c>
      <c r="E190" s="410">
        <f>0.34</f>
        <v>0.34</v>
      </c>
      <c r="F190" s="410"/>
      <c r="H190" s="412" t="s">
        <v>135</v>
      </c>
      <c r="I190" s="413"/>
      <c r="J190" s="414"/>
      <c r="K190" s="9">
        <v>611</v>
      </c>
      <c r="L190" s="9">
        <v>324</v>
      </c>
      <c r="M190" s="10">
        <v>19</v>
      </c>
      <c r="N190" s="10">
        <v>12.7</v>
      </c>
      <c r="O190" s="120">
        <v>198.0926</v>
      </c>
    </row>
    <row r="191" spans="1:26" ht="19.5" thickBot="1" x14ac:dyDescent="0.3">
      <c r="D191" s="89" t="s">
        <v>13</v>
      </c>
      <c r="E191" s="411">
        <v>104.43562301855329</v>
      </c>
      <c r="F191" s="411"/>
      <c r="H191" s="440" t="s">
        <v>136</v>
      </c>
      <c r="I191" s="441"/>
      <c r="J191" s="442"/>
      <c r="K191" s="24">
        <v>616</v>
      </c>
      <c r="L191" s="24">
        <v>325</v>
      </c>
      <c r="M191" s="25">
        <v>21.6</v>
      </c>
      <c r="N191" s="25">
        <v>14</v>
      </c>
      <c r="O191" s="127">
        <v>222.7936</v>
      </c>
    </row>
    <row r="192" spans="1:26" ht="16.5" thickBot="1" x14ac:dyDescent="0.3">
      <c r="D192" s="89" t="s">
        <v>14</v>
      </c>
      <c r="E192" s="453">
        <v>9.9377356474193755E-4</v>
      </c>
      <c r="F192" s="453"/>
      <c r="H192" s="427" t="s">
        <v>137</v>
      </c>
      <c r="I192" s="428"/>
      <c r="J192" s="429"/>
      <c r="K192" s="26">
        <v>500</v>
      </c>
      <c r="L192" s="26">
        <v>250</v>
      </c>
      <c r="M192" s="27">
        <v>12.5</v>
      </c>
      <c r="N192" s="27">
        <v>6.35</v>
      </c>
      <c r="O192" s="27"/>
    </row>
    <row r="193" spans="1:26" x14ac:dyDescent="0.25">
      <c r="D193" s="89" t="s">
        <v>17</v>
      </c>
      <c r="E193" s="176">
        <f>Pn/Rult</f>
        <v>2.8142130181222402</v>
      </c>
      <c r="F193" s="176"/>
      <c r="H193" s="28" t="s">
        <v>138</v>
      </c>
      <c r="O193" s="101"/>
    </row>
    <row r="194" spans="1:26" x14ac:dyDescent="0.25">
      <c r="O194" s="101"/>
    </row>
    <row r="195" spans="1:26" x14ac:dyDescent="0.25">
      <c r="D195" s="89" t="s">
        <v>18</v>
      </c>
      <c r="E195" s="415">
        <f>SUM(Y201:Y204)</f>
        <v>11.256311935385654</v>
      </c>
      <c r="F195" s="415"/>
      <c r="G195" s="101"/>
      <c r="H195" s="101"/>
      <c r="I195" s="101"/>
      <c r="J195" s="101"/>
      <c r="K195" s="101"/>
      <c r="L195" s="101"/>
      <c r="M195" s="101"/>
      <c r="N195" s="101"/>
      <c r="O195" s="101"/>
    </row>
    <row r="196" spans="1:26" x14ac:dyDescent="0.25">
      <c r="G196" s="101"/>
      <c r="H196" s="101"/>
      <c r="I196" s="101"/>
      <c r="J196" s="101"/>
      <c r="K196" s="101"/>
      <c r="L196" s="101"/>
      <c r="M196" s="101"/>
      <c r="N196" s="101"/>
      <c r="O196" s="101"/>
    </row>
    <row r="197" spans="1:26" x14ac:dyDescent="0.25">
      <c r="A197" s="101"/>
      <c r="B197" s="101"/>
      <c r="C197" s="101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</row>
    <row r="198" spans="1:26" x14ac:dyDescent="0.25">
      <c r="A198" s="401" t="s">
        <v>0</v>
      </c>
      <c r="B198" s="402"/>
      <c r="C198" s="383" t="s">
        <v>1</v>
      </c>
      <c r="D198" s="435"/>
      <c r="E198" s="435"/>
      <c r="F198" s="384"/>
      <c r="G198" s="383" t="s">
        <v>8</v>
      </c>
      <c r="H198" s="435"/>
      <c r="I198" s="435"/>
      <c r="J198" s="384"/>
      <c r="K198" s="383" t="s">
        <v>23</v>
      </c>
      <c r="L198" s="384"/>
      <c r="M198" s="399" t="s">
        <v>24</v>
      </c>
      <c r="N198" s="384"/>
      <c r="O198" s="383" t="s">
        <v>25</v>
      </c>
      <c r="P198" s="384"/>
      <c r="Q198" s="383" t="s">
        <v>26</v>
      </c>
      <c r="R198" s="384"/>
      <c r="S198" s="383" t="s">
        <v>27</v>
      </c>
      <c r="T198" s="384"/>
      <c r="U198" s="383" t="s">
        <v>28</v>
      </c>
      <c r="V198" s="384"/>
      <c r="W198" s="383" t="s">
        <v>29</v>
      </c>
      <c r="X198" s="384"/>
      <c r="Y198" s="383" t="s">
        <v>30</v>
      </c>
      <c r="Z198" s="384"/>
    </row>
    <row r="199" spans="1:26" x14ac:dyDescent="0.25">
      <c r="A199" s="323"/>
      <c r="B199" s="325"/>
      <c r="C199" s="436"/>
      <c r="D199" s="437"/>
      <c r="E199" s="437"/>
      <c r="F199" s="438"/>
      <c r="G199" s="436"/>
      <c r="H199" s="437"/>
      <c r="I199" s="437"/>
      <c r="J199" s="438"/>
      <c r="K199" s="385"/>
      <c r="L199" s="386"/>
      <c r="M199" s="385"/>
      <c r="N199" s="386"/>
      <c r="O199" s="385"/>
      <c r="P199" s="386"/>
      <c r="Q199" s="385"/>
      <c r="R199" s="386"/>
      <c r="S199" s="385"/>
      <c r="T199" s="386"/>
      <c r="U199" s="385"/>
      <c r="V199" s="386"/>
      <c r="W199" s="385"/>
      <c r="X199" s="386"/>
      <c r="Y199" s="385"/>
      <c r="Z199" s="386"/>
    </row>
    <row r="200" spans="1:26" ht="18.75" x14ac:dyDescent="0.25">
      <c r="A200" s="323"/>
      <c r="B200" s="325"/>
      <c r="C200" s="401" t="s">
        <v>19</v>
      </c>
      <c r="D200" s="439"/>
      <c r="E200" s="383" t="s">
        <v>20</v>
      </c>
      <c r="F200" s="384"/>
      <c r="G200" s="383" t="s">
        <v>21</v>
      </c>
      <c r="H200" s="384"/>
      <c r="I200" s="383" t="s">
        <v>22</v>
      </c>
      <c r="J200" s="384"/>
      <c r="K200" s="385"/>
      <c r="L200" s="386"/>
      <c r="M200" s="385"/>
      <c r="N200" s="386"/>
      <c r="O200" s="385"/>
      <c r="P200" s="386"/>
      <c r="Q200" s="385"/>
      <c r="R200" s="386"/>
      <c r="S200" s="385"/>
      <c r="T200" s="386"/>
      <c r="U200" s="385"/>
      <c r="V200" s="386"/>
      <c r="W200" s="385"/>
      <c r="X200" s="386"/>
      <c r="Y200" s="385"/>
      <c r="Z200" s="386"/>
    </row>
    <row r="201" spans="1:26" x14ac:dyDescent="0.25">
      <c r="A201" s="85">
        <v>1</v>
      </c>
      <c r="B201" s="85">
        <v>1</v>
      </c>
      <c r="C201" s="190">
        <v>0</v>
      </c>
      <c r="D201" s="191"/>
      <c r="E201" s="190">
        <v>-4.4999999999999991</v>
      </c>
      <c r="F201" s="191"/>
      <c r="G201" s="190">
        <v>3.1585394741431121</v>
      </c>
      <c r="H201" s="191"/>
      <c r="I201" s="190">
        <v>-4.4999999999999991</v>
      </c>
      <c r="J201" s="191"/>
      <c r="K201" s="190">
        <v>5.497851544896446</v>
      </c>
      <c r="L201" s="191"/>
      <c r="M201" s="190">
        <v>0.34</v>
      </c>
      <c r="N201" s="191"/>
      <c r="O201" s="190">
        <v>36.423697762969908</v>
      </c>
      <c r="P201" s="191"/>
      <c r="Q201" s="190">
        <v>-29.812853001735931</v>
      </c>
      <c r="R201" s="191"/>
      <c r="S201" s="190">
        <v>20.925571787290878</v>
      </c>
      <c r="T201" s="191"/>
      <c r="U201" s="190">
        <v>200.25208301698532</v>
      </c>
      <c r="V201" s="191"/>
      <c r="W201" s="190">
        <v>4.4999999999999991</v>
      </c>
      <c r="X201" s="191"/>
      <c r="Y201" s="190">
        <v>4.4167707006947579</v>
      </c>
      <c r="Z201" s="191"/>
    </row>
    <row r="202" spans="1:26" x14ac:dyDescent="0.25">
      <c r="A202" s="85">
        <v>1</v>
      </c>
      <c r="B202" s="85">
        <v>2</v>
      </c>
      <c r="C202" s="190">
        <v>0</v>
      </c>
      <c r="D202" s="191"/>
      <c r="E202" s="190">
        <v>-1.4999999999999996</v>
      </c>
      <c r="F202" s="191"/>
      <c r="G202" s="190">
        <v>3.1585394741431121</v>
      </c>
      <c r="H202" s="191"/>
      <c r="I202" s="190">
        <v>-1.4999999999999996</v>
      </c>
      <c r="J202" s="191"/>
      <c r="K202" s="190">
        <v>3.4966228864034288</v>
      </c>
      <c r="L202" s="191"/>
      <c r="M202" s="190">
        <v>0.21623933852501984</v>
      </c>
      <c r="N202" s="191"/>
      <c r="O202" s="190">
        <v>34.697417236550692</v>
      </c>
      <c r="P202" s="191"/>
      <c r="Q202" s="190">
        <v>-14.884683749341882</v>
      </c>
      <c r="R202" s="191"/>
      <c r="S202" s="190">
        <v>31.342574121621897</v>
      </c>
      <c r="T202" s="191"/>
      <c r="U202" s="190">
        <v>121.32378320841197</v>
      </c>
      <c r="V202" s="191"/>
      <c r="W202" s="190">
        <v>1.4999999999999996</v>
      </c>
      <c r="X202" s="191"/>
      <c r="Y202" s="190">
        <v>1.2113852669980685</v>
      </c>
      <c r="Z202" s="191"/>
    </row>
    <row r="203" spans="1:26" x14ac:dyDescent="0.25">
      <c r="A203" s="85">
        <v>1</v>
      </c>
      <c r="B203" s="85">
        <v>3</v>
      </c>
      <c r="C203" s="190">
        <v>0</v>
      </c>
      <c r="D203" s="191"/>
      <c r="E203" s="190">
        <v>1.5</v>
      </c>
      <c r="F203" s="191"/>
      <c r="G203" s="190">
        <v>3.1585394741431121</v>
      </c>
      <c r="H203" s="191"/>
      <c r="I203" s="190">
        <v>1.5</v>
      </c>
      <c r="J203" s="191"/>
      <c r="K203" s="190">
        <v>3.4966228864034288</v>
      </c>
      <c r="L203" s="191"/>
      <c r="M203" s="190">
        <v>0.21623933852501984</v>
      </c>
      <c r="N203" s="191"/>
      <c r="O203" s="190">
        <v>34.697417236550692</v>
      </c>
      <c r="P203" s="191"/>
      <c r="Q203" s="190">
        <v>14.884683749341887</v>
      </c>
      <c r="R203" s="191"/>
      <c r="S203" s="190">
        <v>31.342574121621897</v>
      </c>
      <c r="T203" s="191"/>
      <c r="U203" s="190">
        <v>121.32378320841197</v>
      </c>
      <c r="V203" s="191"/>
      <c r="W203" s="190">
        <v>1.5</v>
      </c>
      <c r="X203" s="191"/>
      <c r="Y203" s="190">
        <v>1.2113852669980689</v>
      </c>
      <c r="Z203" s="191"/>
    </row>
    <row r="204" spans="1:26" x14ac:dyDescent="0.25">
      <c r="A204" s="86">
        <v>1</v>
      </c>
      <c r="B204" s="86">
        <v>4</v>
      </c>
      <c r="C204" s="198">
        <v>0</v>
      </c>
      <c r="D204" s="199"/>
      <c r="E204" s="198">
        <v>4.4999999999999991</v>
      </c>
      <c r="F204" s="199"/>
      <c r="G204" s="198">
        <v>3.1585394741431121</v>
      </c>
      <c r="H204" s="199"/>
      <c r="I204" s="198">
        <v>4.4999999999999991</v>
      </c>
      <c r="J204" s="199"/>
      <c r="K204" s="198">
        <v>5.497851544896446</v>
      </c>
      <c r="L204" s="199"/>
      <c r="M204" s="198">
        <v>0.34</v>
      </c>
      <c r="N204" s="199"/>
      <c r="O204" s="198">
        <v>36.423697762969908</v>
      </c>
      <c r="P204" s="199"/>
      <c r="Q204" s="190">
        <v>29.812853001735931</v>
      </c>
      <c r="R204" s="191"/>
      <c r="S204" s="190">
        <v>20.925571787290878</v>
      </c>
      <c r="T204" s="191"/>
      <c r="U204" s="190">
        <v>200.25208301698532</v>
      </c>
      <c r="V204" s="191"/>
      <c r="W204" s="190">
        <v>4.4999999999999991</v>
      </c>
      <c r="X204" s="191"/>
      <c r="Y204" s="198">
        <v>4.4167707006947579</v>
      </c>
      <c r="Z204" s="199"/>
    </row>
    <row r="205" spans="1:26" x14ac:dyDescent="0.25">
      <c r="A205" s="140"/>
      <c r="B205" s="140"/>
      <c r="C205" s="140"/>
      <c r="D205" s="140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98">
        <f>SUM(Q201:Q204)</f>
        <v>0</v>
      </c>
      <c r="R205" s="199"/>
      <c r="S205" s="198">
        <f>SUM(S201:S204)</f>
        <v>104.53629181782554</v>
      </c>
      <c r="T205" s="199"/>
      <c r="U205" s="198">
        <f>SUM(U201:U204)</f>
        <v>643.15173245079461</v>
      </c>
      <c r="V205" s="199"/>
      <c r="W205" s="198">
        <f>MAX(W201:W204)</f>
        <v>4.4999999999999991</v>
      </c>
      <c r="X205" s="199"/>
      <c r="Y205" s="140"/>
      <c r="Z205" s="140"/>
    </row>
    <row r="206" spans="1:26" x14ac:dyDescent="0.25">
      <c r="A206" s="140"/>
      <c r="B206" s="140"/>
      <c r="C206" s="140"/>
      <c r="D206" s="140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140"/>
      <c r="U206" s="198">
        <v>104.43250955053456</v>
      </c>
      <c r="V206" s="199"/>
      <c r="W206" s="140"/>
      <c r="X206" s="140"/>
      <c r="Y206" s="140"/>
      <c r="Z206" s="140"/>
    </row>
    <row r="207" spans="1:26" x14ac:dyDescent="0.25">
      <c r="A207" s="140"/>
      <c r="B207" s="140"/>
      <c r="C207" s="140"/>
      <c r="D207" s="140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140"/>
      <c r="U207" s="140"/>
      <c r="V207" s="140"/>
      <c r="W207" s="140"/>
      <c r="X207" s="140"/>
      <c r="Y207" s="140"/>
      <c r="Z207" s="140"/>
    </row>
    <row r="208" spans="1:26" x14ac:dyDescent="0.25">
      <c r="A208" s="140"/>
      <c r="B208" s="140"/>
      <c r="C208" s="140"/>
      <c r="D208" s="140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140"/>
      <c r="U208" s="140"/>
      <c r="V208" s="140"/>
      <c r="W208" s="140"/>
      <c r="X208" s="140"/>
      <c r="Y208" s="140"/>
      <c r="Z208" s="140"/>
    </row>
    <row r="209" spans="1:26" x14ac:dyDescent="0.25">
      <c r="A209" s="140"/>
      <c r="B209" s="140"/>
      <c r="C209" s="140"/>
      <c r="D209" s="140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140"/>
      <c r="U209" s="140"/>
      <c r="V209" s="140"/>
      <c r="W209" s="140"/>
      <c r="X209" s="140"/>
      <c r="Y209" s="140"/>
      <c r="Z209" s="140"/>
    </row>
    <row r="210" spans="1:26" x14ac:dyDescent="0.25">
      <c r="A210" s="140"/>
      <c r="B210" s="140"/>
      <c r="C210" s="140"/>
      <c r="D210" s="140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140"/>
      <c r="U210" s="140"/>
      <c r="V210" s="140"/>
      <c r="W210" s="140"/>
      <c r="X210" s="140"/>
      <c r="Y210" s="140"/>
      <c r="Z210" s="140"/>
    </row>
    <row r="211" spans="1:26" x14ac:dyDescent="0.25">
      <c r="A211" s="140"/>
      <c r="B211" s="140"/>
      <c r="C211" s="140"/>
      <c r="D211" s="140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140"/>
      <c r="U211" s="140"/>
      <c r="V211" s="140"/>
      <c r="W211" s="140"/>
      <c r="X211" s="140"/>
      <c r="Y211" s="140"/>
      <c r="Z211" s="140"/>
    </row>
    <row r="212" spans="1:26" x14ac:dyDescent="0.25">
      <c r="A212" s="140"/>
      <c r="B212" s="140"/>
      <c r="C212" s="140"/>
      <c r="D212" s="140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140"/>
      <c r="U212" s="140"/>
      <c r="V212" s="140"/>
      <c r="W212" s="140"/>
      <c r="X212" s="140"/>
      <c r="Y212" s="140"/>
      <c r="Z212" s="140"/>
    </row>
    <row r="213" spans="1:26" x14ac:dyDescent="0.25">
      <c r="A213" s="140"/>
      <c r="B213" s="140"/>
      <c r="C213" s="140"/>
      <c r="D213" s="140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140"/>
      <c r="U213" s="140"/>
      <c r="V213" s="140"/>
      <c r="W213" s="140"/>
      <c r="X213" s="140"/>
      <c r="Y213" s="140"/>
      <c r="Z213" s="140"/>
    </row>
    <row r="214" spans="1:26" x14ac:dyDescent="0.25">
      <c r="A214" s="140"/>
      <c r="B214" s="140"/>
      <c r="C214" s="140"/>
      <c r="D214" s="140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140"/>
      <c r="U214" s="140"/>
      <c r="V214" s="140"/>
      <c r="W214" s="140"/>
      <c r="X214" s="140"/>
      <c r="Y214" s="140"/>
      <c r="Z214" s="140"/>
    </row>
    <row r="215" spans="1:26" x14ac:dyDescent="0.25">
      <c r="A215" s="140"/>
      <c r="B215" s="140"/>
      <c r="C215" s="140"/>
      <c r="D215" s="140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140"/>
      <c r="U215" s="140"/>
      <c r="V215" s="140"/>
      <c r="W215" s="140"/>
      <c r="X215" s="140"/>
      <c r="Y215" s="140"/>
      <c r="Z215" s="140"/>
    </row>
    <row r="216" spans="1:26" x14ac:dyDescent="0.25">
      <c r="A216" s="140"/>
      <c r="B216" s="140"/>
      <c r="C216" s="140"/>
      <c r="D216" s="140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140"/>
      <c r="U216" s="140"/>
      <c r="V216" s="140"/>
      <c r="W216" s="140"/>
      <c r="X216" s="140"/>
      <c r="Y216" s="140"/>
      <c r="Z216" s="140"/>
    </row>
    <row r="217" spans="1:26" x14ac:dyDescent="0.25">
      <c r="A217" s="140"/>
      <c r="B217" s="140"/>
      <c r="C217" s="140"/>
      <c r="D217" s="140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140"/>
      <c r="U217" s="140"/>
      <c r="V217" s="140"/>
      <c r="W217" s="140"/>
      <c r="X217" s="140"/>
      <c r="Y217" s="140"/>
      <c r="Z217" s="140"/>
    </row>
    <row r="218" spans="1:26" x14ac:dyDescent="0.25">
      <c r="A218" s="140"/>
      <c r="B218" s="140"/>
      <c r="C218" s="140"/>
      <c r="D218" s="140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140"/>
      <c r="U218" s="140"/>
      <c r="V218" s="140"/>
      <c r="W218" s="140"/>
      <c r="X218" s="140"/>
      <c r="Y218" s="140"/>
      <c r="Z218" s="140"/>
    </row>
    <row r="219" spans="1:26" x14ac:dyDescent="0.25">
      <c r="A219" s="140"/>
      <c r="B219" s="140"/>
      <c r="C219" s="140"/>
      <c r="D219" s="140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140"/>
      <c r="U219" s="140"/>
      <c r="V219" s="140"/>
      <c r="W219" s="140"/>
      <c r="X219" s="140"/>
      <c r="Y219" s="140"/>
      <c r="Z219" s="140"/>
    </row>
    <row r="220" spans="1:26" x14ac:dyDescent="0.25">
      <c r="A220" s="140"/>
      <c r="B220" s="140"/>
      <c r="C220" s="140"/>
      <c r="D220" s="140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140"/>
      <c r="U220" s="140"/>
      <c r="V220" s="140"/>
      <c r="W220" s="140"/>
      <c r="X220" s="140"/>
      <c r="Y220" s="140"/>
      <c r="Z220" s="140"/>
    </row>
    <row r="221" spans="1:26" x14ac:dyDescent="0.25">
      <c r="A221" s="140"/>
      <c r="B221" s="140"/>
      <c r="C221" s="140"/>
      <c r="D221" s="140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140"/>
      <c r="U221" s="140"/>
      <c r="V221" s="140"/>
      <c r="W221" s="140"/>
      <c r="X221" s="140"/>
      <c r="Y221" s="140"/>
      <c r="Z221" s="140"/>
    </row>
    <row r="222" spans="1:26" x14ac:dyDescent="0.25">
      <c r="A222" s="140"/>
      <c r="B222" s="140"/>
      <c r="C222" s="140"/>
      <c r="D222" s="140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140"/>
      <c r="U222" s="140"/>
      <c r="V222" s="140"/>
      <c r="W222" s="140"/>
      <c r="X222" s="140"/>
      <c r="Y222" s="140"/>
      <c r="Z222" s="140"/>
    </row>
    <row r="223" spans="1:26" x14ac:dyDescent="0.25">
      <c r="A223" s="140"/>
      <c r="B223" s="140"/>
      <c r="C223" s="140"/>
      <c r="D223" s="140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140"/>
      <c r="U223" s="140"/>
      <c r="V223" s="140"/>
      <c r="W223" s="140"/>
      <c r="X223" s="140"/>
      <c r="Y223" s="140"/>
      <c r="Z223" s="140"/>
    </row>
    <row r="224" spans="1:26" x14ac:dyDescent="0.25">
      <c r="A224" s="140"/>
      <c r="B224" s="140"/>
      <c r="C224" s="140"/>
      <c r="D224" s="140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140"/>
      <c r="U224" s="140"/>
      <c r="V224" s="140"/>
      <c r="W224" s="140"/>
      <c r="X224" s="140"/>
      <c r="Y224" s="140"/>
      <c r="Z224" s="140"/>
    </row>
    <row r="225" spans="1:26" x14ac:dyDescent="0.25">
      <c r="A225" s="140"/>
      <c r="B225" s="140"/>
      <c r="C225" s="140"/>
      <c r="D225" s="140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140"/>
      <c r="U225" s="140"/>
      <c r="V225" s="140"/>
      <c r="W225" s="140"/>
      <c r="X225" s="140"/>
      <c r="Y225" s="140"/>
      <c r="Z225" s="140"/>
    </row>
    <row r="226" spans="1:26" x14ac:dyDescent="0.25">
      <c r="A226" s="140"/>
      <c r="B226" s="140"/>
      <c r="C226" s="140"/>
      <c r="D226" s="140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140"/>
      <c r="U226" s="140"/>
      <c r="V226" s="140"/>
      <c r="W226" s="140"/>
      <c r="X226" s="140"/>
      <c r="Y226" s="140"/>
      <c r="Z226" s="140"/>
    </row>
    <row r="227" spans="1:26" x14ac:dyDescent="0.25">
      <c r="A227" s="140"/>
      <c r="B227" s="140"/>
      <c r="C227" s="140"/>
      <c r="D227" s="140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140"/>
      <c r="U227" s="140"/>
      <c r="V227" s="140"/>
      <c r="W227" s="140"/>
      <c r="X227" s="140"/>
      <c r="Y227" s="140"/>
      <c r="Z227" s="140"/>
    </row>
    <row r="228" spans="1:26" x14ac:dyDescent="0.25">
      <c r="A228" s="140"/>
      <c r="B228" s="140"/>
      <c r="C228" s="140"/>
      <c r="D228" s="140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140"/>
      <c r="U228" s="140"/>
      <c r="V228" s="140"/>
      <c r="W228" s="140"/>
      <c r="X228" s="140"/>
      <c r="Y228" s="140"/>
      <c r="Z228" s="140"/>
    </row>
    <row r="229" spans="1:26" x14ac:dyDescent="0.25">
      <c r="A229" s="140"/>
      <c r="B229" s="140"/>
      <c r="C229" s="140"/>
      <c r="D229" s="140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140"/>
      <c r="U229" s="140"/>
      <c r="V229" s="140"/>
      <c r="W229" s="140"/>
      <c r="X229" s="140"/>
      <c r="Y229" s="140"/>
      <c r="Z229" s="140"/>
    </row>
    <row r="230" spans="1:26" x14ac:dyDescent="0.25">
      <c r="A230" s="140"/>
      <c r="B230" s="140"/>
      <c r="C230" s="140"/>
      <c r="D230" s="140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140"/>
      <c r="U230" s="140"/>
      <c r="V230" s="140"/>
      <c r="W230" s="140"/>
      <c r="X230" s="140"/>
      <c r="Y230" s="140"/>
      <c r="Z230" s="140"/>
    </row>
    <row r="231" spans="1:26" x14ac:dyDescent="0.25">
      <c r="A231" s="140"/>
      <c r="B231" s="140"/>
      <c r="C231" s="140"/>
      <c r="D231" s="140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140"/>
      <c r="U231" s="140"/>
      <c r="V231" s="140"/>
      <c r="W231" s="140"/>
      <c r="X231" s="140"/>
      <c r="Y231" s="140"/>
      <c r="Z231" s="140"/>
    </row>
    <row r="232" spans="1:26" x14ac:dyDescent="0.25">
      <c r="A232" s="140"/>
      <c r="B232" s="140"/>
      <c r="C232" s="140"/>
      <c r="D232" s="140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140"/>
      <c r="U232" s="140"/>
      <c r="V232" s="140"/>
      <c r="W232" s="140"/>
      <c r="X232" s="140"/>
      <c r="Y232" s="140"/>
      <c r="Z232" s="140"/>
    </row>
    <row r="233" spans="1:26" x14ac:dyDescent="0.25">
      <c r="A233" s="140"/>
      <c r="B233" s="140"/>
      <c r="C233" s="140"/>
      <c r="D233" s="140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140"/>
      <c r="U233" s="140"/>
      <c r="V233" s="140"/>
      <c r="W233" s="140"/>
      <c r="X233" s="140"/>
      <c r="Y233" s="140"/>
      <c r="Z233" s="140"/>
    </row>
    <row r="234" spans="1:26" x14ac:dyDescent="0.25">
      <c r="A234" s="140"/>
      <c r="B234" s="140"/>
      <c r="C234" s="140"/>
      <c r="D234" s="140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140"/>
      <c r="U234" s="140"/>
      <c r="V234" s="140"/>
      <c r="W234" s="140"/>
      <c r="X234" s="140"/>
      <c r="Y234" s="140"/>
      <c r="Z234" s="140"/>
    </row>
    <row r="235" spans="1:26" x14ac:dyDescent="0.25">
      <c r="A235" s="140"/>
      <c r="B235" s="140"/>
      <c r="C235" s="140"/>
      <c r="D235" s="140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140"/>
      <c r="U235" s="140"/>
      <c r="V235" s="140"/>
      <c r="W235" s="140"/>
      <c r="X235" s="140"/>
      <c r="Y235" s="140"/>
      <c r="Z235" s="140"/>
    </row>
    <row r="236" spans="1:26" x14ac:dyDescent="0.25">
      <c r="A236" s="140"/>
      <c r="B236" s="140"/>
      <c r="C236" s="140"/>
      <c r="D236" s="140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140"/>
      <c r="U236" s="140"/>
      <c r="V236" s="140"/>
      <c r="W236" s="140"/>
      <c r="X236" s="140"/>
      <c r="Y236" s="140"/>
      <c r="Z236" s="140"/>
    </row>
    <row r="237" spans="1:26" x14ac:dyDescent="0.25">
      <c r="A237" s="140"/>
      <c r="B237" s="140"/>
      <c r="C237" s="140"/>
      <c r="D237" s="140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140"/>
      <c r="U237" s="140"/>
      <c r="V237" s="140"/>
      <c r="W237" s="140"/>
      <c r="X237" s="140"/>
      <c r="Y237" s="140"/>
      <c r="Z237" s="140"/>
    </row>
    <row r="238" spans="1:26" x14ac:dyDescent="0.25">
      <c r="A238" s="140"/>
      <c r="B238" s="140"/>
      <c r="C238" s="140"/>
      <c r="D238" s="140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140"/>
      <c r="U238" s="140"/>
      <c r="V238" s="140"/>
      <c r="W238" s="140"/>
      <c r="X238" s="140"/>
      <c r="Y238" s="140"/>
      <c r="Z238" s="140"/>
    </row>
    <row r="239" spans="1:26" x14ac:dyDescent="0.25">
      <c r="A239" s="140"/>
      <c r="B239" s="140"/>
      <c r="C239" s="140"/>
      <c r="D239" s="140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140"/>
      <c r="U239" s="140"/>
      <c r="V239" s="140"/>
      <c r="W239" s="140"/>
      <c r="X239" s="140"/>
      <c r="Y239" s="140"/>
      <c r="Z239" s="140"/>
    </row>
    <row r="240" spans="1:26" x14ac:dyDescent="0.25">
      <c r="A240" s="140"/>
      <c r="B240" s="140"/>
      <c r="C240" s="140"/>
      <c r="D240" s="140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140"/>
      <c r="U240" s="140"/>
      <c r="V240" s="140"/>
      <c r="W240" s="140"/>
      <c r="X240" s="140"/>
      <c r="Y240" s="140"/>
      <c r="Z240" s="140"/>
    </row>
    <row r="241" spans="1:26" x14ac:dyDescent="0.25">
      <c r="A241" s="140"/>
      <c r="B241" s="140"/>
      <c r="C241" s="140"/>
      <c r="D241" s="140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140"/>
      <c r="U241" s="140"/>
      <c r="V241" s="140"/>
      <c r="W241" s="140"/>
      <c r="X241" s="140"/>
      <c r="Y241" s="140"/>
      <c r="Z241" s="140"/>
    </row>
    <row r="242" spans="1:26" x14ac:dyDescent="0.25">
      <c r="A242" s="140"/>
      <c r="B242" s="140"/>
      <c r="C242" s="140"/>
      <c r="D242" s="140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140"/>
      <c r="U242" s="140"/>
      <c r="V242" s="140"/>
      <c r="W242" s="140"/>
      <c r="X242" s="140"/>
      <c r="Y242" s="140"/>
      <c r="Z242" s="140"/>
    </row>
    <row r="243" spans="1:26" x14ac:dyDescent="0.25">
      <c r="A243" s="140"/>
      <c r="B243" s="140"/>
      <c r="C243" s="140"/>
      <c r="D243" s="140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140"/>
      <c r="U243" s="140"/>
      <c r="V243" s="140"/>
      <c r="W243" s="140"/>
      <c r="X243" s="140"/>
      <c r="Y243" s="140"/>
      <c r="Z243" s="140"/>
    </row>
    <row r="244" spans="1:26" x14ac:dyDescent="0.25">
      <c r="A244" s="140"/>
      <c r="B244" s="140"/>
      <c r="C244" s="140"/>
      <c r="D244" s="140"/>
      <c r="E244" s="140"/>
      <c r="F244" s="140"/>
      <c r="G244" s="140"/>
      <c r="H244" s="140"/>
      <c r="I244" s="140"/>
      <c r="J244" s="140"/>
      <c r="K244" s="140"/>
      <c r="L244" s="140"/>
      <c r="M244" s="140"/>
      <c r="N244" s="140"/>
      <c r="O244" s="140"/>
      <c r="P244" s="140"/>
      <c r="Q244" s="140"/>
      <c r="R244" s="140"/>
      <c r="S244" s="140"/>
      <c r="T244" s="140"/>
      <c r="U244" s="140"/>
      <c r="V244" s="140"/>
      <c r="W244" s="140"/>
      <c r="X244" s="140"/>
      <c r="Y244" s="140"/>
      <c r="Z244" s="140"/>
    </row>
    <row r="245" spans="1:26" x14ac:dyDescent="0.25">
      <c r="A245" s="140"/>
      <c r="B245" s="140"/>
      <c r="C245" s="140"/>
      <c r="D245" s="140"/>
      <c r="E245" s="140"/>
      <c r="F245" s="140"/>
      <c r="G245" s="140"/>
      <c r="H245" s="140"/>
      <c r="I245" s="140"/>
      <c r="J245" s="140"/>
      <c r="K245" s="140"/>
      <c r="L245" s="140"/>
      <c r="M245" s="140"/>
      <c r="N245" s="140"/>
      <c r="O245" s="140"/>
      <c r="P245" s="140"/>
      <c r="Q245" s="140"/>
      <c r="R245" s="140"/>
      <c r="S245" s="140"/>
      <c r="T245" s="140"/>
      <c r="U245" s="140"/>
      <c r="V245" s="140"/>
      <c r="W245" s="140"/>
      <c r="X245" s="140"/>
      <c r="Y245" s="140"/>
      <c r="Z245" s="140"/>
    </row>
    <row r="246" spans="1:26" x14ac:dyDescent="0.25">
      <c r="A246" s="140"/>
      <c r="B246" s="140"/>
      <c r="C246" s="140"/>
      <c r="D246" s="140"/>
      <c r="E246" s="140"/>
      <c r="F246" s="140"/>
      <c r="G246" s="140"/>
      <c r="H246" s="140"/>
      <c r="I246" s="140"/>
      <c r="J246" s="140"/>
      <c r="K246" s="140"/>
      <c r="L246" s="140"/>
      <c r="M246" s="140"/>
      <c r="N246" s="140"/>
      <c r="O246" s="140"/>
      <c r="P246" s="140"/>
      <c r="Q246" s="140"/>
      <c r="R246" s="140"/>
      <c r="S246" s="140"/>
      <c r="T246" s="140"/>
      <c r="U246" s="140"/>
      <c r="V246" s="140"/>
      <c r="W246" s="140"/>
      <c r="X246" s="140"/>
      <c r="Y246" s="140"/>
      <c r="Z246" s="140"/>
    </row>
    <row r="247" spans="1:26" x14ac:dyDescent="0.25">
      <c r="A247" s="140"/>
      <c r="B247" s="140"/>
      <c r="C247" s="140"/>
      <c r="D247" s="140"/>
      <c r="E247" s="140"/>
      <c r="F247" s="140"/>
      <c r="G247" s="140"/>
      <c r="H247" s="140"/>
      <c r="I247" s="140"/>
      <c r="J247" s="140"/>
      <c r="K247" s="140"/>
      <c r="L247" s="140"/>
      <c r="M247" s="140"/>
      <c r="N247" s="140"/>
      <c r="O247" s="140"/>
      <c r="P247" s="140"/>
      <c r="Q247" s="140"/>
      <c r="R247" s="140"/>
      <c r="S247" s="140"/>
      <c r="T247" s="140"/>
      <c r="U247" s="140"/>
      <c r="V247" s="140"/>
      <c r="W247" s="140"/>
      <c r="X247" s="140"/>
      <c r="Y247" s="140"/>
      <c r="Z247" s="140"/>
    </row>
    <row r="248" spans="1:26" x14ac:dyDescent="0.25">
      <c r="A248" s="140"/>
      <c r="B248" s="140"/>
      <c r="C248" s="140"/>
      <c r="D248" s="140"/>
      <c r="E248" s="140"/>
      <c r="F248" s="140"/>
      <c r="G248" s="140"/>
      <c r="H248" s="140"/>
      <c r="I248" s="140"/>
      <c r="J248" s="140"/>
      <c r="K248" s="140"/>
      <c r="L248" s="140"/>
      <c r="M248" s="140"/>
      <c r="N248" s="140"/>
      <c r="O248" s="140"/>
      <c r="P248" s="140"/>
      <c r="Q248" s="140"/>
      <c r="R248" s="140"/>
      <c r="S248" s="140"/>
      <c r="T248" s="140"/>
      <c r="U248" s="140"/>
      <c r="V248" s="140"/>
      <c r="W248" s="140"/>
      <c r="X248" s="140"/>
      <c r="Y248" s="140"/>
      <c r="Z248" s="140"/>
    </row>
    <row r="249" spans="1:26" x14ac:dyDescent="0.25">
      <c r="A249" s="140"/>
      <c r="B249" s="140"/>
      <c r="C249" s="140"/>
      <c r="D249" s="140"/>
      <c r="E249" s="140"/>
      <c r="F249" s="140"/>
      <c r="G249" s="140"/>
      <c r="H249" s="140"/>
      <c r="I249" s="140"/>
      <c r="J249" s="140"/>
      <c r="K249" s="140"/>
      <c r="L249" s="140"/>
      <c r="M249" s="140"/>
      <c r="N249" s="140"/>
      <c r="O249" s="140"/>
      <c r="P249" s="140"/>
      <c r="Q249" s="140"/>
      <c r="R249" s="140"/>
      <c r="S249" s="140"/>
      <c r="T249" s="140"/>
      <c r="U249" s="140"/>
      <c r="V249" s="140"/>
      <c r="W249" s="140"/>
      <c r="X249" s="140"/>
      <c r="Y249" s="140"/>
      <c r="Z249" s="140"/>
    </row>
    <row r="250" spans="1:26" x14ac:dyDescent="0.25">
      <c r="A250" s="140"/>
      <c r="B250" s="140"/>
      <c r="C250" s="140"/>
      <c r="D250" s="140"/>
      <c r="E250" s="140"/>
      <c r="F250" s="140"/>
      <c r="G250" s="140"/>
      <c r="H250" s="140"/>
      <c r="I250" s="140"/>
      <c r="J250" s="140"/>
      <c r="K250" s="140"/>
      <c r="L250" s="140"/>
      <c r="M250" s="140"/>
      <c r="N250" s="140"/>
      <c r="O250" s="140"/>
      <c r="P250" s="140"/>
      <c r="Q250" s="140"/>
      <c r="R250" s="140"/>
      <c r="S250" s="140"/>
      <c r="T250" s="140"/>
      <c r="U250" s="140"/>
      <c r="V250" s="140"/>
      <c r="W250" s="140"/>
      <c r="X250" s="140"/>
      <c r="Y250" s="140"/>
      <c r="Z250" s="140"/>
    </row>
    <row r="251" spans="1:26" x14ac:dyDescent="0.25">
      <c r="A251" s="140"/>
      <c r="B251" s="140"/>
      <c r="C251" s="140"/>
      <c r="D251" s="140"/>
      <c r="E251" s="140"/>
      <c r="F251" s="140"/>
      <c r="G251" s="140"/>
      <c r="H251" s="140"/>
      <c r="I251" s="140"/>
      <c r="J251" s="140"/>
      <c r="K251" s="140"/>
      <c r="L251" s="140"/>
      <c r="M251" s="140"/>
      <c r="N251" s="140"/>
      <c r="O251" s="140"/>
      <c r="P251" s="140"/>
      <c r="Q251" s="140"/>
      <c r="R251" s="140"/>
      <c r="S251" s="140"/>
      <c r="T251" s="140"/>
      <c r="U251" s="140"/>
      <c r="V251" s="140"/>
      <c r="W251" s="140"/>
      <c r="X251" s="140"/>
      <c r="Y251" s="140"/>
      <c r="Z251" s="140"/>
    </row>
    <row r="252" spans="1:26" x14ac:dyDescent="0.25">
      <c r="A252" s="140"/>
      <c r="B252" s="140"/>
      <c r="C252" s="140"/>
      <c r="D252" s="140"/>
      <c r="E252" s="140"/>
      <c r="F252" s="140"/>
      <c r="G252" s="140"/>
      <c r="H252" s="140"/>
      <c r="I252" s="140"/>
      <c r="J252" s="140"/>
      <c r="K252" s="140"/>
      <c r="L252" s="140"/>
      <c r="M252" s="140"/>
      <c r="N252" s="140"/>
      <c r="O252" s="140"/>
      <c r="P252" s="140"/>
      <c r="Q252" s="140"/>
      <c r="R252" s="140"/>
      <c r="S252" s="140"/>
      <c r="T252" s="140"/>
      <c r="U252" s="140"/>
      <c r="V252" s="140"/>
      <c r="W252" s="140"/>
      <c r="X252" s="140"/>
      <c r="Y252" s="140"/>
      <c r="Z252" s="140"/>
    </row>
    <row r="253" spans="1:26" x14ac:dyDescent="0.25">
      <c r="A253" s="140"/>
      <c r="B253" s="140"/>
      <c r="C253" s="140"/>
      <c r="D253" s="140"/>
      <c r="E253" s="140"/>
      <c r="F253" s="140"/>
      <c r="G253" s="140"/>
      <c r="H253" s="140"/>
      <c r="I253" s="140"/>
      <c r="J253" s="140"/>
      <c r="K253" s="140"/>
      <c r="L253" s="140"/>
      <c r="M253" s="140"/>
      <c r="N253" s="140"/>
      <c r="O253" s="140"/>
      <c r="P253" s="140"/>
      <c r="Q253" s="140"/>
      <c r="R253" s="140"/>
      <c r="S253" s="140"/>
      <c r="T253" s="140"/>
      <c r="U253" s="140"/>
      <c r="V253" s="140"/>
      <c r="W253" s="140"/>
      <c r="X253" s="140"/>
      <c r="Y253" s="140"/>
      <c r="Z253" s="140"/>
    </row>
    <row r="254" spans="1:26" x14ac:dyDescent="0.25">
      <c r="A254" s="140"/>
      <c r="B254" s="140"/>
      <c r="C254" s="140"/>
      <c r="D254" s="140"/>
      <c r="E254" s="140"/>
      <c r="F254" s="140"/>
      <c r="G254" s="140"/>
      <c r="H254" s="140"/>
      <c r="I254" s="140"/>
      <c r="J254" s="140"/>
      <c r="K254" s="140"/>
      <c r="L254" s="140"/>
      <c r="M254" s="140"/>
      <c r="N254" s="140"/>
      <c r="O254" s="140"/>
      <c r="P254" s="140"/>
      <c r="Q254" s="140"/>
      <c r="R254" s="140"/>
      <c r="S254" s="140"/>
      <c r="T254" s="140"/>
      <c r="U254" s="140"/>
      <c r="V254" s="140"/>
      <c r="W254" s="140"/>
      <c r="X254" s="140"/>
      <c r="Y254" s="140"/>
      <c r="Z254" s="140"/>
    </row>
    <row r="255" spans="1:26" x14ac:dyDescent="0.25">
      <c r="A255" s="140"/>
      <c r="B255" s="140"/>
      <c r="C255" s="140"/>
      <c r="D255" s="140"/>
      <c r="E255" s="140"/>
      <c r="F255" s="140"/>
      <c r="G255" s="140"/>
      <c r="H255" s="140"/>
      <c r="I255" s="140"/>
      <c r="J255" s="140"/>
      <c r="K255" s="140"/>
      <c r="L255" s="140"/>
      <c r="M255" s="140"/>
      <c r="N255" s="140"/>
      <c r="O255" s="140"/>
      <c r="P255" s="140"/>
      <c r="Q255" s="140"/>
      <c r="R255" s="140"/>
      <c r="S255" s="140"/>
      <c r="T255" s="140"/>
      <c r="U255" s="140"/>
      <c r="V255" s="140"/>
      <c r="W255" s="140"/>
      <c r="X255" s="140"/>
      <c r="Y255" s="140"/>
      <c r="Z255" s="140"/>
    </row>
    <row r="256" spans="1:26" x14ac:dyDescent="0.25">
      <c r="A256" s="140"/>
      <c r="B256" s="140"/>
      <c r="C256" s="140"/>
      <c r="D256" s="140"/>
      <c r="E256" s="140"/>
      <c r="F256" s="140"/>
      <c r="G256" s="140"/>
      <c r="H256" s="140"/>
      <c r="I256" s="140"/>
      <c r="J256" s="140"/>
      <c r="K256" s="140"/>
      <c r="L256" s="140"/>
      <c r="M256" s="140"/>
      <c r="N256" s="140"/>
      <c r="O256" s="140"/>
      <c r="P256" s="140"/>
      <c r="Q256" s="140"/>
      <c r="R256" s="140"/>
      <c r="S256" s="140"/>
      <c r="T256" s="140"/>
      <c r="U256" s="140"/>
      <c r="V256" s="140"/>
      <c r="W256" s="140"/>
      <c r="X256" s="140"/>
      <c r="Y256" s="140"/>
      <c r="Z256" s="140"/>
    </row>
    <row r="257" spans="1:26" x14ac:dyDescent="0.25">
      <c r="A257" s="140"/>
      <c r="B257" s="140"/>
      <c r="C257" s="140"/>
      <c r="D257" s="140"/>
      <c r="E257" s="140"/>
      <c r="F257" s="140"/>
      <c r="G257" s="140"/>
      <c r="H257" s="140"/>
      <c r="I257" s="140"/>
      <c r="J257" s="140"/>
      <c r="K257" s="140"/>
      <c r="L257" s="140"/>
      <c r="M257" s="140"/>
      <c r="N257" s="140"/>
      <c r="O257" s="140"/>
      <c r="P257" s="140"/>
      <c r="Q257" s="140"/>
      <c r="R257" s="140"/>
      <c r="S257" s="140"/>
      <c r="T257" s="140"/>
      <c r="U257" s="140"/>
      <c r="V257" s="140"/>
      <c r="W257" s="140"/>
      <c r="X257" s="140"/>
      <c r="Y257" s="140"/>
      <c r="Z257" s="140"/>
    </row>
    <row r="258" spans="1:26" x14ac:dyDescent="0.25">
      <c r="A258" s="140"/>
      <c r="B258" s="140"/>
      <c r="C258" s="140"/>
      <c r="D258" s="140"/>
      <c r="E258" s="140"/>
      <c r="F258" s="140"/>
      <c r="G258" s="140"/>
      <c r="H258" s="140"/>
      <c r="I258" s="140"/>
      <c r="J258" s="140"/>
      <c r="K258" s="140"/>
      <c r="L258" s="140"/>
      <c r="M258" s="140"/>
      <c r="N258" s="140"/>
      <c r="O258" s="140"/>
      <c r="P258" s="140"/>
      <c r="Q258" s="140"/>
      <c r="R258" s="140"/>
      <c r="S258" s="140"/>
      <c r="T258" s="140"/>
      <c r="U258" s="140"/>
      <c r="V258" s="140"/>
      <c r="W258" s="140"/>
      <c r="X258" s="140"/>
      <c r="Y258" s="140"/>
      <c r="Z258" s="140"/>
    </row>
    <row r="259" spans="1:26" x14ac:dyDescent="0.25">
      <c r="A259" s="140"/>
      <c r="B259" s="140"/>
      <c r="C259" s="140"/>
      <c r="D259" s="140"/>
      <c r="E259" s="140"/>
      <c r="F259" s="140"/>
      <c r="G259" s="140"/>
      <c r="H259" s="140"/>
      <c r="I259" s="140"/>
      <c r="J259" s="140"/>
      <c r="K259" s="140"/>
      <c r="L259" s="140"/>
      <c r="M259" s="140"/>
      <c r="N259" s="140"/>
      <c r="O259" s="140"/>
      <c r="P259" s="140"/>
      <c r="Q259" s="140"/>
      <c r="R259" s="140"/>
      <c r="S259" s="140"/>
      <c r="T259" s="140"/>
      <c r="U259" s="140"/>
      <c r="V259" s="140"/>
      <c r="W259" s="140"/>
      <c r="X259" s="140"/>
      <c r="Y259" s="140"/>
      <c r="Z259" s="140"/>
    </row>
    <row r="260" spans="1:26" x14ac:dyDescent="0.25">
      <c r="A260" s="140"/>
      <c r="B260" s="140"/>
      <c r="C260" s="140"/>
      <c r="D260" s="140"/>
      <c r="E260" s="140"/>
      <c r="F260" s="140"/>
      <c r="G260" s="140"/>
      <c r="H260" s="140"/>
      <c r="I260" s="140"/>
      <c r="J260" s="140"/>
      <c r="K260" s="140"/>
      <c r="L260" s="140"/>
      <c r="M260" s="140"/>
      <c r="N260" s="140"/>
      <c r="O260" s="140"/>
      <c r="P260" s="140"/>
      <c r="Q260" s="140"/>
      <c r="R260" s="140"/>
      <c r="S260" s="140"/>
      <c r="T260" s="140"/>
      <c r="U260" s="140"/>
      <c r="V260" s="140"/>
      <c r="W260" s="140"/>
      <c r="X260" s="140"/>
      <c r="Y260" s="140"/>
      <c r="Z260" s="140"/>
    </row>
    <row r="261" spans="1:26" x14ac:dyDescent="0.25">
      <c r="A261" s="140"/>
      <c r="B261" s="140"/>
      <c r="C261" s="140"/>
      <c r="D261" s="140"/>
      <c r="E261" s="140"/>
      <c r="F261" s="140"/>
      <c r="G261" s="140"/>
      <c r="H261" s="140"/>
      <c r="I261" s="140"/>
      <c r="J261" s="140"/>
      <c r="K261" s="140"/>
      <c r="L261" s="140"/>
      <c r="M261" s="140"/>
      <c r="N261" s="140"/>
      <c r="O261" s="140"/>
      <c r="P261" s="140"/>
      <c r="Q261" s="140"/>
      <c r="R261" s="140"/>
      <c r="S261" s="140"/>
      <c r="T261" s="140"/>
      <c r="U261" s="140"/>
      <c r="V261" s="140"/>
      <c r="W261" s="140"/>
      <c r="X261" s="140"/>
      <c r="Y261" s="140"/>
      <c r="Z261" s="140"/>
    </row>
    <row r="262" spans="1:26" x14ac:dyDescent="0.25">
      <c r="A262" s="140"/>
      <c r="B262" s="140"/>
      <c r="C262" s="140"/>
      <c r="D262" s="140"/>
      <c r="E262" s="140"/>
      <c r="F262" s="140"/>
      <c r="G262" s="140"/>
      <c r="H262" s="140"/>
      <c r="I262" s="140"/>
      <c r="J262" s="140"/>
      <c r="K262" s="140"/>
      <c r="L262" s="140"/>
      <c r="M262" s="140"/>
      <c r="N262" s="140"/>
      <c r="O262" s="140"/>
      <c r="P262" s="140"/>
      <c r="Q262" s="140"/>
      <c r="R262" s="140"/>
      <c r="S262" s="140"/>
      <c r="T262" s="140"/>
      <c r="U262" s="140"/>
      <c r="V262" s="140"/>
      <c r="W262" s="140"/>
      <c r="X262" s="140"/>
      <c r="Y262" s="140"/>
      <c r="Z262" s="140"/>
    </row>
    <row r="263" spans="1:26" x14ac:dyDescent="0.25">
      <c r="A263" s="140"/>
      <c r="B263" s="140"/>
      <c r="C263" s="140"/>
      <c r="D263" s="140"/>
      <c r="E263" s="140"/>
      <c r="F263" s="140"/>
      <c r="G263" s="140"/>
      <c r="H263" s="140"/>
      <c r="I263" s="140"/>
      <c r="J263" s="140"/>
      <c r="K263" s="140"/>
      <c r="L263" s="140"/>
      <c r="M263" s="140"/>
      <c r="N263" s="140"/>
      <c r="O263" s="140"/>
      <c r="P263" s="140"/>
      <c r="Q263" s="140"/>
      <c r="R263" s="140"/>
      <c r="S263" s="140"/>
      <c r="T263" s="140"/>
      <c r="U263" s="140"/>
      <c r="V263" s="140"/>
      <c r="W263" s="140"/>
      <c r="X263" s="140"/>
      <c r="Y263" s="140"/>
      <c r="Z263" s="140"/>
    </row>
    <row r="264" spans="1:26" x14ac:dyDescent="0.25">
      <c r="A264" s="140"/>
      <c r="B264" s="140"/>
      <c r="C264" s="140"/>
      <c r="D264" s="140"/>
      <c r="E264" s="140"/>
      <c r="F264" s="140"/>
      <c r="G264" s="140"/>
      <c r="H264" s="140"/>
      <c r="I264" s="140"/>
      <c r="J264" s="140"/>
      <c r="K264" s="140"/>
      <c r="L264" s="140"/>
      <c r="M264" s="140"/>
      <c r="N264" s="140"/>
      <c r="O264" s="140"/>
      <c r="P264" s="140"/>
      <c r="Q264" s="140"/>
      <c r="R264" s="140"/>
      <c r="S264" s="140"/>
      <c r="T264" s="140"/>
      <c r="U264" s="140"/>
      <c r="V264" s="140"/>
      <c r="W264" s="140"/>
      <c r="X264" s="140"/>
      <c r="Y264" s="140"/>
      <c r="Z264" s="140"/>
    </row>
    <row r="265" spans="1:26" x14ac:dyDescent="0.25">
      <c r="A265" s="140"/>
      <c r="B265" s="140"/>
      <c r="C265" s="140"/>
      <c r="D265" s="140"/>
      <c r="E265" s="140"/>
      <c r="F265" s="140"/>
      <c r="G265" s="140"/>
      <c r="H265" s="140"/>
      <c r="I265" s="140"/>
      <c r="J265" s="140"/>
      <c r="K265" s="140"/>
      <c r="L265" s="140"/>
      <c r="M265" s="140"/>
      <c r="N265" s="140"/>
      <c r="O265" s="140"/>
      <c r="P265" s="140"/>
      <c r="Q265" s="140"/>
      <c r="R265" s="140"/>
      <c r="S265" s="140"/>
      <c r="T265" s="140"/>
      <c r="U265" s="140"/>
      <c r="V265" s="140"/>
      <c r="W265" s="140"/>
      <c r="X265" s="140"/>
      <c r="Y265" s="140"/>
      <c r="Z265" s="140"/>
    </row>
    <row r="266" spans="1:26" x14ac:dyDescent="0.25">
      <c r="A266" s="140"/>
      <c r="B266" s="140"/>
      <c r="C266" s="140"/>
      <c r="D266" s="140"/>
      <c r="E266" s="140"/>
      <c r="F266" s="140"/>
      <c r="G266" s="140"/>
      <c r="H266" s="140"/>
      <c r="I266" s="140"/>
      <c r="J266" s="140"/>
      <c r="K266" s="140"/>
      <c r="L266" s="140"/>
      <c r="M266" s="140"/>
      <c r="N266" s="140"/>
      <c r="O266" s="140"/>
      <c r="P266" s="140"/>
      <c r="Q266" s="140"/>
      <c r="R266" s="140"/>
      <c r="S266" s="140"/>
      <c r="T266" s="140"/>
      <c r="U266" s="140"/>
      <c r="V266" s="140"/>
      <c r="W266" s="140"/>
      <c r="X266" s="140"/>
      <c r="Y266" s="140"/>
      <c r="Z266" s="140"/>
    </row>
    <row r="267" spans="1:26" x14ac:dyDescent="0.25">
      <c r="A267" s="140"/>
      <c r="B267" s="140"/>
      <c r="C267" s="140"/>
      <c r="D267" s="140"/>
      <c r="E267" s="140"/>
      <c r="F267" s="140"/>
      <c r="G267" s="140"/>
      <c r="H267" s="140"/>
      <c r="I267" s="140"/>
      <c r="J267" s="140"/>
      <c r="K267" s="140"/>
      <c r="L267" s="140"/>
      <c r="M267" s="140"/>
      <c r="N267" s="140"/>
      <c r="O267" s="140"/>
      <c r="P267" s="140"/>
      <c r="Q267" s="140"/>
      <c r="R267" s="140"/>
      <c r="S267" s="140"/>
      <c r="T267" s="140"/>
      <c r="U267" s="140"/>
      <c r="V267" s="140"/>
      <c r="W267" s="140"/>
      <c r="X267" s="140"/>
      <c r="Y267" s="140"/>
      <c r="Z267" s="140"/>
    </row>
    <row r="268" spans="1:26" x14ac:dyDescent="0.25">
      <c r="A268" s="140"/>
      <c r="B268" s="140"/>
      <c r="C268" s="140"/>
      <c r="D268" s="140"/>
      <c r="E268" s="140"/>
      <c r="F268" s="140"/>
      <c r="G268" s="140"/>
      <c r="H268" s="140"/>
      <c r="I268" s="140"/>
      <c r="J268" s="140"/>
      <c r="K268" s="140"/>
      <c r="L268" s="140"/>
      <c r="M268" s="140"/>
      <c r="N268" s="140"/>
      <c r="O268" s="140"/>
      <c r="P268" s="140"/>
      <c r="Q268" s="140"/>
      <c r="R268" s="140"/>
      <c r="S268" s="140"/>
      <c r="T268" s="140"/>
      <c r="U268" s="140"/>
      <c r="V268" s="140"/>
      <c r="W268" s="140"/>
      <c r="X268" s="140"/>
      <c r="Y268" s="140"/>
      <c r="Z268" s="140"/>
    </row>
    <row r="269" spans="1:26" x14ac:dyDescent="0.25">
      <c r="A269" s="140"/>
      <c r="B269" s="140"/>
      <c r="C269" s="140"/>
      <c r="D269" s="140"/>
      <c r="E269" s="140"/>
      <c r="F269" s="140"/>
      <c r="G269" s="140"/>
      <c r="H269" s="140"/>
      <c r="I269" s="140"/>
      <c r="J269" s="140"/>
      <c r="K269" s="140"/>
      <c r="L269" s="140"/>
      <c r="M269" s="140"/>
      <c r="N269" s="140"/>
      <c r="O269" s="140"/>
      <c r="P269" s="140"/>
      <c r="Q269" s="140"/>
      <c r="R269" s="140"/>
      <c r="S269" s="140"/>
      <c r="T269" s="140"/>
      <c r="U269" s="140"/>
      <c r="V269" s="140"/>
      <c r="W269" s="140"/>
      <c r="X269" s="140"/>
      <c r="Y269" s="140"/>
      <c r="Z269" s="140"/>
    </row>
    <row r="270" spans="1:26" x14ac:dyDescent="0.25">
      <c r="A270" s="140"/>
      <c r="B270" s="140"/>
      <c r="C270" s="140"/>
      <c r="D270" s="140"/>
      <c r="E270" s="140"/>
      <c r="F270" s="140"/>
      <c r="G270" s="140"/>
      <c r="H270" s="140"/>
      <c r="I270" s="140"/>
      <c r="J270" s="140"/>
      <c r="K270" s="140"/>
      <c r="L270" s="140"/>
      <c r="M270" s="140"/>
      <c r="N270" s="140"/>
      <c r="O270" s="140"/>
      <c r="P270" s="140"/>
      <c r="Q270" s="140"/>
      <c r="R270" s="140"/>
      <c r="S270" s="140"/>
      <c r="T270" s="140"/>
      <c r="U270" s="140"/>
      <c r="V270" s="140"/>
      <c r="W270" s="140"/>
      <c r="X270" s="140"/>
      <c r="Y270" s="140"/>
      <c r="Z270" s="140"/>
    </row>
    <row r="271" spans="1:26" x14ac:dyDescent="0.25">
      <c r="A271" s="140"/>
      <c r="B271" s="140"/>
      <c r="C271" s="140"/>
      <c r="D271" s="140"/>
      <c r="E271" s="140"/>
      <c r="F271" s="140"/>
      <c r="G271" s="140"/>
      <c r="H271" s="140"/>
      <c r="I271" s="140"/>
      <c r="J271" s="140"/>
      <c r="K271" s="140"/>
      <c r="L271" s="140"/>
      <c r="M271" s="140"/>
      <c r="N271" s="140"/>
      <c r="O271" s="140"/>
      <c r="P271" s="140"/>
      <c r="Q271" s="140"/>
      <c r="R271" s="140"/>
      <c r="S271" s="140"/>
      <c r="T271" s="140"/>
      <c r="U271" s="140"/>
      <c r="V271" s="140"/>
      <c r="W271" s="140"/>
      <c r="X271" s="140"/>
      <c r="Y271" s="140"/>
      <c r="Z271" s="140"/>
    </row>
    <row r="272" spans="1:26" x14ac:dyDescent="0.25">
      <c r="A272" s="140"/>
      <c r="B272" s="140"/>
      <c r="C272" s="140"/>
      <c r="D272" s="140"/>
      <c r="E272" s="140"/>
      <c r="F272" s="140"/>
      <c r="G272" s="140"/>
      <c r="H272" s="140"/>
      <c r="I272" s="140"/>
      <c r="J272" s="140"/>
      <c r="K272" s="140"/>
      <c r="L272" s="140"/>
      <c r="M272" s="140"/>
      <c r="N272" s="140"/>
      <c r="O272" s="140"/>
      <c r="P272" s="140"/>
      <c r="Q272" s="140"/>
      <c r="R272" s="140"/>
      <c r="S272" s="140"/>
      <c r="T272" s="140"/>
      <c r="U272" s="140"/>
      <c r="V272" s="140"/>
      <c r="W272" s="140"/>
      <c r="X272" s="140"/>
      <c r="Y272" s="140"/>
      <c r="Z272" s="140"/>
    </row>
    <row r="273" spans="1:26" x14ac:dyDescent="0.25">
      <c r="A273" s="140"/>
      <c r="B273" s="140"/>
      <c r="C273" s="140"/>
      <c r="D273" s="140"/>
      <c r="E273" s="140"/>
      <c r="F273" s="140"/>
      <c r="G273" s="140"/>
      <c r="H273" s="140"/>
      <c r="I273" s="140"/>
      <c r="J273" s="140"/>
      <c r="K273" s="140"/>
      <c r="L273" s="140"/>
      <c r="M273" s="140"/>
      <c r="N273" s="140"/>
      <c r="O273" s="140"/>
      <c r="P273" s="140"/>
      <c r="Q273" s="140"/>
      <c r="R273" s="140"/>
      <c r="S273" s="140"/>
      <c r="T273" s="140"/>
      <c r="U273" s="140"/>
      <c r="V273" s="140"/>
      <c r="W273" s="140"/>
      <c r="X273" s="140"/>
      <c r="Y273" s="140"/>
      <c r="Z273" s="140"/>
    </row>
    <row r="274" spans="1:26" x14ac:dyDescent="0.25">
      <c r="A274" s="140"/>
      <c r="B274" s="140"/>
      <c r="C274" s="140"/>
      <c r="D274" s="140"/>
      <c r="E274" s="140"/>
      <c r="F274" s="140"/>
      <c r="G274" s="140"/>
      <c r="H274" s="140"/>
      <c r="I274" s="140"/>
      <c r="J274" s="140"/>
      <c r="K274" s="140"/>
      <c r="L274" s="140"/>
      <c r="M274" s="140"/>
      <c r="N274" s="140"/>
      <c r="O274" s="140"/>
      <c r="P274" s="140"/>
      <c r="Q274" s="140"/>
      <c r="R274" s="140"/>
      <c r="S274" s="140"/>
      <c r="T274" s="140"/>
      <c r="U274" s="140"/>
      <c r="V274" s="140"/>
      <c r="W274" s="140"/>
      <c r="X274" s="140"/>
      <c r="Y274" s="140"/>
      <c r="Z274" s="140"/>
    </row>
    <row r="275" spans="1:26" x14ac:dyDescent="0.25">
      <c r="A275" s="140"/>
      <c r="B275" s="140"/>
      <c r="C275" s="140"/>
      <c r="D275" s="140"/>
      <c r="E275" s="140"/>
      <c r="F275" s="140"/>
      <c r="G275" s="140"/>
      <c r="H275" s="140"/>
      <c r="I275" s="140"/>
      <c r="J275" s="140"/>
      <c r="K275" s="140"/>
      <c r="L275" s="140"/>
      <c r="M275" s="140"/>
      <c r="N275" s="140"/>
      <c r="O275" s="140"/>
      <c r="P275" s="140"/>
      <c r="Q275" s="140"/>
      <c r="R275" s="140"/>
      <c r="S275" s="140"/>
      <c r="T275" s="140"/>
      <c r="U275" s="140"/>
      <c r="V275" s="140"/>
      <c r="W275" s="140"/>
      <c r="X275" s="140"/>
      <c r="Y275" s="140"/>
      <c r="Z275" s="140"/>
    </row>
    <row r="276" spans="1:26" x14ac:dyDescent="0.25">
      <c r="A276" s="140"/>
      <c r="B276" s="140"/>
      <c r="C276" s="140"/>
      <c r="D276" s="140"/>
      <c r="E276" s="140"/>
      <c r="F276" s="140"/>
      <c r="G276" s="140"/>
      <c r="H276" s="140"/>
      <c r="I276" s="140"/>
      <c r="J276" s="140"/>
      <c r="K276" s="140"/>
      <c r="L276" s="140"/>
      <c r="M276" s="140"/>
      <c r="N276" s="140"/>
      <c r="O276" s="140"/>
      <c r="P276" s="140"/>
      <c r="Q276" s="140"/>
      <c r="R276" s="140"/>
      <c r="S276" s="140"/>
      <c r="T276" s="140"/>
      <c r="U276" s="140"/>
      <c r="V276" s="140"/>
      <c r="W276" s="140"/>
      <c r="X276" s="140"/>
      <c r="Y276" s="140"/>
      <c r="Z276" s="140"/>
    </row>
    <row r="277" spans="1:26" x14ac:dyDescent="0.25">
      <c r="A277" s="140"/>
      <c r="B277" s="140"/>
      <c r="C277" s="140"/>
      <c r="D277" s="140"/>
      <c r="E277" s="140"/>
      <c r="F277" s="140"/>
      <c r="G277" s="140"/>
      <c r="H277" s="140"/>
      <c r="I277" s="140"/>
      <c r="J277" s="140"/>
      <c r="K277" s="140"/>
      <c r="L277" s="140"/>
      <c r="M277" s="140"/>
      <c r="N277" s="140"/>
      <c r="O277" s="140"/>
      <c r="P277" s="140"/>
      <c r="Q277" s="140"/>
      <c r="R277" s="140"/>
      <c r="S277" s="140"/>
      <c r="T277" s="140"/>
      <c r="U277" s="140"/>
      <c r="V277" s="140"/>
      <c r="W277" s="140"/>
      <c r="X277" s="140"/>
      <c r="Y277" s="140"/>
      <c r="Z277" s="140"/>
    </row>
    <row r="278" spans="1:26" x14ac:dyDescent="0.25">
      <c r="A278" s="140"/>
      <c r="B278" s="140"/>
      <c r="C278" s="140"/>
      <c r="D278" s="140"/>
      <c r="E278" s="140"/>
      <c r="F278" s="140"/>
      <c r="G278" s="140"/>
      <c r="H278" s="140"/>
      <c r="I278" s="140"/>
      <c r="J278" s="140"/>
      <c r="K278" s="140"/>
      <c r="L278" s="140"/>
      <c r="M278" s="140"/>
      <c r="N278" s="140"/>
      <c r="O278" s="140"/>
      <c r="P278" s="140"/>
      <c r="Q278" s="140"/>
      <c r="R278" s="140"/>
      <c r="S278" s="140"/>
      <c r="T278" s="140"/>
      <c r="U278" s="140"/>
      <c r="V278" s="140"/>
      <c r="W278" s="140"/>
      <c r="X278" s="140"/>
      <c r="Y278" s="140"/>
      <c r="Z278" s="140"/>
    </row>
    <row r="279" spans="1:26" x14ac:dyDescent="0.25">
      <c r="A279" s="140"/>
      <c r="B279" s="140"/>
      <c r="C279" s="140"/>
      <c r="D279" s="140"/>
      <c r="E279" s="140"/>
      <c r="F279" s="140"/>
      <c r="G279" s="140"/>
      <c r="H279" s="140"/>
      <c r="I279" s="140"/>
      <c r="J279" s="140"/>
      <c r="K279" s="140"/>
      <c r="L279" s="140"/>
      <c r="M279" s="140"/>
      <c r="N279" s="140"/>
      <c r="O279" s="140"/>
      <c r="P279" s="140"/>
      <c r="Q279" s="140"/>
      <c r="R279" s="140"/>
      <c r="S279" s="140"/>
      <c r="T279" s="140"/>
      <c r="U279" s="140"/>
      <c r="V279" s="140"/>
      <c r="W279" s="140"/>
      <c r="X279" s="140"/>
      <c r="Y279" s="140"/>
      <c r="Z279" s="140"/>
    </row>
    <row r="280" spans="1:26" x14ac:dyDescent="0.25">
      <c r="A280" s="140"/>
      <c r="B280" s="140"/>
      <c r="C280" s="140"/>
      <c r="D280" s="140"/>
      <c r="E280" s="140"/>
      <c r="F280" s="140"/>
      <c r="G280" s="140"/>
      <c r="H280" s="140"/>
      <c r="I280" s="140"/>
      <c r="J280" s="140"/>
      <c r="K280" s="140"/>
      <c r="L280" s="140"/>
      <c r="M280" s="140"/>
      <c r="N280" s="140"/>
      <c r="O280" s="140"/>
      <c r="P280" s="140"/>
      <c r="Q280" s="140"/>
      <c r="R280" s="140"/>
      <c r="S280" s="140"/>
      <c r="T280" s="140"/>
      <c r="U280" s="140"/>
      <c r="V280" s="140"/>
      <c r="W280" s="140"/>
      <c r="X280" s="140"/>
      <c r="Y280" s="140"/>
      <c r="Z280" s="140"/>
    </row>
    <row r="281" spans="1:26" x14ac:dyDescent="0.25">
      <c r="A281" s="140"/>
      <c r="B281" s="140"/>
      <c r="C281" s="140"/>
      <c r="D281" s="140"/>
      <c r="E281" s="140"/>
      <c r="F281" s="140"/>
      <c r="G281" s="140"/>
      <c r="H281" s="140"/>
      <c r="I281" s="140"/>
      <c r="J281" s="140"/>
      <c r="K281" s="140"/>
      <c r="L281" s="140"/>
      <c r="M281" s="140"/>
      <c r="N281" s="140"/>
      <c r="O281" s="140"/>
      <c r="P281" s="140"/>
      <c r="Q281" s="140"/>
      <c r="R281" s="140"/>
      <c r="S281" s="140"/>
      <c r="T281" s="140"/>
      <c r="U281" s="140"/>
      <c r="V281" s="140"/>
      <c r="W281" s="140"/>
      <c r="X281" s="140"/>
      <c r="Y281" s="140"/>
      <c r="Z281" s="140"/>
    </row>
    <row r="282" spans="1:26" x14ac:dyDescent="0.25">
      <c r="A282" s="140"/>
      <c r="B282" s="140"/>
      <c r="C282" s="140"/>
      <c r="D282" s="140"/>
      <c r="E282" s="140"/>
      <c r="F282" s="140"/>
      <c r="G282" s="140"/>
      <c r="H282" s="140"/>
      <c r="I282" s="140"/>
      <c r="J282" s="140"/>
      <c r="K282" s="140"/>
      <c r="L282" s="140"/>
      <c r="M282" s="140"/>
      <c r="N282" s="140"/>
      <c r="O282" s="140"/>
      <c r="P282" s="140"/>
      <c r="Q282" s="140"/>
      <c r="R282" s="140"/>
      <c r="S282" s="140"/>
      <c r="T282" s="140"/>
      <c r="U282" s="140"/>
      <c r="V282" s="140"/>
      <c r="W282" s="140"/>
      <c r="X282" s="140"/>
      <c r="Y282" s="140"/>
      <c r="Z282" s="140"/>
    </row>
    <row r="283" spans="1:26" x14ac:dyDescent="0.25">
      <c r="A283" s="140"/>
      <c r="B283" s="140"/>
      <c r="C283" s="140"/>
      <c r="D283" s="140"/>
      <c r="E283" s="140"/>
      <c r="F283" s="140"/>
      <c r="G283" s="140"/>
      <c r="H283" s="140"/>
      <c r="I283" s="140"/>
      <c r="J283" s="140"/>
      <c r="K283" s="140"/>
      <c r="L283" s="140"/>
      <c r="M283" s="140"/>
      <c r="N283" s="140"/>
      <c r="O283" s="140"/>
      <c r="P283" s="140"/>
      <c r="Q283" s="140"/>
      <c r="R283" s="140"/>
      <c r="S283" s="140"/>
      <c r="T283" s="140"/>
      <c r="U283" s="140"/>
      <c r="V283" s="140"/>
      <c r="W283" s="140"/>
      <c r="X283" s="140"/>
      <c r="Y283" s="140"/>
      <c r="Z283" s="140"/>
    </row>
    <row r="284" spans="1:26" x14ac:dyDescent="0.25">
      <c r="A284" s="140"/>
      <c r="B284" s="140"/>
      <c r="C284" s="140"/>
      <c r="D284" s="140"/>
      <c r="E284" s="140"/>
      <c r="F284" s="140"/>
      <c r="G284" s="140"/>
      <c r="H284" s="140"/>
      <c r="I284" s="140"/>
      <c r="J284" s="140"/>
      <c r="K284" s="140"/>
      <c r="L284" s="140"/>
      <c r="M284" s="140"/>
      <c r="N284" s="140"/>
      <c r="O284" s="140"/>
      <c r="P284" s="140"/>
      <c r="Q284" s="140"/>
      <c r="R284" s="140"/>
      <c r="S284" s="140"/>
      <c r="T284" s="140"/>
      <c r="U284" s="140"/>
      <c r="V284" s="140"/>
      <c r="W284" s="140"/>
      <c r="X284" s="140"/>
      <c r="Y284" s="140"/>
      <c r="Z284" s="140"/>
    </row>
    <row r="285" spans="1:26" x14ac:dyDescent="0.25">
      <c r="A285" s="140"/>
      <c r="B285" s="140"/>
      <c r="C285" s="140"/>
      <c r="D285" s="140"/>
      <c r="E285" s="140"/>
      <c r="F285" s="140"/>
      <c r="G285" s="140"/>
      <c r="H285" s="140"/>
      <c r="I285" s="140"/>
      <c r="J285" s="140"/>
      <c r="K285" s="140"/>
      <c r="L285" s="140"/>
      <c r="M285" s="140"/>
      <c r="N285" s="140"/>
      <c r="O285" s="140"/>
      <c r="P285" s="140"/>
      <c r="Q285" s="140"/>
      <c r="R285" s="140"/>
      <c r="S285" s="140"/>
      <c r="T285" s="140"/>
      <c r="U285" s="140"/>
      <c r="V285" s="140"/>
      <c r="W285" s="140"/>
      <c r="X285" s="140"/>
      <c r="Y285" s="140"/>
      <c r="Z285" s="140"/>
    </row>
    <row r="286" spans="1:26" x14ac:dyDescent="0.25">
      <c r="A286" s="140"/>
      <c r="B286" s="140"/>
      <c r="C286" s="140"/>
      <c r="D286" s="140"/>
      <c r="E286" s="140"/>
      <c r="F286" s="140"/>
      <c r="G286" s="140"/>
      <c r="H286" s="140"/>
      <c r="I286" s="140"/>
      <c r="J286" s="140"/>
      <c r="K286" s="140"/>
      <c r="L286" s="140"/>
      <c r="M286" s="140"/>
      <c r="N286" s="140"/>
      <c r="O286" s="140"/>
      <c r="P286" s="140"/>
      <c r="Q286" s="140"/>
      <c r="R286" s="140"/>
      <c r="S286" s="140"/>
      <c r="T286" s="140"/>
      <c r="U286" s="140"/>
      <c r="V286" s="140"/>
      <c r="W286" s="140"/>
      <c r="X286" s="140"/>
      <c r="Y286" s="140"/>
      <c r="Z286" s="140"/>
    </row>
    <row r="287" spans="1:26" x14ac:dyDescent="0.25">
      <c r="A287" s="140"/>
      <c r="B287" s="140"/>
      <c r="C287" s="140"/>
      <c r="D287" s="140"/>
      <c r="E287" s="140"/>
      <c r="F287" s="140"/>
      <c r="G287" s="140"/>
      <c r="H287" s="140"/>
      <c r="I287" s="140"/>
      <c r="J287" s="140"/>
      <c r="K287" s="140"/>
      <c r="L287" s="140"/>
      <c r="M287" s="140"/>
      <c r="N287" s="140"/>
      <c r="O287" s="140"/>
      <c r="P287" s="140"/>
      <c r="Q287" s="140"/>
      <c r="R287" s="140"/>
      <c r="S287" s="140"/>
      <c r="T287" s="140"/>
      <c r="U287" s="140"/>
      <c r="V287" s="140"/>
      <c r="W287" s="140"/>
      <c r="X287" s="140"/>
      <c r="Y287" s="140"/>
      <c r="Z287" s="140"/>
    </row>
    <row r="288" spans="1:26" x14ac:dyDescent="0.25">
      <c r="A288" s="140"/>
      <c r="B288" s="140"/>
      <c r="C288" s="140"/>
      <c r="D288" s="140"/>
      <c r="E288" s="140"/>
      <c r="F288" s="140"/>
      <c r="G288" s="140"/>
      <c r="H288" s="140"/>
      <c r="I288" s="140"/>
      <c r="J288" s="140"/>
      <c r="K288" s="140"/>
      <c r="L288" s="140"/>
      <c r="M288" s="140"/>
      <c r="N288" s="140"/>
      <c r="O288" s="140"/>
      <c r="P288" s="140"/>
      <c r="Q288" s="140"/>
      <c r="R288" s="140"/>
      <c r="S288" s="140"/>
      <c r="T288" s="140"/>
      <c r="U288" s="140"/>
      <c r="V288" s="140"/>
      <c r="W288" s="140"/>
      <c r="X288" s="140"/>
      <c r="Y288" s="140"/>
      <c r="Z288" s="140"/>
    </row>
    <row r="289" spans="1:26" x14ac:dyDescent="0.25">
      <c r="A289" s="140"/>
      <c r="B289" s="140"/>
      <c r="C289" s="140"/>
      <c r="D289" s="140"/>
      <c r="E289" s="140"/>
      <c r="F289" s="140"/>
      <c r="G289" s="140"/>
      <c r="H289" s="140"/>
      <c r="I289" s="140"/>
      <c r="J289" s="140"/>
      <c r="K289" s="140"/>
      <c r="L289" s="140"/>
      <c r="M289" s="140"/>
      <c r="N289" s="140"/>
      <c r="O289" s="140"/>
      <c r="P289" s="140"/>
      <c r="Q289" s="140"/>
      <c r="R289" s="140"/>
      <c r="S289" s="140"/>
      <c r="T289" s="140"/>
      <c r="U289" s="140"/>
      <c r="V289" s="140"/>
      <c r="W289" s="140"/>
      <c r="X289" s="140"/>
      <c r="Y289" s="140"/>
      <c r="Z289" s="140"/>
    </row>
    <row r="290" spans="1:26" x14ac:dyDescent="0.25">
      <c r="A290" s="140"/>
      <c r="B290" s="140"/>
      <c r="C290" s="140"/>
      <c r="D290" s="140"/>
      <c r="E290" s="140"/>
      <c r="F290" s="140"/>
      <c r="G290" s="140"/>
      <c r="H290" s="140"/>
      <c r="I290" s="140"/>
      <c r="J290" s="140"/>
      <c r="K290" s="140"/>
      <c r="L290" s="140"/>
      <c r="M290" s="140"/>
      <c r="N290" s="140"/>
      <c r="O290" s="140"/>
      <c r="P290" s="140"/>
      <c r="Q290" s="140"/>
      <c r="R290" s="140"/>
      <c r="S290" s="140"/>
      <c r="T290" s="140"/>
      <c r="U290" s="140"/>
      <c r="V290" s="140"/>
      <c r="W290" s="140"/>
      <c r="X290" s="140"/>
      <c r="Y290" s="140"/>
      <c r="Z290" s="140"/>
    </row>
    <row r="291" spans="1:26" x14ac:dyDescent="0.25">
      <c r="A291" s="140"/>
      <c r="B291" s="140"/>
      <c r="C291" s="140"/>
      <c r="D291" s="140"/>
      <c r="E291" s="140"/>
      <c r="F291" s="140"/>
      <c r="G291" s="140"/>
      <c r="H291" s="140"/>
      <c r="I291" s="140"/>
      <c r="J291" s="140"/>
      <c r="K291" s="140"/>
      <c r="L291" s="140"/>
      <c r="M291" s="140"/>
      <c r="N291" s="140"/>
      <c r="O291" s="140"/>
      <c r="P291" s="140"/>
      <c r="Q291" s="140"/>
      <c r="R291" s="140"/>
      <c r="S291" s="140"/>
      <c r="T291" s="140"/>
      <c r="U291" s="140"/>
      <c r="V291" s="140"/>
      <c r="W291" s="140"/>
      <c r="X291" s="140"/>
      <c r="Y291" s="140"/>
      <c r="Z291" s="140"/>
    </row>
    <row r="292" spans="1:26" x14ac:dyDescent="0.25">
      <c r="A292" s="140"/>
      <c r="B292" s="140"/>
      <c r="C292" s="140"/>
      <c r="D292" s="140"/>
      <c r="E292" s="140"/>
      <c r="F292" s="140"/>
      <c r="G292" s="140"/>
      <c r="H292" s="140"/>
      <c r="I292" s="140"/>
      <c r="J292" s="140"/>
      <c r="K292" s="140"/>
      <c r="L292" s="140"/>
      <c r="M292" s="140"/>
      <c r="N292" s="140"/>
      <c r="O292" s="140"/>
      <c r="P292" s="140"/>
      <c r="Q292" s="140"/>
      <c r="R292" s="140"/>
      <c r="S292" s="140"/>
      <c r="T292" s="140"/>
      <c r="U292" s="140"/>
      <c r="V292" s="140"/>
      <c r="W292" s="140"/>
      <c r="X292" s="140"/>
      <c r="Y292" s="140"/>
      <c r="Z292" s="140"/>
    </row>
    <row r="293" spans="1:26" x14ac:dyDescent="0.25">
      <c r="A293" s="140"/>
      <c r="B293" s="140"/>
      <c r="C293" s="140"/>
      <c r="D293" s="140"/>
      <c r="E293" s="140"/>
      <c r="F293" s="140"/>
      <c r="G293" s="140"/>
      <c r="H293" s="140"/>
      <c r="I293" s="140"/>
      <c r="J293" s="140"/>
      <c r="K293" s="140"/>
      <c r="L293" s="140"/>
      <c r="M293" s="140"/>
      <c r="N293" s="140"/>
      <c r="O293" s="140"/>
      <c r="P293" s="140"/>
      <c r="Q293" s="140"/>
      <c r="R293" s="140"/>
      <c r="S293" s="140"/>
      <c r="T293" s="140"/>
      <c r="U293" s="140"/>
      <c r="V293" s="140"/>
      <c r="W293" s="140"/>
      <c r="X293" s="140"/>
      <c r="Y293" s="140"/>
      <c r="Z293" s="140"/>
    </row>
    <row r="294" spans="1:26" x14ac:dyDescent="0.25">
      <c r="A294" s="140"/>
      <c r="B294" s="140"/>
      <c r="C294" s="140"/>
      <c r="D294" s="140"/>
      <c r="E294" s="140"/>
      <c r="F294" s="140"/>
      <c r="G294" s="140"/>
      <c r="H294" s="140"/>
      <c r="I294" s="140"/>
      <c r="J294" s="140"/>
      <c r="K294" s="140"/>
      <c r="L294" s="140"/>
      <c r="M294" s="140"/>
      <c r="N294" s="140"/>
      <c r="O294" s="140"/>
      <c r="P294" s="140"/>
      <c r="Q294" s="140"/>
      <c r="R294" s="140"/>
      <c r="S294" s="140"/>
      <c r="T294" s="140"/>
      <c r="U294" s="140"/>
      <c r="V294" s="140"/>
      <c r="W294" s="140"/>
      <c r="X294" s="140"/>
      <c r="Y294" s="140"/>
      <c r="Z294" s="140"/>
    </row>
    <row r="295" spans="1:26" x14ac:dyDescent="0.25">
      <c r="A295" s="140"/>
      <c r="B295" s="140"/>
      <c r="C295" s="140"/>
      <c r="D295" s="140"/>
      <c r="E295" s="140"/>
      <c r="F295" s="140"/>
      <c r="G295" s="140"/>
      <c r="H295" s="140"/>
      <c r="I295" s="140"/>
      <c r="J295" s="140"/>
      <c r="K295" s="140"/>
      <c r="L295" s="140"/>
      <c r="M295" s="140"/>
      <c r="N295" s="140"/>
      <c r="O295" s="140"/>
      <c r="P295" s="140"/>
      <c r="Q295" s="140"/>
      <c r="R295" s="140"/>
      <c r="S295" s="140"/>
      <c r="T295" s="140"/>
      <c r="U295" s="140"/>
      <c r="V295" s="140"/>
      <c r="W295" s="140"/>
      <c r="X295" s="140"/>
      <c r="Y295" s="140"/>
      <c r="Z295" s="140"/>
    </row>
    <row r="296" spans="1:26" x14ac:dyDescent="0.25">
      <c r="A296" s="140"/>
      <c r="B296" s="140"/>
      <c r="C296" s="140"/>
      <c r="D296" s="140"/>
      <c r="E296" s="140"/>
      <c r="F296" s="140"/>
      <c r="G296" s="140"/>
      <c r="H296" s="140"/>
      <c r="I296" s="140"/>
      <c r="J296" s="140"/>
      <c r="K296" s="140"/>
      <c r="L296" s="140"/>
      <c r="M296" s="140"/>
      <c r="N296" s="140"/>
      <c r="O296" s="140"/>
      <c r="P296" s="140"/>
      <c r="Q296" s="140"/>
      <c r="R296" s="140"/>
      <c r="S296" s="140"/>
      <c r="T296" s="140"/>
      <c r="U296" s="140"/>
      <c r="V296" s="140"/>
      <c r="W296" s="140"/>
      <c r="X296" s="140"/>
      <c r="Y296" s="140"/>
      <c r="Z296" s="140"/>
    </row>
    <row r="297" spans="1:26" x14ac:dyDescent="0.25">
      <c r="A297" s="140"/>
      <c r="B297" s="140"/>
      <c r="C297" s="140"/>
      <c r="D297" s="140"/>
      <c r="E297" s="140"/>
      <c r="F297" s="140"/>
      <c r="G297" s="140"/>
      <c r="H297" s="140"/>
      <c r="I297" s="140"/>
      <c r="J297" s="140"/>
      <c r="K297" s="140"/>
      <c r="L297" s="140"/>
      <c r="M297" s="140"/>
      <c r="N297" s="140"/>
      <c r="O297" s="140"/>
      <c r="P297" s="140"/>
      <c r="Q297" s="140"/>
      <c r="R297" s="140"/>
      <c r="S297" s="140"/>
      <c r="T297" s="140"/>
      <c r="U297" s="140"/>
      <c r="V297" s="140"/>
      <c r="W297" s="140"/>
      <c r="X297" s="140"/>
      <c r="Y297" s="140"/>
      <c r="Z297" s="140"/>
    </row>
    <row r="298" spans="1:26" x14ac:dyDescent="0.25">
      <c r="A298" s="140"/>
      <c r="B298" s="140"/>
      <c r="C298" s="140"/>
      <c r="D298" s="140"/>
      <c r="E298" s="140"/>
      <c r="F298" s="140"/>
      <c r="G298" s="140"/>
      <c r="H298" s="140"/>
      <c r="I298" s="140"/>
      <c r="J298" s="140"/>
      <c r="K298" s="140"/>
      <c r="L298" s="140"/>
      <c r="M298" s="140"/>
      <c r="N298" s="140"/>
      <c r="O298" s="140"/>
      <c r="P298" s="140"/>
      <c r="Q298" s="140"/>
      <c r="R298" s="140"/>
      <c r="S298" s="140"/>
      <c r="T298" s="140"/>
      <c r="U298" s="140"/>
      <c r="V298" s="140"/>
      <c r="W298" s="140"/>
      <c r="X298" s="140"/>
      <c r="Y298" s="140"/>
      <c r="Z298" s="140"/>
    </row>
    <row r="299" spans="1:26" x14ac:dyDescent="0.25">
      <c r="A299" s="140"/>
      <c r="B299" s="140"/>
      <c r="C299" s="140"/>
      <c r="D299" s="140"/>
      <c r="E299" s="140"/>
      <c r="F299" s="140"/>
      <c r="G299" s="140"/>
      <c r="H299" s="140"/>
      <c r="I299" s="140"/>
      <c r="J299" s="140"/>
      <c r="K299" s="140"/>
      <c r="L299" s="140"/>
      <c r="M299" s="140"/>
      <c r="N299" s="140"/>
      <c r="O299" s="140"/>
      <c r="P299" s="140"/>
      <c r="Q299" s="140"/>
      <c r="R299" s="140"/>
      <c r="S299" s="140"/>
      <c r="T299" s="140"/>
      <c r="U299" s="140"/>
      <c r="V299" s="140"/>
      <c r="W299" s="140"/>
      <c r="X299" s="140"/>
      <c r="Y299" s="140"/>
      <c r="Z299" s="140"/>
    </row>
    <row r="300" spans="1:26" x14ac:dyDescent="0.25">
      <c r="A300" s="140"/>
      <c r="B300" s="140"/>
      <c r="C300" s="140"/>
      <c r="D300" s="140"/>
      <c r="E300" s="140"/>
      <c r="F300" s="140"/>
      <c r="G300" s="140"/>
      <c r="H300" s="140"/>
      <c r="I300" s="140"/>
      <c r="J300" s="140"/>
      <c r="K300" s="140"/>
      <c r="L300" s="140"/>
      <c r="M300" s="140"/>
      <c r="N300" s="140"/>
      <c r="O300" s="140"/>
      <c r="P300" s="140"/>
      <c r="Q300" s="140"/>
      <c r="R300" s="140"/>
      <c r="S300" s="140"/>
      <c r="T300" s="140"/>
      <c r="U300" s="140"/>
      <c r="V300" s="140"/>
      <c r="W300" s="140"/>
      <c r="X300" s="140"/>
      <c r="Y300" s="140"/>
      <c r="Z300" s="140"/>
    </row>
    <row r="301" spans="1:26" x14ac:dyDescent="0.25">
      <c r="A301" s="140"/>
      <c r="B301" s="140"/>
      <c r="C301" s="140"/>
      <c r="D301" s="140"/>
      <c r="E301" s="140"/>
      <c r="F301" s="140"/>
      <c r="G301" s="140"/>
      <c r="H301" s="140"/>
      <c r="I301" s="140"/>
      <c r="J301" s="140"/>
      <c r="K301" s="140"/>
      <c r="L301" s="140"/>
      <c r="M301" s="140"/>
      <c r="N301" s="140"/>
      <c r="O301" s="140"/>
      <c r="P301" s="140"/>
      <c r="Q301" s="140"/>
      <c r="R301" s="140"/>
      <c r="S301" s="140"/>
      <c r="T301" s="140"/>
      <c r="U301" s="140"/>
      <c r="V301" s="140"/>
      <c r="W301" s="140"/>
      <c r="X301" s="140"/>
      <c r="Y301" s="140"/>
      <c r="Z301" s="140"/>
    </row>
    <row r="1101" spans="1:1" x14ac:dyDescent="0.25">
      <c r="A1101" s="1"/>
    </row>
  </sheetData>
  <sheetProtection sheet="1" objects="1" scenarios="1"/>
  <mergeCells count="593">
    <mergeCell ref="Y63:Z63"/>
    <mergeCell ref="W64:Z64"/>
    <mergeCell ref="T86:V86"/>
    <mergeCell ref="W80:Z80"/>
    <mergeCell ref="X81:Z81"/>
    <mergeCell ref="AB33:AC33"/>
    <mergeCell ref="AB34:AC34"/>
    <mergeCell ref="Y78:Z78"/>
    <mergeCell ref="Y76:Z76"/>
    <mergeCell ref="Y65:Z65"/>
    <mergeCell ref="AB32:AC32"/>
    <mergeCell ref="V71:W71"/>
    <mergeCell ref="Y71:Z71"/>
    <mergeCell ref="V72:W72"/>
    <mergeCell ref="U70:Z70"/>
    <mergeCell ref="W87:Y87"/>
    <mergeCell ref="X32:Z32"/>
    <mergeCell ref="V76:W76"/>
    <mergeCell ref="V77:X77"/>
    <mergeCell ref="Y77:Z77"/>
    <mergeCell ref="Y88:Z88"/>
    <mergeCell ref="E85:G85"/>
    <mergeCell ref="B87:C87"/>
    <mergeCell ref="A88:D88"/>
    <mergeCell ref="E88:G88"/>
    <mergeCell ref="S88:T88"/>
    <mergeCell ref="X85:Z85"/>
    <mergeCell ref="T85:V85"/>
    <mergeCell ref="A33:B33"/>
    <mergeCell ref="A31:F31"/>
    <mergeCell ref="B32:C32"/>
    <mergeCell ref="U81:W81"/>
    <mergeCell ref="B84:C84"/>
    <mergeCell ref="A85:D85"/>
    <mergeCell ref="U74:Z74"/>
    <mergeCell ref="O47:T47"/>
    <mergeCell ref="U47:Z47"/>
    <mergeCell ref="S82:Z82"/>
    <mergeCell ref="A46:B47"/>
    <mergeCell ref="T39:Z39"/>
    <mergeCell ref="T40:U40"/>
    <mergeCell ref="V40:W40"/>
    <mergeCell ref="Y40:Z40"/>
    <mergeCell ref="W34:X34"/>
    <mergeCell ref="K39:L39"/>
    <mergeCell ref="C41:D41"/>
    <mergeCell ref="L34:M34"/>
    <mergeCell ref="O34:P34"/>
    <mergeCell ref="H185:J185"/>
    <mergeCell ref="H167:J167"/>
    <mergeCell ref="H168:J168"/>
    <mergeCell ref="H169:J169"/>
    <mergeCell ref="H183:J183"/>
    <mergeCell ref="W79:Z79"/>
    <mergeCell ref="H162:J162"/>
    <mergeCell ref="H163:J163"/>
    <mergeCell ref="H164:J164"/>
    <mergeCell ref="H172:J172"/>
    <mergeCell ref="H177:J177"/>
    <mergeCell ref="T41:Z41"/>
    <mergeCell ref="T42:W42"/>
    <mergeCell ref="X42:Z42"/>
    <mergeCell ref="T44:X44"/>
    <mergeCell ref="Y44:Z44"/>
    <mergeCell ref="X43:Y43"/>
    <mergeCell ref="H143:J143"/>
    <mergeCell ref="H153:J153"/>
    <mergeCell ref="H154:J154"/>
    <mergeCell ref="A29:F29"/>
    <mergeCell ref="A18:B18"/>
    <mergeCell ref="Y22:Z22"/>
    <mergeCell ref="U23:X23"/>
    <mergeCell ref="A28:D28"/>
    <mergeCell ref="U22:X22"/>
    <mergeCell ref="C27:E27"/>
    <mergeCell ref="A27:B27"/>
    <mergeCell ref="B23:C23"/>
    <mergeCell ref="B24:C24"/>
    <mergeCell ref="B16:C16"/>
    <mergeCell ref="W26:Y26"/>
    <mergeCell ref="U25:Z25"/>
    <mergeCell ref="Y17:Z17"/>
    <mergeCell ref="Y18:Z18"/>
    <mergeCell ref="Y20:Z20"/>
    <mergeCell ref="C17:F17"/>
    <mergeCell ref="C18:F18"/>
    <mergeCell ref="Y23:Z23"/>
    <mergeCell ref="U24:Z24"/>
    <mergeCell ref="H184:J184"/>
    <mergeCell ref="E28:F28"/>
    <mergeCell ref="D11:F11"/>
    <mergeCell ref="B11:C11"/>
    <mergeCell ref="B12:C12"/>
    <mergeCell ref="B13:C13"/>
    <mergeCell ref="B14:C14"/>
    <mergeCell ref="B15:C15"/>
    <mergeCell ref="D12:F12"/>
    <mergeCell ref="E13:F13"/>
    <mergeCell ref="H142:J142"/>
    <mergeCell ref="H186:J186"/>
    <mergeCell ref="H187:J187"/>
    <mergeCell ref="H188:J188"/>
    <mergeCell ref="D16:F16"/>
    <mergeCell ref="A20:F20"/>
    <mergeCell ref="B25:C25"/>
    <mergeCell ref="B26:C26"/>
    <mergeCell ref="E23:F23"/>
    <mergeCell ref="A17:B17"/>
    <mergeCell ref="H151:J151"/>
    <mergeCell ref="U20:V20"/>
    <mergeCell ref="H178:J178"/>
    <mergeCell ref="U32:W32"/>
    <mergeCell ref="Y33:Z33"/>
    <mergeCell ref="H152:J152"/>
    <mergeCell ref="H165:J165"/>
    <mergeCell ref="H166:J166"/>
    <mergeCell ref="H159:J159"/>
    <mergeCell ref="H141:J141"/>
    <mergeCell ref="A48:B49"/>
    <mergeCell ref="A86:G86"/>
    <mergeCell ref="I1:X1"/>
    <mergeCell ref="I2:X2"/>
    <mergeCell ref="I3:X3"/>
    <mergeCell ref="U15:Z16"/>
    <mergeCell ref="O46:Z46"/>
    <mergeCell ref="A82:R82"/>
    <mergeCell ref="E14:F14"/>
    <mergeCell ref="E15:F15"/>
    <mergeCell ref="H179:J179"/>
    <mergeCell ref="H180:J180"/>
    <mergeCell ref="H181:J181"/>
    <mergeCell ref="H182:J182"/>
    <mergeCell ref="H148:J148"/>
    <mergeCell ref="H149:J149"/>
    <mergeCell ref="H170:J170"/>
    <mergeCell ref="H171:J171"/>
    <mergeCell ref="H161:J161"/>
    <mergeCell ref="H150:J150"/>
    <mergeCell ref="H173:J173"/>
    <mergeCell ref="H174:J174"/>
    <mergeCell ref="H175:J175"/>
    <mergeCell ref="H176:J176"/>
    <mergeCell ref="H156:J156"/>
    <mergeCell ref="H157:J157"/>
    <mergeCell ref="H158:J158"/>
    <mergeCell ref="H160:J160"/>
    <mergeCell ref="H155:J155"/>
    <mergeCell ref="H144:J144"/>
    <mergeCell ref="H145:J145"/>
    <mergeCell ref="H133:J133"/>
    <mergeCell ref="H134:J134"/>
    <mergeCell ref="H146:J146"/>
    <mergeCell ref="H147:J147"/>
    <mergeCell ref="H135:J135"/>
    <mergeCell ref="H136:J136"/>
    <mergeCell ref="H137:J137"/>
    <mergeCell ref="H126:J126"/>
    <mergeCell ref="H138:J138"/>
    <mergeCell ref="H139:J139"/>
    <mergeCell ref="H140:J140"/>
    <mergeCell ref="H127:J127"/>
    <mergeCell ref="H128:J128"/>
    <mergeCell ref="H129:J129"/>
    <mergeCell ref="H130:J130"/>
    <mergeCell ref="H131:J131"/>
    <mergeCell ref="H132:J132"/>
    <mergeCell ref="A106:C106"/>
    <mergeCell ref="H121:J121"/>
    <mergeCell ref="H122:J122"/>
    <mergeCell ref="H123:J123"/>
    <mergeCell ref="H124:J124"/>
    <mergeCell ref="H125:J125"/>
    <mergeCell ref="A107:C107"/>
    <mergeCell ref="H120:J120"/>
    <mergeCell ref="H112:J112"/>
    <mergeCell ref="H114:J114"/>
    <mergeCell ref="D107:F107"/>
    <mergeCell ref="H109:J109"/>
    <mergeCell ref="H110:J110"/>
    <mergeCell ref="H111:J111"/>
    <mergeCell ref="A34:B34"/>
    <mergeCell ref="C46:N46"/>
    <mergeCell ref="A105:C105"/>
    <mergeCell ref="A50:B51"/>
    <mergeCell ref="A103:C103"/>
    <mergeCell ref="A104:C104"/>
    <mergeCell ref="H33:S33"/>
    <mergeCell ref="L88:O88"/>
    <mergeCell ref="C60:F60"/>
    <mergeCell ref="A83:G83"/>
    <mergeCell ref="A52:B55"/>
    <mergeCell ref="A56:B61"/>
    <mergeCell ref="J88:K88"/>
    <mergeCell ref="G59:H59"/>
    <mergeCell ref="I55:K55"/>
    <mergeCell ref="F55:H55"/>
    <mergeCell ref="S8:U8"/>
    <mergeCell ref="B181:C181"/>
    <mergeCell ref="A21:E21"/>
    <mergeCell ref="A22:E22"/>
    <mergeCell ref="E24:F24"/>
    <mergeCell ref="E25:F25"/>
    <mergeCell ref="E26:F26"/>
    <mergeCell ref="P88:R88"/>
    <mergeCell ref="D106:F106"/>
    <mergeCell ref="D104:F104"/>
    <mergeCell ref="S6:U6"/>
    <mergeCell ref="A10:C10"/>
    <mergeCell ref="D10:F10"/>
    <mergeCell ref="U10:Z11"/>
    <mergeCell ref="V6:Z6"/>
    <mergeCell ref="A7:B7"/>
    <mergeCell ref="C7:R7"/>
    <mergeCell ref="S7:U7"/>
    <mergeCell ref="V7:Y7"/>
    <mergeCell ref="A8:B8"/>
    <mergeCell ref="A6:B6"/>
    <mergeCell ref="C6:R6"/>
    <mergeCell ref="E193:F193"/>
    <mergeCell ref="E192:F192"/>
    <mergeCell ref="E186:F186"/>
    <mergeCell ref="D103:F103"/>
    <mergeCell ref="D105:F105"/>
    <mergeCell ref="H104:J104"/>
    <mergeCell ref="H118:J118"/>
    <mergeCell ref="H119:J119"/>
    <mergeCell ref="C5:D5"/>
    <mergeCell ref="E32:F32"/>
    <mergeCell ref="H117:J117"/>
    <mergeCell ref="H115:J115"/>
    <mergeCell ref="H116:J116"/>
    <mergeCell ref="H105:J105"/>
    <mergeCell ref="H106:J106"/>
    <mergeCell ref="H113:J113"/>
    <mergeCell ref="C8:R8"/>
    <mergeCell ref="C33:F33"/>
    <mergeCell ref="Q202:R202"/>
    <mergeCell ref="M202:N202"/>
    <mergeCell ref="I202:J202"/>
    <mergeCell ref="I201:J201"/>
    <mergeCell ref="K198:L200"/>
    <mergeCell ref="I200:J200"/>
    <mergeCell ref="G198:J199"/>
    <mergeCell ref="G200:H200"/>
    <mergeCell ref="K201:L201"/>
    <mergeCell ref="H192:J192"/>
    <mergeCell ref="W203:X203"/>
    <mergeCell ref="U203:V203"/>
    <mergeCell ref="S203:T203"/>
    <mergeCell ref="H189:J189"/>
    <mergeCell ref="H191:J191"/>
    <mergeCell ref="S198:T200"/>
    <mergeCell ref="I203:J203"/>
    <mergeCell ref="G203:H203"/>
    <mergeCell ref="K202:L202"/>
    <mergeCell ref="U198:V200"/>
    <mergeCell ref="A198:B200"/>
    <mergeCell ref="C198:F199"/>
    <mergeCell ref="C200:D200"/>
    <mergeCell ref="E200:F200"/>
    <mergeCell ref="B183:C183"/>
    <mergeCell ref="E183:F183"/>
    <mergeCell ref="E184:F184"/>
    <mergeCell ref="E185:F185"/>
    <mergeCell ref="E188:F188"/>
    <mergeCell ref="B182:C182"/>
    <mergeCell ref="Y66:Z66"/>
    <mergeCell ref="C61:F61"/>
    <mergeCell ref="G60:H60"/>
    <mergeCell ref="V62:W62"/>
    <mergeCell ref="Y62:Z62"/>
    <mergeCell ref="U65:X65"/>
    <mergeCell ref="S61:T61"/>
    <mergeCell ref="Q64:T64"/>
    <mergeCell ref="V63:W63"/>
    <mergeCell ref="E51:F51"/>
    <mergeCell ref="D52:E52"/>
    <mergeCell ref="G52:H52"/>
    <mergeCell ref="C53:E53"/>
    <mergeCell ref="Y67:Z67"/>
    <mergeCell ref="Y75:Z75"/>
    <mergeCell ref="E58:H58"/>
    <mergeCell ref="I59:L59"/>
    <mergeCell ref="Q58:T58"/>
    <mergeCell ref="O67:R67"/>
    <mergeCell ref="E182:F182"/>
    <mergeCell ref="H71:J71"/>
    <mergeCell ref="L70:N70"/>
    <mergeCell ref="C69:E69"/>
    <mergeCell ref="A68:T68"/>
    <mergeCell ref="H103:J103"/>
    <mergeCell ref="H107:J107"/>
    <mergeCell ref="H108:J108"/>
    <mergeCell ref="D101:F101"/>
    <mergeCell ref="H102:J102"/>
    <mergeCell ref="U201:V201"/>
    <mergeCell ref="S201:T201"/>
    <mergeCell ref="Q201:R201"/>
    <mergeCell ref="O201:P201"/>
    <mergeCell ref="E189:F189"/>
    <mergeCell ref="E190:F190"/>
    <mergeCell ref="E191:F191"/>
    <mergeCell ref="G201:H201"/>
    <mergeCell ref="H190:J190"/>
    <mergeCell ref="E195:F195"/>
    <mergeCell ref="H88:I88"/>
    <mergeCell ref="U66:X66"/>
    <mergeCell ref="I62:N67"/>
    <mergeCell ref="D56:E56"/>
    <mergeCell ref="G56:H56"/>
    <mergeCell ref="D57:E57"/>
    <mergeCell ref="V75:W75"/>
    <mergeCell ref="S67:T67"/>
    <mergeCell ref="U67:X67"/>
    <mergeCell ref="U88:W88"/>
    <mergeCell ref="S66:T66"/>
    <mergeCell ref="M51:N51"/>
    <mergeCell ref="J52:K52"/>
    <mergeCell ref="I53:K53"/>
    <mergeCell ref="P63:Q63"/>
    <mergeCell ref="S63:T63"/>
    <mergeCell ref="I60:L60"/>
    <mergeCell ref="M60:N60"/>
    <mergeCell ref="I61:L61"/>
    <mergeCell ref="F53:H53"/>
    <mergeCell ref="C54:E54"/>
    <mergeCell ref="F54:H54"/>
    <mergeCell ref="C201:D201"/>
    <mergeCell ref="O198:P200"/>
    <mergeCell ref="Q198:R200"/>
    <mergeCell ref="M198:N200"/>
    <mergeCell ref="E201:F201"/>
    <mergeCell ref="M201:N201"/>
    <mergeCell ref="O66:R66"/>
    <mergeCell ref="C55:E55"/>
    <mergeCell ref="C59:F59"/>
    <mergeCell ref="G57:H57"/>
    <mergeCell ref="G61:H61"/>
    <mergeCell ref="S65:T65"/>
    <mergeCell ref="C62:H67"/>
    <mergeCell ref="J56:K56"/>
    <mergeCell ref="J57:K57"/>
    <mergeCell ref="S59:T59"/>
    <mergeCell ref="M57:N57"/>
    <mergeCell ref="Y202:Z202"/>
    <mergeCell ref="W202:X202"/>
    <mergeCell ref="U202:V202"/>
    <mergeCell ref="S202:T202"/>
    <mergeCell ref="U73:X73"/>
    <mergeCell ref="Y73:Z73"/>
    <mergeCell ref="Y198:Z200"/>
    <mergeCell ref="W198:X200"/>
    <mergeCell ref="Y201:Z201"/>
    <mergeCell ref="W201:X201"/>
    <mergeCell ref="U68:Z69"/>
    <mergeCell ref="O202:P202"/>
    <mergeCell ref="A102:C102"/>
    <mergeCell ref="D102:F102"/>
    <mergeCell ref="H100:J101"/>
    <mergeCell ref="G202:H202"/>
    <mergeCell ref="E202:F202"/>
    <mergeCell ref="A100:C100"/>
    <mergeCell ref="D100:F100"/>
    <mergeCell ref="A101:C101"/>
    <mergeCell ref="C202:D202"/>
    <mergeCell ref="U27:Z29"/>
    <mergeCell ref="V30:W30"/>
    <mergeCell ref="Y30:Z30"/>
    <mergeCell ref="M38:S38"/>
    <mergeCell ref="W33:X33"/>
    <mergeCell ref="Y34:Z34"/>
    <mergeCell ref="T36:Z36"/>
    <mergeCell ref="V37:W37"/>
    <mergeCell ref="U61:X61"/>
    <mergeCell ref="Y61:Z61"/>
    <mergeCell ref="U59:X59"/>
    <mergeCell ref="Y59:Z59"/>
    <mergeCell ref="O60:R60"/>
    <mergeCell ref="S60:T60"/>
    <mergeCell ref="U60:X60"/>
    <mergeCell ref="Y60:Z60"/>
    <mergeCell ref="O59:R59"/>
    <mergeCell ref="O61:R61"/>
    <mergeCell ref="W58:Z58"/>
    <mergeCell ref="K58:N58"/>
    <mergeCell ref="V52:W52"/>
    <mergeCell ref="Y52:Z52"/>
    <mergeCell ref="M52:N52"/>
    <mergeCell ref="L53:N53"/>
    <mergeCell ref="L54:N54"/>
    <mergeCell ref="L55:N55"/>
    <mergeCell ref="S57:T57"/>
    <mergeCell ref="I54:K54"/>
    <mergeCell ref="W51:X51"/>
    <mergeCell ref="Y51:Z51"/>
    <mergeCell ref="P57:Q57"/>
    <mergeCell ref="U55:W55"/>
    <mergeCell ref="U53:W53"/>
    <mergeCell ref="O54:Q54"/>
    <mergeCell ref="V57:W57"/>
    <mergeCell ref="Y57:Z57"/>
    <mergeCell ref="U48:X48"/>
    <mergeCell ref="I47:N47"/>
    <mergeCell ref="I48:L48"/>
    <mergeCell ref="M48:N48"/>
    <mergeCell ref="O53:Q53"/>
    <mergeCell ref="R53:T53"/>
    <mergeCell ref="V49:W49"/>
    <mergeCell ref="U50:X50"/>
    <mergeCell ref="J49:K49"/>
    <mergeCell ref="I50:L50"/>
    <mergeCell ref="Y50:Z50"/>
    <mergeCell ref="Y12:Z12"/>
    <mergeCell ref="V13:X13"/>
    <mergeCell ref="U14:W14"/>
    <mergeCell ref="X14:Y14"/>
    <mergeCell ref="V12:W12"/>
    <mergeCell ref="U18:X18"/>
    <mergeCell ref="T37:U37"/>
    <mergeCell ref="W21:X21"/>
    <mergeCell ref="U19:Z19"/>
    <mergeCell ref="A62:B67"/>
    <mergeCell ref="F69:G69"/>
    <mergeCell ref="A79:C79"/>
    <mergeCell ref="X53:Z53"/>
    <mergeCell ref="R54:T54"/>
    <mergeCell ref="U54:W54"/>
    <mergeCell ref="X54:Z54"/>
    <mergeCell ref="X55:Z55"/>
    <mergeCell ref="P56:Q56"/>
    <mergeCell ref="F71:G71"/>
    <mergeCell ref="F70:G70"/>
    <mergeCell ref="A81:D81"/>
    <mergeCell ref="E81:G81"/>
    <mergeCell ref="A76:C76"/>
    <mergeCell ref="B73:C73"/>
    <mergeCell ref="A70:B70"/>
    <mergeCell ref="C70:E70"/>
    <mergeCell ref="A75:T75"/>
    <mergeCell ref="A72:T72"/>
    <mergeCell ref="B80:D80"/>
    <mergeCell ref="M50:N50"/>
    <mergeCell ref="P62:Q62"/>
    <mergeCell ref="S62:T62"/>
    <mergeCell ref="O65:R65"/>
    <mergeCell ref="O50:R50"/>
    <mergeCell ref="S50:T50"/>
    <mergeCell ref="O55:Q55"/>
    <mergeCell ref="R55:T55"/>
    <mergeCell ref="S56:T56"/>
    <mergeCell ref="M59:N59"/>
    <mergeCell ref="G51:H51"/>
    <mergeCell ref="K51:L51"/>
    <mergeCell ref="H83:R83"/>
    <mergeCell ref="S52:T52"/>
    <mergeCell ref="M56:N56"/>
    <mergeCell ref="M61:N61"/>
    <mergeCell ref="Q51:R51"/>
    <mergeCell ref="S51:T51"/>
    <mergeCell ref="J81:K81"/>
    <mergeCell ref="H69:J69"/>
    <mergeCell ref="D49:E49"/>
    <mergeCell ref="C50:F50"/>
    <mergeCell ref="G50:H50"/>
    <mergeCell ref="R81:T81"/>
    <mergeCell ref="L81:M81"/>
    <mergeCell ref="N81:Q81"/>
    <mergeCell ref="Q73:T73"/>
    <mergeCell ref="N74:Q74"/>
    <mergeCell ref="N71:Q71"/>
    <mergeCell ref="P52:Q52"/>
    <mergeCell ref="A69:B69"/>
    <mergeCell ref="J76:L76"/>
    <mergeCell ref="H70:J70"/>
    <mergeCell ref="R71:T71"/>
    <mergeCell ref="R74:T74"/>
    <mergeCell ref="Q69:S69"/>
    <mergeCell ref="Q70:S70"/>
    <mergeCell ref="O69:P69"/>
    <mergeCell ref="O70:P70"/>
    <mergeCell ref="L69:N69"/>
    <mergeCell ref="Y21:Z21"/>
    <mergeCell ref="W20:X20"/>
    <mergeCell ref="U17:X17"/>
    <mergeCell ref="Y48:Z48"/>
    <mergeCell ref="A39:B40"/>
    <mergeCell ref="H37:I37"/>
    <mergeCell ref="H38:I38"/>
    <mergeCell ref="A41:B42"/>
    <mergeCell ref="A43:B44"/>
    <mergeCell ref="C39:D39"/>
    <mergeCell ref="G48:H48"/>
    <mergeCell ref="I34:J34"/>
    <mergeCell ref="C47:H47"/>
    <mergeCell ref="C48:F48"/>
    <mergeCell ref="C37:D37"/>
    <mergeCell ref="C43:D43"/>
    <mergeCell ref="C34:F34"/>
    <mergeCell ref="C44:D44"/>
    <mergeCell ref="H43:I43"/>
    <mergeCell ref="C40:D40"/>
    <mergeCell ref="F42:G42"/>
    <mergeCell ref="M36:S37"/>
    <mergeCell ref="O42:P42"/>
    <mergeCell ref="R42:S42"/>
    <mergeCell ref="R34:S34"/>
    <mergeCell ref="K37:L37"/>
    <mergeCell ref="K40:L40"/>
    <mergeCell ref="K41:L41"/>
    <mergeCell ref="K42:L42"/>
    <mergeCell ref="F37:G37"/>
    <mergeCell ref="A36:B36"/>
    <mergeCell ref="A37:B38"/>
    <mergeCell ref="C38:D38"/>
    <mergeCell ref="C36:G36"/>
    <mergeCell ref="H36:L36"/>
    <mergeCell ref="C42:D42"/>
    <mergeCell ref="H39:I39"/>
    <mergeCell ref="H40:I40"/>
    <mergeCell ref="H41:I41"/>
    <mergeCell ref="F38:G38"/>
    <mergeCell ref="K43:L43"/>
    <mergeCell ref="F44:G44"/>
    <mergeCell ref="F39:G39"/>
    <mergeCell ref="F40:G40"/>
    <mergeCell ref="F41:G41"/>
    <mergeCell ref="K38:L38"/>
    <mergeCell ref="K44:L44"/>
    <mergeCell ref="F43:G43"/>
    <mergeCell ref="H42:I42"/>
    <mergeCell ref="H44:I44"/>
    <mergeCell ref="M43:S43"/>
    <mergeCell ref="M42:N42"/>
    <mergeCell ref="T43:W43"/>
    <mergeCell ref="O44:P44"/>
    <mergeCell ref="R44:S44"/>
    <mergeCell ref="M44:N44"/>
    <mergeCell ref="O39:P39"/>
    <mergeCell ref="O40:P40"/>
    <mergeCell ref="R40:S40"/>
    <mergeCell ref="M41:S41"/>
    <mergeCell ref="W205:X205"/>
    <mergeCell ref="M39:N39"/>
    <mergeCell ref="M40:N40"/>
    <mergeCell ref="O48:R48"/>
    <mergeCell ref="S48:T48"/>
    <mergeCell ref="P49:Q49"/>
    <mergeCell ref="Y204:Z204"/>
    <mergeCell ref="G204:H204"/>
    <mergeCell ref="E204:F204"/>
    <mergeCell ref="C204:D204"/>
    <mergeCell ref="U204:V204"/>
    <mergeCell ref="U206:V206"/>
    <mergeCell ref="S205:T205"/>
    <mergeCell ref="Q205:R205"/>
    <mergeCell ref="K204:L204"/>
    <mergeCell ref="E203:F203"/>
    <mergeCell ref="C203:D203"/>
    <mergeCell ref="W204:X204"/>
    <mergeCell ref="U205:V205"/>
    <mergeCell ref="S204:T204"/>
    <mergeCell ref="Q204:R204"/>
    <mergeCell ref="O204:P204"/>
    <mergeCell ref="M204:N204"/>
    <mergeCell ref="I204:J204"/>
    <mergeCell ref="Q203:R203"/>
    <mergeCell ref="U26:V26"/>
    <mergeCell ref="Y203:Z203"/>
    <mergeCell ref="O203:P203"/>
    <mergeCell ref="M203:N203"/>
    <mergeCell ref="K203:L203"/>
    <mergeCell ref="Y37:Z37"/>
    <mergeCell ref="T38:U38"/>
    <mergeCell ref="V38:W38"/>
    <mergeCell ref="Y38:Z38"/>
    <mergeCell ref="R39:S39"/>
    <mergeCell ref="AA26:AB26"/>
    <mergeCell ref="V56:W56"/>
    <mergeCell ref="Y56:Z56"/>
    <mergeCell ref="W31:Y31"/>
    <mergeCell ref="AA61:AB61"/>
    <mergeCell ref="AA55:AB55"/>
    <mergeCell ref="AA50:AB50"/>
    <mergeCell ref="AA48:AB48"/>
    <mergeCell ref="AA31:AB31"/>
    <mergeCell ref="U31:V31"/>
    <mergeCell ref="AB10:AC10"/>
    <mergeCell ref="AB11:AC11"/>
    <mergeCell ref="AB12:AC12"/>
    <mergeCell ref="AB13:AC13"/>
    <mergeCell ref="AB14:AC14"/>
    <mergeCell ref="AA15:AB15"/>
    <mergeCell ref="AC15:AD15"/>
  </mergeCells>
  <conditionalFormatting sqref="D16:F16">
    <cfRule type="cellIs" dxfId="4" priority="42" stopIfTrue="1" operator="equal">
      <formula>"Recorte Ok!"</formula>
    </cfRule>
  </conditionalFormatting>
  <conditionalFormatting sqref="A29">
    <cfRule type="cellIs" dxfId="3" priority="41" stopIfTrue="1" operator="equal">
      <formula>"Geometria Ok!"</formula>
    </cfRule>
  </conditionalFormatting>
  <conditionalFormatting sqref="R39:S40 R42:S42 Y17:Y18 Y20:Y23 Y33:Y34 F37:G44 K37:L44 R44:S44 Y37:Z38 Y88:Z88 Y40:Z40">
    <cfRule type="cellIs" dxfId="2" priority="40" stopIfTrue="1" operator="equal">
      <formula>"Ok!"</formula>
    </cfRule>
  </conditionalFormatting>
  <conditionalFormatting sqref="R39:S40 R42:S42 F37:G44 K37:L44 R44:S44 Y37:Z38 Y88:Z88 Y40:Z40">
    <cfRule type="cellIs" dxfId="1" priority="16" stopIfTrue="1" operator="equal">
      <formula>"N.A."</formula>
    </cfRule>
  </conditionalFormatting>
  <conditionalFormatting sqref="Z26 Z31">
    <cfRule type="cellIs" dxfId="0" priority="1" stopIfTrue="1" operator="lessThanOrEqual">
      <formula>1</formula>
    </cfRule>
  </conditionalFormatting>
  <dataValidations count="8">
    <dataValidation type="list" allowBlank="1" showInputMessage="1" showErrorMessage="1" sqref="F27">
      <mc:AlternateContent xmlns:x12ac="http://schemas.microsoft.com/office/spreadsheetml/2011/1/ac" xmlns:mc="http://schemas.openxmlformats.org/markup-compatibility/2006">
        <mc:Choice Requires="x12ac">
          <x12ac:list>"5/8""","3/4""","7/8""","1""","1.1/8""","1.1/4"""</x12ac:list>
        </mc:Choice>
        <mc:Fallback>
          <formula1>"5/8"",3/4"",7/8"",1"",1.1/8"",1.1/4"""</formula1>
        </mc:Fallback>
      </mc:AlternateContent>
    </dataValidation>
    <dataValidation type="list" allowBlank="1" showInputMessage="1" showErrorMessage="1" sqref="C27:E27">
      <formula1>"ASTM A325N,ASTM A325X"</formula1>
    </dataValidation>
    <dataValidation type="list" allowBlank="1" showInputMessage="1" showErrorMessage="1" sqref="B32:C32">
      <mc:AlternateContent xmlns:x12ac="http://schemas.microsoft.com/office/spreadsheetml/2011/1/ac" xmlns:mc="http://schemas.openxmlformats.org/markup-compatibility/2006">
        <mc:Choice Requires="x12ac">
          <x12ac:list>"4,75","6,35","8,00","9,50","12,50","16,00","19,00","22,40","25,00","31,50","37,50","50,00"</x12ac:list>
        </mc:Choice>
        <mc:Fallback>
          <formula1>"4,75,6,35,8,00,9,50,12,50,16,00,19,00,22,40,25,00,31,50,37,50,50,00"</formula1>
        </mc:Fallback>
      </mc:AlternateContent>
    </dataValidation>
    <dataValidation type="list" allowBlank="1" showInputMessage="1" showErrorMessage="1" sqref="D12:F12">
      <formula1>"Sem Recorte,Flange Superior,Ambos Flanges"</formula1>
    </dataValidation>
    <dataValidation type="list" allowBlank="1" showInputMessage="1" showErrorMessage="1" sqref="D10:F10">
      <formula1>$H$102:$H$192</formula1>
    </dataValidation>
    <dataValidation type="list" allowBlank="1" showInputMessage="1" showErrorMessage="1" sqref="F21">
      <formula1>"1,2,3,4"</formula1>
    </dataValidation>
    <dataValidation type="list" allowBlank="1" showInputMessage="1" showErrorMessage="1" sqref="F22">
      <formula1>"2,3,4,5,6,7,8,9,10,11,12"</formula1>
    </dataValidation>
    <dataValidation type="list" allowBlank="1" showInputMessage="1" showErrorMessage="1" sqref="U20:V20">
      <formula1>"Tipo 1,Tipo 2,Tipo 3,Tipo 4"</formula1>
    </dataValidation>
  </dataValidations>
  <printOptions horizontalCentered="1"/>
  <pageMargins left="0.59055118110236227" right="0.19685039370078741" top="0.19685039370078741" bottom="0.59055118110236227" header="0" footer="0"/>
  <pageSetup paperSize="9" scale="60" orientation="portrait" blackAndWhite="1" r:id="rId1"/>
  <rowBreaks count="1" manualBreakCount="1">
    <brk id="67" max="16383" man="1"/>
  </rowBreaks>
  <colBreaks count="1" manualBreakCount="1">
    <brk id="26" max="1048575" man="1"/>
  </colBreaks>
  <drawing r:id="rId2"/>
  <legacyDrawing r:id="rId3"/>
  <oleObjects>
    <mc:AlternateContent xmlns:mc="http://schemas.openxmlformats.org/markup-compatibility/2006">
      <mc:Choice Requires="x14">
        <oleObject progId="Equation.3" shapeId="1488" r:id="rId4">
          <objectPr defaultSize="0" autoPict="0" r:id="rId5">
            <anchor moveWithCells="1">
              <from>
                <xdr:col>5</xdr:col>
                <xdr:colOff>9525</xdr:colOff>
                <xdr:row>72</xdr:row>
                <xdr:rowOff>0</xdr:rowOff>
              </from>
              <to>
                <xdr:col>13</xdr:col>
                <xdr:colOff>152400</xdr:colOff>
                <xdr:row>74</xdr:row>
                <xdr:rowOff>28575</xdr:rowOff>
              </to>
            </anchor>
          </objectPr>
        </oleObject>
      </mc:Choice>
      <mc:Fallback>
        <oleObject progId="Equation.3" shapeId="1488" r:id="rId4"/>
      </mc:Fallback>
    </mc:AlternateContent>
    <mc:AlternateContent xmlns:mc="http://schemas.openxmlformats.org/markup-compatibility/2006">
      <mc:Choice Requires="x14">
        <oleObject progId="Equation.3" shapeId="1489" r:id="rId6">
          <objectPr defaultSize="0" autoPict="0" r:id="rId7">
            <anchor moveWithCells="1">
              <from>
                <xdr:col>0</xdr:col>
                <xdr:colOff>0</xdr:colOff>
                <xdr:row>76</xdr:row>
                <xdr:rowOff>9525</xdr:rowOff>
              </from>
              <to>
                <xdr:col>8</xdr:col>
                <xdr:colOff>371475</xdr:colOff>
                <xdr:row>77</xdr:row>
                <xdr:rowOff>228600</xdr:rowOff>
              </to>
            </anchor>
          </objectPr>
        </oleObject>
      </mc:Choice>
      <mc:Fallback>
        <oleObject progId="Equation.3" shapeId="1489" r:id="rId6"/>
      </mc:Fallback>
    </mc:AlternateContent>
    <mc:AlternateContent xmlns:mc="http://schemas.openxmlformats.org/markup-compatibility/2006">
      <mc:Choice Requires="x14">
        <oleObject progId="Equation.3" shapeId="1490" r:id="rId8">
          <objectPr defaultSize="0" autoPict="0" r:id="rId9">
            <anchor moveWithCells="1">
              <from>
                <xdr:col>13</xdr:col>
                <xdr:colOff>257175</xdr:colOff>
                <xdr:row>76</xdr:row>
                <xdr:rowOff>19050</xdr:rowOff>
              </from>
              <to>
                <xdr:col>19</xdr:col>
                <xdr:colOff>257175</xdr:colOff>
                <xdr:row>79</xdr:row>
                <xdr:rowOff>219075</xdr:rowOff>
              </to>
            </anchor>
          </objectPr>
        </oleObject>
      </mc:Choice>
      <mc:Fallback>
        <oleObject progId="Equation.3" shapeId="1490" r:id="rId8"/>
      </mc:Fallback>
    </mc:AlternateContent>
    <mc:AlternateContent xmlns:mc="http://schemas.openxmlformats.org/markup-compatibility/2006">
      <mc:Choice Requires="x14">
        <oleObject progId="Equation.3" shapeId="1491" r:id="rId10">
          <objectPr defaultSize="0" autoPict="0" r:id="rId11">
            <anchor moveWithCells="1">
              <from>
                <xdr:col>9</xdr:col>
                <xdr:colOff>9525</xdr:colOff>
                <xdr:row>76</xdr:row>
                <xdr:rowOff>0</xdr:rowOff>
              </from>
              <to>
                <xdr:col>13</xdr:col>
                <xdr:colOff>228600</xdr:colOff>
                <xdr:row>79</xdr:row>
                <xdr:rowOff>9525</xdr:rowOff>
              </to>
            </anchor>
          </objectPr>
        </oleObject>
      </mc:Choice>
      <mc:Fallback>
        <oleObject progId="Equation.3" shapeId="1491" r:id="rId10"/>
      </mc:Fallback>
    </mc:AlternateContent>
    <mc:AlternateContent xmlns:mc="http://schemas.openxmlformats.org/markup-compatibility/2006">
      <mc:Choice Requires="x14">
        <oleObject progId="Equation.3" shapeId="1851" r:id="rId12">
          <objectPr defaultSize="0" r:id="rId13">
            <anchor moveWithCells="1">
              <from>
                <xdr:col>21</xdr:col>
                <xdr:colOff>390525</xdr:colOff>
                <xdr:row>76</xdr:row>
                <xdr:rowOff>228600</xdr:rowOff>
              </from>
              <to>
                <xdr:col>24</xdr:col>
                <xdr:colOff>9525</xdr:colOff>
                <xdr:row>78</xdr:row>
                <xdr:rowOff>28575</xdr:rowOff>
              </to>
            </anchor>
          </objectPr>
        </oleObject>
      </mc:Choice>
      <mc:Fallback>
        <oleObject progId="Equation.3" shapeId="1851" r:id="rId12"/>
      </mc:Fallback>
    </mc:AlternateContent>
    <mc:AlternateContent xmlns:mc="http://schemas.openxmlformats.org/markup-compatibility/2006">
      <mc:Choice Requires="x14">
        <oleObject progId="Equation.3" shapeId="3266" r:id="rId14">
          <objectPr defaultSize="0" autoPict="0" r:id="rId11">
            <anchor moveWithCells="1">
              <from>
                <xdr:col>7</xdr:col>
                <xdr:colOff>9525</xdr:colOff>
                <xdr:row>83</xdr:row>
                <xdr:rowOff>0</xdr:rowOff>
              </from>
              <to>
                <xdr:col>11</xdr:col>
                <xdr:colOff>228600</xdr:colOff>
                <xdr:row>86</xdr:row>
                <xdr:rowOff>9525</xdr:rowOff>
              </to>
            </anchor>
          </objectPr>
        </oleObject>
      </mc:Choice>
      <mc:Fallback>
        <oleObject progId="Equation.3" shapeId="3266" r:id="rId14"/>
      </mc:Fallback>
    </mc:AlternateContent>
    <mc:AlternateContent xmlns:mc="http://schemas.openxmlformats.org/markup-compatibility/2006">
      <mc:Choice Requires="x14">
        <oleObject progId="Equation.3" shapeId="3268" r:id="rId15">
          <objectPr defaultSize="0" autoPict="0" r:id="rId9">
            <anchor moveWithCells="1">
              <from>
                <xdr:col>11</xdr:col>
                <xdr:colOff>257175</xdr:colOff>
                <xdr:row>83</xdr:row>
                <xdr:rowOff>19050</xdr:rowOff>
              </from>
              <to>
                <xdr:col>17</xdr:col>
                <xdr:colOff>257175</xdr:colOff>
                <xdr:row>86</xdr:row>
                <xdr:rowOff>219075</xdr:rowOff>
              </to>
            </anchor>
          </objectPr>
        </oleObject>
      </mc:Choice>
      <mc:Fallback>
        <oleObject progId="Equation.3" shapeId="3268" r:id="rId15"/>
      </mc:Fallback>
    </mc:AlternateContent>
    <mc:AlternateContent xmlns:mc="http://schemas.openxmlformats.org/markup-compatibility/2006">
      <mc:Choice Requires="x14">
        <oleObject progId="Equation.3" shapeId="3657" r:id="rId16">
          <objectPr defaultSize="0" autoPict="0" r:id="rId17">
            <anchor moveWithCells="1">
              <from>
                <xdr:col>19</xdr:col>
                <xdr:colOff>0</xdr:colOff>
                <xdr:row>82</xdr:row>
                <xdr:rowOff>38100</xdr:rowOff>
              </from>
              <to>
                <xdr:col>25</xdr:col>
                <xdr:colOff>9525</xdr:colOff>
                <xdr:row>83</xdr:row>
                <xdr:rowOff>200025</xdr:rowOff>
              </to>
            </anchor>
          </objectPr>
        </oleObject>
      </mc:Choice>
      <mc:Fallback>
        <oleObject progId="Equation.3" shapeId="3657" r:id="rId16"/>
      </mc:Fallback>
    </mc:AlternateContent>
    <mc:AlternateContent xmlns:mc="http://schemas.openxmlformats.org/markup-compatibility/2006">
      <mc:Choice Requires="x14">
        <oleObject progId="Equation.3" shapeId="3668" r:id="rId18">
          <objectPr defaultSize="0" r:id="rId19">
            <anchor moveWithCells="1">
              <from>
                <xdr:col>18</xdr:col>
                <xdr:colOff>57150</xdr:colOff>
                <xdr:row>84</xdr:row>
                <xdr:rowOff>9525</xdr:rowOff>
              </from>
              <to>
                <xdr:col>19</xdr:col>
                <xdr:colOff>0</xdr:colOff>
                <xdr:row>85</xdr:row>
                <xdr:rowOff>9525</xdr:rowOff>
              </to>
            </anchor>
          </objectPr>
        </oleObject>
      </mc:Choice>
      <mc:Fallback>
        <oleObject progId="Equation.3" shapeId="3668" r:id="rId18"/>
      </mc:Fallback>
    </mc:AlternateContent>
    <mc:AlternateContent xmlns:mc="http://schemas.openxmlformats.org/markup-compatibility/2006">
      <mc:Choice Requires="x14">
        <oleObject progId="Equation.3" shapeId="3669" r:id="rId20">
          <objectPr defaultSize="0" r:id="rId21">
            <anchor moveWithCells="1">
              <from>
                <xdr:col>18</xdr:col>
                <xdr:colOff>161925</xdr:colOff>
                <xdr:row>85</xdr:row>
                <xdr:rowOff>200025</xdr:rowOff>
              </from>
              <to>
                <xdr:col>22</xdr:col>
                <xdr:colOff>0</xdr:colOff>
                <xdr:row>87</xdr:row>
                <xdr:rowOff>38100</xdr:rowOff>
              </to>
            </anchor>
          </objectPr>
        </oleObject>
      </mc:Choice>
      <mc:Fallback>
        <oleObject progId="Equation.3" shapeId="3669" r:id="rId20"/>
      </mc:Fallback>
    </mc:AlternateContent>
    <mc:AlternateContent xmlns:mc="http://schemas.openxmlformats.org/markup-compatibility/2006">
      <mc:Choice Requires="x14">
        <oleObject progId="Equation.3" shapeId="3670" r:id="rId22">
          <objectPr defaultSize="0" r:id="rId23">
            <anchor moveWithCells="1">
              <from>
                <xdr:col>18</xdr:col>
                <xdr:colOff>47625</xdr:colOff>
                <xdr:row>85</xdr:row>
                <xdr:rowOff>0</xdr:rowOff>
              </from>
              <to>
                <xdr:col>19</xdr:col>
                <xdr:colOff>0</xdr:colOff>
                <xdr:row>86</xdr:row>
                <xdr:rowOff>0</xdr:rowOff>
              </to>
            </anchor>
          </objectPr>
        </oleObject>
      </mc:Choice>
      <mc:Fallback>
        <oleObject progId="Equation.3" shapeId="3670" r:id="rId22"/>
      </mc:Fallback>
    </mc:AlternateContent>
    <mc:AlternateContent xmlns:mc="http://schemas.openxmlformats.org/markup-compatibility/2006">
      <mc:Choice Requires="x14">
        <oleObject progId="Equation.3" shapeId="3671" r:id="rId24">
          <objectPr defaultSize="0" r:id="rId25">
            <anchor moveWithCells="1">
              <from>
                <xdr:col>22</xdr:col>
                <xdr:colOff>76200</xdr:colOff>
                <xdr:row>84</xdr:row>
                <xdr:rowOff>0</xdr:rowOff>
              </from>
              <to>
                <xdr:col>23</xdr:col>
                <xdr:colOff>0</xdr:colOff>
                <xdr:row>85</xdr:row>
                <xdr:rowOff>0</xdr:rowOff>
              </to>
            </anchor>
          </objectPr>
        </oleObject>
      </mc:Choice>
      <mc:Fallback>
        <oleObject progId="Equation.3" shapeId="3671" r:id="rId2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E24"/>
  <sheetViews>
    <sheetView workbookViewId="0">
      <selection sqref="A1:E1"/>
    </sheetView>
  </sheetViews>
  <sheetFormatPr defaultRowHeight="15.75" x14ac:dyDescent="0.25"/>
  <cols>
    <col min="1" max="1" width="13.125" customWidth="1"/>
    <col min="2" max="2" width="3.125" customWidth="1"/>
    <col min="3" max="3" width="15.625" customWidth="1"/>
    <col min="4" max="4" width="3.125" customWidth="1"/>
    <col min="5" max="5" width="15.625" customWidth="1"/>
  </cols>
  <sheetData>
    <row r="1" spans="1:5" ht="20.25" x14ac:dyDescent="0.3">
      <c r="A1" s="612" t="s">
        <v>139</v>
      </c>
      <c r="B1" s="612"/>
      <c r="C1" s="612"/>
      <c r="D1" s="612"/>
      <c r="E1" s="612"/>
    </row>
    <row r="2" spans="1:5" x14ac:dyDescent="0.25">
      <c r="A2" s="29"/>
      <c r="B2" s="29"/>
      <c r="C2" s="29"/>
      <c r="D2" s="29"/>
      <c r="E2" s="29"/>
    </row>
    <row r="3" spans="1:5" x14ac:dyDescent="0.25">
      <c r="A3" s="30">
        <v>1</v>
      </c>
      <c r="B3" s="31" t="s">
        <v>140</v>
      </c>
      <c r="C3" s="32">
        <f>A3*0.101971621</f>
        <v>0.101971621</v>
      </c>
      <c r="D3" s="31" t="s">
        <v>140</v>
      </c>
      <c r="E3" s="33">
        <f>A3*0.224808943</f>
        <v>0.22480894300000001</v>
      </c>
    </row>
    <row r="4" spans="1:5" x14ac:dyDescent="0.25">
      <c r="A4" s="34">
        <v>1</v>
      </c>
      <c r="B4" s="31" t="s">
        <v>140</v>
      </c>
      <c r="C4" s="35">
        <f>A4*9.80665</f>
        <v>9.8066499999999994</v>
      </c>
      <c r="D4" s="31" t="s">
        <v>140</v>
      </c>
      <c r="E4" s="33">
        <f>A4*2.204622622</f>
        <v>2.204622622</v>
      </c>
    </row>
    <row r="5" spans="1:5" x14ac:dyDescent="0.25">
      <c r="A5" s="36">
        <v>1</v>
      </c>
      <c r="B5" s="31" t="s">
        <v>140</v>
      </c>
      <c r="C5" s="35">
        <f>A5*4.448221615</f>
        <v>4.4482216149999996</v>
      </c>
      <c r="D5" s="31" t="s">
        <v>140</v>
      </c>
      <c r="E5" s="32">
        <f>A5*0.45359237</f>
        <v>0.45359237000000002</v>
      </c>
    </row>
    <row r="6" spans="1:5" x14ac:dyDescent="0.25">
      <c r="A6" s="37">
        <v>1</v>
      </c>
      <c r="B6" s="37" t="s">
        <v>140</v>
      </c>
      <c r="C6" s="30">
        <f>A6*4448.22161525</f>
        <v>4448.2216152499996</v>
      </c>
      <c r="D6" s="31" t="s">
        <v>140</v>
      </c>
      <c r="E6" s="34">
        <f>A6*453.59237</f>
        <v>453.59237000000002</v>
      </c>
    </row>
    <row r="7" spans="1:5" x14ac:dyDescent="0.25">
      <c r="A7" s="38"/>
      <c r="B7" s="38"/>
      <c r="C7" s="38"/>
      <c r="D7" s="38"/>
      <c r="E7" s="38"/>
    </row>
    <row r="8" spans="1:5" x14ac:dyDescent="0.25">
      <c r="A8" s="39">
        <v>1</v>
      </c>
      <c r="B8" s="31" t="s">
        <v>140</v>
      </c>
      <c r="C8" s="40">
        <f>A8/25.4</f>
        <v>3.937007874015748E-2</v>
      </c>
      <c r="D8" s="31" t="s">
        <v>140</v>
      </c>
      <c r="E8" s="41">
        <f>C8/12</f>
        <v>3.2808398950131233E-3</v>
      </c>
    </row>
    <row r="9" spans="1:5" x14ac:dyDescent="0.25">
      <c r="A9" s="42">
        <v>1</v>
      </c>
      <c r="B9" s="31" t="s">
        <v>140</v>
      </c>
      <c r="C9" s="40">
        <f>A9/2.54</f>
        <v>0.39370078740157477</v>
      </c>
      <c r="D9" s="31" t="s">
        <v>140</v>
      </c>
      <c r="E9" s="41">
        <f>C9/12</f>
        <v>3.2808398950131233E-2</v>
      </c>
    </row>
    <row r="10" spans="1:5" x14ac:dyDescent="0.25">
      <c r="A10" s="43">
        <v>1</v>
      </c>
      <c r="B10" s="31" t="s">
        <v>140</v>
      </c>
      <c r="C10" s="41">
        <f>A10/12</f>
        <v>8.3333333333333329E-2</v>
      </c>
      <c r="D10" s="31" t="s">
        <v>140</v>
      </c>
      <c r="E10" s="39">
        <f>A10*25.4</f>
        <v>25.4</v>
      </c>
    </row>
    <row r="11" spans="1:5" x14ac:dyDescent="0.25">
      <c r="A11" s="44">
        <v>1</v>
      </c>
      <c r="B11" s="44" t="s">
        <v>140</v>
      </c>
      <c r="C11" s="43">
        <f>A11*12</f>
        <v>12</v>
      </c>
      <c r="D11" s="31" t="s">
        <v>140</v>
      </c>
      <c r="E11" s="39">
        <f>A11*12*25.4</f>
        <v>304.79999999999995</v>
      </c>
    </row>
    <row r="12" spans="1:5" x14ac:dyDescent="0.25">
      <c r="A12" s="38"/>
      <c r="B12" s="38"/>
      <c r="C12" s="38"/>
      <c r="D12" s="38"/>
      <c r="E12" s="38"/>
    </row>
    <row r="13" spans="1:5" x14ac:dyDescent="0.25">
      <c r="A13" s="45">
        <v>1</v>
      </c>
      <c r="B13" s="31" t="s">
        <v>140</v>
      </c>
      <c r="C13" s="46">
        <f>A13*0.671968975</f>
        <v>0.67196897499999997</v>
      </c>
      <c r="D13" s="38"/>
      <c r="E13" s="38"/>
    </row>
    <row r="14" spans="1:5" x14ac:dyDescent="0.25">
      <c r="A14" s="47">
        <v>1</v>
      </c>
      <c r="B14" s="31" t="s">
        <v>140</v>
      </c>
      <c r="C14" s="48">
        <f>A14*0.45359237/(12*25.4/1000)</f>
        <v>1.4881639435695542</v>
      </c>
      <c r="D14" s="38"/>
      <c r="E14" s="38"/>
    </row>
    <row r="15" spans="1:5" x14ac:dyDescent="0.25">
      <c r="A15" s="38"/>
      <c r="B15" s="38"/>
      <c r="C15" s="38"/>
      <c r="D15" s="38"/>
      <c r="E15" s="38"/>
    </row>
    <row r="16" spans="1:5" x14ac:dyDescent="0.25">
      <c r="A16" s="49">
        <v>1</v>
      </c>
      <c r="B16" s="31" t="s">
        <v>140</v>
      </c>
      <c r="C16" s="50">
        <f>A16*10.19716213</f>
        <v>10.197162130000001</v>
      </c>
      <c r="D16" s="31" t="s">
        <v>140</v>
      </c>
      <c r="E16" s="51">
        <f>A16*0.145037738</f>
        <v>0.145037738</v>
      </c>
    </row>
    <row r="17" spans="1:5" x14ac:dyDescent="0.25">
      <c r="A17" s="52">
        <v>1</v>
      </c>
      <c r="B17" s="31" t="s">
        <v>140</v>
      </c>
      <c r="C17" s="53">
        <v>9.8066500000000001E-2</v>
      </c>
      <c r="D17" s="31" t="s">
        <v>140</v>
      </c>
      <c r="E17" s="51">
        <f>A17*0.014223343</f>
        <v>1.4223342999999999E-2</v>
      </c>
    </row>
    <row r="18" spans="1:5" x14ac:dyDescent="0.25">
      <c r="A18" s="54">
        <v>1</v>
      </c>
      <c r="B18" s="54" t="s">
        <v>140</v>
      </c>
      <c r="C18" s="53">
        <f>A18*6.894757293</f>
        <v>6.8947572929999996</v>
      </c>
      <c r="D18" s="31" t="s">
        <v>140</v>
      </c>
      <c r="E18" s="50">
        <f>A18*70.306957964</f>
        <v>70.306957964000006</v>
      </c>
    </row>
    <row r="19" spans="1:5" x14ac:dyDescent="0.25">
      <c r="A19" s="29"/>
      <c r="B19" s="29"/>
      <c r="C19" s="29"/>
      <c r="D19" s="29"/>
      <c r="E19" s="29"/>
    </row>
    <row r="20" spans="1:5" x14ac:dyDescent="0.25">
      <c r="A20" s="613" t="s">
        <v>141</v>
      </c>
      <c r="B20" s="613"/>
      <c r="C20" s="613"/>
      <c r="D20" s="613"/>
      <c r="E20" s="613"/>
    </row>
    <row r="21" spans="1:5" x14ac:dyDescent="0.25">
      <c r="A21" s="613" t="s">
        <v>142</v>
      </c>
      <c r="B21" s="613"/>
      <c r="C21" s="613"/>
      <c r="D21" s="613"/>
      <c r="E21" s="613"/>
    </row>
    <row r="22" spans="1:5" x14ac:dyDescent="0.25">
      <c r="A22" s="613" t="s">
        <v>143</v>
      </c>
      <c r="B22" s="613"/>
      <c r="C22" s="613"/>
      <c r="D22" s="613"/>
      <c r="E22" s="613"/>
    </row>
    <row r="23" spans="1:5" x14ac:dyDescent="0.25">
      <c r="A23" s="613" t="s">
        <v>144</v>
      </c>
      <c r="B23" s="613"/>
      <c r="C23" s="613"/>
      <c r="D23" s="613"/>
      <c r="E23" s="613"/>
    </row>
    <row r="24" spans="1:5" x14ac:dyDescent="0.25">
      <c r="A24" s="613" t="s">
        <v>145</v>
      </c>
      <c r="B24" s="613"/>
      <c r="C24" s="613"/>
      <c r="D24" s="613"/>
      <c r="E24" s="613"/>
    </row>
  </sheetData>
  <sheetProtection sheet="1" objects="1" scenarios="1"/>
  <mergeCells count="6">
    <mergeCell ref="A1:E1"/>
    <mergeCell ref="A20:E20"/>
    <mergeCell ref="A21:E21"/>
    <mergeCell ref="A22:E22"/>
    <mergeCell ref="A23:E23"/>
    <mergeCell ref="A24:E2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143</vt:i4>
      </vt:variant>
    </vt:vector>
  </HeadingPairs>
  <TitlesOfParts>
    <vt:vector size="145" baseType="lpstr">
      <vt:lpstr>Single-Plate Connections</vt:lpstr>
      <vt:lpstr>Conversão de Unidades</vt:lpstr>
      <vt:lpstr>a</vt:lpstr>
      <vt:lpstr>Ab</vt:lpstr>
      <vt:lpstr>Ae</vt:lpstr>
      <vt:lpstr>Aea</vt:lpstr>
      <vt:lpstr>Aep</vt:lpstr>
      <vt:lpstr>Aepa</vt:lpstr>
      <vt:lpstr>Afi</vt:lpstr>
      <vt:lpstr>Ag</vt:lpstr>
      <vt:lpstr>Aga</vt:lpstr>
      <vt:lpstr>AgL</vt:lpstr>
      <vt:lpstr>Agp</vt:lpstr>
      <vt:lpstr>Agpa</vt:lpstr>
      <vt:lpstr>Agpaf</vt:lpstr>
      <vt:lpstr>Agt</vt:lpstr>
      <vt:lpstr>Agta</vt:lpstr>
      <vt:lpstr>Agtae</vt:lpstr>
      <vt:lpstr>Agtp</vt:lpstr>
      <vt:lpstr>Agtpa</vt:lpstr>
      <vt:lpstr>Agtpae</vt:lpstr>
      <vt:lpstr>Agv</vt:lpstr>
      <vt:lpstr>Agva</vt:lpstr>
      <vt:lpstr>Agvae</vt:lpstr>
      <vt:lpstr>Agvp</vt:lpstr>
      <vt:lpstr>Agvpa</vt:lpstr>
      <vt:lpstr>Agvpae</vt:lpstr>
      <vt:lpstr>Ant</vt:lpstr>
      <vt:lpstr>Anta</vt:lpstr>
      <vt:lpstr>Antae</vt:lpstr>
      <vt:lpstr>Antp</vt:lpstr>
      <vt:lpstr>Antpa</vt:lpstr>
      <vt:lpstr>Antpae</vt:lpstr>
      <vt:lpstr>Anv</vt:lpstr>
      <vt:lpstr>Anva</vt:lpstr>
      <vt:lpstr>Anvae</vt:lpstr>
      <vt:lpstr>Anvp</vt:lpstr>
      <vt:lpstr>Anvpa</vt:lpstr>
      <vt:lpstr>Anvpae</vt:lpstr>
      <vt:lpstr>'Single-Plate Connections'!Area_de_impressao</vt:lpstr>
      <vt:lpstr>Awn</vt:lpstr>
      <vt:lpstr>bfi</vt:lpstr>
      <vt:lpstr>bfs</vt:lpstr>
      <vt:lpstr>Clinha</vt:lpstr>
      <vt:lpstr>coefC</vt:lpstr>
      <vt:lpstr>Config</vt:lpstr>
      <vt:lpstr>d</vt:lpstr>
      <vt:lpstr>db</vt:lpstr>
      <vt:lpstr>dbmm</vt:lpstr>
      <vt:lpstr>dbSI</vt:lpstr>
      <vt:lpstr>dc</vt:lpstr>
      <vt:lpstr>de</vt:lpstr>
      <vt:lpstr>deh</vt:lpstr>
      <vt:lpstr>delta</vt:lpstr>
      <vt:lpstr>DELTAmax</vt:lpstr>
      <vt:lpstr>dev</vt:lpstr>
      <vt:lpstr>df</vt:lpstr>
      <vt:lpstr>dfi</vt:lpstr>
      <vt:lpstr>dfs</vt:lpstr>
      <vt:lpstr>dh</vt:lpstr>
      <vt:lpstr>di</vt:lpstr>
      <vt:lpstr>dih</vt:lpstr>
      <vt:lpstr>div</vt:lpstr>
      <vt:lpstr>dmax</vt:lpstr>
      <vt:lpstr>dp</vt:lpstr>
      <vt:lpstr>dpf</vt:lpstr>
      <vt:lpstr>dv</vt:lpstr>
      <vt:lpstr>dw</vt:lpstr>
      <vt:lpstr>dwt</vt:lpstr>
      <vt:lpstr>e</vt:lpstr>
      <vt:lpstr>ep</vt:lpstr>
      <vt:lpstr>Erro</vt:lpstr>
      <vt:lpstr>ex</vt:lpstr>
      <vt:lpstr>f</vt:lpstr>
      <vt:lpstr>Fcr</vt:lpstr>
      <vt:lpstr>Fcrp</vt:lpstr>
      <vt:lpstr>fd</vt:lpstr>
      <vt:lpstr>Fn</vt:lpstr>
      <vt:lpstr>folga</vt:lpstr>
      <vt:lpstr>Fu</vt:lpstr>
      <vt:lpstr>Fup</vt:lpstr>
      <vt:lpstr>Fy</vt:lpstr>
      <vt:lpstr>FyL</vt:lpstr>
      <vt:lpstr>Fyp</vt:lpstr>
      <vt:lpstr>ho</vt:lpstr>
      <vt:lpstr>Ixn</vt:lpstr>
      <vt:lpstr>k</vt:lpstr>
      <vt:lpstr>lambda</vt:lpstr>
      <vt:lpstr>lambdap</vt:lpstr>
      <vt:lpstr>Lce</vt:lpstr>
      <vt:lpstr>Lcea</vt:lpstr>
      <vt:lpstr>Lcep</vt:lpstr>
      <vt:lpstr>Lcepa</vt:lpstr>
      <vt:lpstr>Lci</vt:lpstr>
      <vt:lpstr>Lcia</vt:lpstr>
      <vt:lpstr>Lcip</vt:lpstr>
      <vt:lpstr>Lcipa</vt:lpstr>
      <vt:lpstr>Mdp</vt:lpstr>
      <vt:lpstr>Mdv</vt:lpstr>
      <vt:lpstr>Mmax</vt:lpstr>
      <vt:lpstr>Nd</vt:lpstr>
      <vt:lpstr>nlp</vt:lpstr>
      <vt:lpstr>np</vt:lpstr>
      <vt:lpstr>npl</vt:lpstr>
      <vt:lpstr>Pd</vt:lpstr>
      <vt:lpstr>Perfil</vt:lpstr>
      <vt:lpstr>Pn</vt:lpstr>
      <vt:lpstr>Q</vt:lpstr>
      <vt:lpstr>Qp</vt:lpstr>
      <vt:lpstr>r0</vt:lpstr>
      <vt:lpstr>Rb</vt:lpstr>
      <vt:lpstr>rec</vt:lpstr>
      <vt:lpstr>Rult</vt:lpstr>
      <vt:lpstr>tfi</vt:lpstr>
      <vt:lpstr>tfs</vt:lpstr>
      <vt:lpstr>Tipo</vt:lpstr>
      <vt:lpstr>TipoLig</vt:lpstr>
      <vt:lpstr>TipoRec</vt:lpstr>
      <vt:lpstr>'Single-Plate Connections'!Titulos_de_impressao</vt:lpstr>
      <vt:lpstr>tL</vt:lpstr>
      <vt:lpstr>tmaxp</vt:lpstr>
      <vt:lpstr>tmaxv</vt:lpstr>
      <vt:lpstr>tp</vt:lpstr>
      <vt:lpstr>tw</vt:lpstr>
      <vt:lpstr>U</vt:lpstr>
      <vt:lpstr>Ua</vt:lpstr>
      <vt:lpstr>Ubs</vt:lpstr>
      <vt:lpstr>Ubsa</vt:lpstr>
      <vt:lpstr>Ubsae</vt:lpstr>
      <vt:lpstr>Ubsp</vt:lpstr>
      <vt:lpstr>Ubspa</vt:lpstr>
      <vt:lpstr>Ubspae</vt:lpstr>
      <vt:lpstr>Up</vt:lpstr>
      <vt:lpstr>Upa</vt:lpstr>
      <vt:lpstr>Vd</vt:lpstr>
      <vt:lpstr>wxn</vt:lpstr>
      <vt:lpstr>xCG</vt:lpstr>
      <vt:lpstr>xCI</vt:lpstr>
      <vt:lpstr>yCG</vt:lpstr>
      <vt:lpstr>YCGfi</vt:lpstr>
      <vt:lpstr>YCGn</vt:lpstr>
      <vt:lpstr>YCGw</vt:lpstr>
      <vt:lpstr>yCI</vt:lpstr>
      <vt:lpstr>Znet</vt:lpstr>
      <vt:lpstr>Zplp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Fábio Nogueira Leite</dc:creator>
  <cp:lastModifiedBy>Fábio Nogueira Leite</cp:lastModifiedBy>
  <cp:lastPrinted>2012-01-12T12:22:26Z</cp:lastPrinted>
  <dcterms:created xsi:type="dcterms:W3CDTF">2011-11-04T09:44:20Z</dcterms:created>
  <dcterms:modified xsi:type="dcterms:W3CDTF">2015-06-25T13:13:11Z</dcterms:modified>
</cp:coreProperties>
</file>