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540" tabRatio="877" activeTab="0"/>
  </bookViews>
  <sheets>
    <sheet name="Doc" sheetId="1" r:id="rId1"/>
    <sheet name="Welded Clips(Col Flg)" sheetId="2" r:id="rId2"/>
    <sheet name="Welded Clips(Col Web)" sheetId="3" r:id="rId3"/>
    <sheet name="Welded Clips(Girder)" sheetId="4" r:id="rId4"/>
    <sheet name="Uncoped Beam Table" sheetId="5" r:id="rId5"/>
  </sheets>
  <definedNames>
    <definedName name="IND1">#REF!</definedName>
    <definedName name="_xlnm.Print_Area" localSheetId="0">'Doc'!$A$1:$J$50</definedName>
    <definedName name="_xlnm.Print_Area" localSheetId="4">'Uncoped Beam Table'!$A$1:$K$132</definedName>
    <definedName name="_xlnm.Print_Area" localSheetId="1">'Welded Clips(Col Flg)'!$A$1:$I$200</definedName>
    <definedName name="_xlnm.Print_Area" localSheetId="2">'Welded Clips(Col Web)'!$A$1:$I$200</definedName>
    <definedName name="_xlnm.Print_Area" localSheetId="3">'Welded Clips(Girder)'!$A$1:$I$200</definedName>
    <definedName name="Shape">#REF!</definedName>
  </definedNames>
  <calcPr fullCalcOnLoad="1"/>
</workbook>
</file>

<file path=xl/comments2.xml><?xml version="1.0" encoding="utf-8"?>
<comments xmlns="http://schemas.openxmlformats.org/spreadsheetml/2006/main">
  <authors>
    <author>4892</author>
    <author>Bob Dalpiaz</author>
    <author>Alex Tomanovich</author>
    <author>jberg</author>
  </authors>
  <commentList>
    <comment ref="I178" authorId="0">
      <text>
        <r>
          <rPr>
            <sz val="8"/>
            <rFont val="Tahoma"/>
            <family val="2"/>
          </rPr>
          <t>If Rwy &lt; P, then either increase connection length (L), or add/increase column web doubler plate thickness (td).</t>
        </r>
      </text>
    </comment>
    <comment ref="I184" authorId="0">
      <text>
        <r>
          <rPr>
            <sz val="8"/>
            <rFont val="Tahoma"/>
            <family val="2"/>
          </rPr>
          <t>If Rwc &lt; P, then either increase connectin length (L), or add/increase column web doubler plate thickness (td).</t>
        </r>
      </text>
    </comment>
    <comment ref="I191" authorId="0">
      <text>
        <r>
          <rPr>
            <sz val="8"/>
            <rFont val="Tahoma"/>
            <family val="2"/>
          </rPr>
          <t>If weld size &gt; maximum weld, then either add/increase column web doubler plate thickness (td), increase connection length (L), or use full penetration weld.</t>
        </r>
      </text>
    </comment>
    <comment ref="AR30" authorId="0">
      <text>
        <r>
          <rPr>
            <sz val="8"/>
            <rFont val="Tahoma"/>
            <family val="2"/>
          </rPr>
          <t>If Fwy &lt; fwy, then either increase number of bolts (Nb), increase bolt vertical spacing (S), or add/increase column web doubler plate thickness (td).</t>
        </r>
      </text>
    </comment>
    <comment ref="AR31" authorId="0">
      <text>
        <r>
          <rPr>
            <sz val="8"/>
            <rFont val="Tahoma"/>
            <family val="2"/>
          </rPr>
          <t>If Rwc &lt; P, then either increase number of bolts (Nb), increase bolt vertical spacing (S), or add/increase column web doubler plate thickness (td).</t>
        </r>
      </text>
    </comment>
    <comment ref="AR32" authorId="0">
      <text>
        <r>
          <rPr>
            <sz val="8"/>
            <rFont val="Tahoma"/>
            <family val="2"/>
          </rPr>
          <t>If weld size &gt; maximum weld, then either add/increase column web doubler plate thickness (td), increase number of bolts (Nb), increase bolt vertical spacing (S), or use full penetration weld.</t>
        </r>
      </text>
    </comment>
    <comment ref="AN1" authorId="1">
      <text>
        <r>
          <rPr>
            <sz val="8"/>
            <rFont val="Tahoma"/>
            <family val="2"/>
          </rPr>
          <t xml:space="preserve">          </t>
        </r>
        <r>
          <rPr>
            <b/>
            <sz val="8"/>
            <rFont val="Tahoma"/>
            <family val="2"/>
          </rPr>
          <t>"CLIPCONN-ALL-WELD-13.xls"</t>
        </r>
        <r>
          <rPr>
            <sz val="8"/>
            <rFont val="Tahoma"/>
            <family val="2"/>
          </rPr>
          <t xml:space="preserve">
written by:  Joel Berg, P.E.
based on a spreadsheet by:  Alex Tomanovich, P.E.</t>
        </r>
      </text>
    </comment>
    <comment ref="I63" authorId="0">
      <text>
        <r>
          <rPr>
            <sz val="8"/>
            <rFont val="Tahoma"/>
            <family val="2"/>
          </rPr>
          <t>If Rwv &lt; R, then either increase connection length, or increase angle thickness to increase weld size.</t>
        </r>
      </text>
    </comment>
    <comment ref="I64" authorId="0">
      <text>
        <r>
          <rPr>
            <sz val="8"/>
            <rFont val="Tahoma"/>
            <family val="2"/>
          </rPr>
          <t>If Rwa &lt; P, then either increase connection length, or increase angle thickness to increase weld size.</t>
        </r>
      </text>
    </comment>
    <comment ref="I89" authorId="2">
      <text>
        <r>
          <rPr>
            <sz val="8"/>
            <rFont val="Tahoma"/>
            <family val="2"/>
          </rPr>
          <t>If Rwv&lt; R, then increase connection length (L).</t>
        </r>
      </text>
    </comment>
    <comment ref="I90" authorId="2">
      <text>
        <r>
          <rPr>
            <sz val="8"/>
            <rFont val="Tahoma"/>
            <family val="2"/>
          </rPr>
          <t>If Rwa &lt; R, then increase connection length (L).</t>
        </r>
      </text>
    </comment>
    <comment ref="I91" authorId="2">
      <text>
        <r>
          <rPr>
            <sz val="8"/>
            <rFont val="Tahoma"/>
            <family val="2"/>
          </rPr>
          <t>If weld size &gt; max. weld, then increase connection length (L).</t>
        </r>
      </text>
    </comment>
    <comment ref="I94" authorId="2">
      <text>
        <r>
          <rPr>
            <sz val="8"/>
            <rFont val="Tahoma"/>
            <family val="2"/>
          </rPr>
          <t>If Rvg &lt; R, then either increase clip angle thickness (ta), or increase connection length (L).</t>
        </r>
      </text>
    </comment>
    <comment ref="I98" authorId="2">
      <text>
        <r>
          <rPr>
            <sz val="8"/>
            <rFont val="Tahoma"/>
            <family val="2"/>
          </rPr>
          <t>If Rvn &lt; R, then either increase clip angle thickness (ta), or increase connection length (L).</t>
        </r>
      </text>
    </comment>
    <comment ref="I106" authorId="3">
      <text>
        <r>
          <rPr>
            <sz val="8"/>
            <rFont val="Tahoma"/>
            <family val="2"/>
          </rPr>
          <t>If Rtg &lt; R, then either increase clip angle thickness (ta), increase connection length (L).</t>
        </r>
      </text>
    </comment>
    <comment ref="I115" authorId="2">
      <text>
        <r>
          <rPr>
            <sz val="8"/>
            <rFont val="Tahoma"/>
            <family val="2"/>
          </rPr>
          <t>If Rvg &lt; R, then either increase beam web thickness (tw) or add beam web doubler plate(s).</t>
        </r>
      </text>
    </comment>
    <comment ref="I123" authorId="0">
      <text>
        <r>
          <rPr>
            <sz val="8"/>
            <rFont val="Tahoma"/>
            <family val="2"/>
          </rPr>
          <t>If Rvg &lt; R, then either increase beam web thickness (tw) or add beam web doubler plate(s).</t>
        </r>
      </text>
    </comment>
    <comment ref="I128" authorId="3">
      <text>
        <r>
          <rPr>
            <sz val="8"/>
            <rFont val="Tahoma"/>
            <family val="2"/>
          </rPr>
          <t>If Rbs &lt; R , then either increase beam web thickness (tw) or add beam web doubler plate(s).</t>
        </r>
      </text>
    </comment>
    <comment ref="I134" authorId="2">
      <text>
        <r>
          <rPr>
            <sz val="8"/>
            <rFont val="Tahoma"/>
            <family val="2"/>
          </rPr>
          <t>If Rto &lt; P, then either increase beam web thickness (tw) or add beam web doubler plate(s), or increase connection length (L).</t>
        </r>
      </text>
    </comment>
    <comment ref="I138" authorId="2">
      <text>
        <r>
          <rPr>
            <sz val="8"/>
            <rFont val="Tahoma"/>
            <family val="2"/>
          </rPr>
          <t>If Rto &lt; P, then either increase beam web thickness (tw) or add beam web doubler plate(s), or increase connection length (L).</t>
        </r>
      </text>
    </comment>
    <comment ref="I147" authorId="2">
      <text>
        <r>
          <rPr>
            <sz val="8"/>
            <rFont val="Tahoma"/>
            <family val="2"/>
          </rPr>
          <t>If Rwb &lt; R, then either increase beam web thickness (tw) or add beam web doubler plate(s).</t>
        </r>
      </text>
    </comment>
    <comment ref="I163" authorId="2">
      <text>
        <r>
          <rPr>
            <sz val="8"/>
            <rFont val="Tahoma"/>
            <family val="2"/>
          </rPr>
          <t>If Rwb &lt; R, then either increase beam web thickness (tw) or add beam web doubler plate(s).</t>
        </r>
      </text>
    </comment>
    <comment ref="I172" authorId="0">
      <text>
        <r>
          <rPr>
            <sz val="8"/>
            <rFont val="Tahoma"/>
            <family val="2"/>
          </rPr>
          <t>If Rwv &lt; R, then either increase connection length (L), or increase column flange thickness.</t>
        </r>
      </text>
    </comment>
    <comment ref="I173" authorId="0">
      <text>
        <r>
          <rPr>
            <sz val="8"/>
            <rFont val="Tahoma"/>
            <family val="2"/>
          </rPr>
          <t>If Rwt &lt; P, then either increase connection length (L), or increase column flange thickness.</t>
        </r>
      </text>
    </comment>
    <comment ref="AR7" authorId="0">
      <text>
        <r>
          <rPr>
            <sz val="8"/>
            <rFont val="Tahoma"/>
            <family val="2"/>
          </rPr>
          <t>If Rwv &lt; R, then either increase connection length, or increase angle thickness to increase weld size.</t>
        </r>
      </text>
    </comment>
    <comment ref="AR8" authorId="0">
      <text>
        <r>
          <rPr>
            <sz val="8"/>
            <rFont val="Tahoma"/>
            <family val="2"/>
          </rPr>
          <t>If Rwa &lt; R, then either increase connection length, or increase angle thickness to increase weld size.</t>
        </r>
      </text>
    </comment>
    <comment ref="AR11" authorId="2">
      <text>
        <r>
          <rPr>
            <sz val="8"/>
            <rFont val="Tahoma"/>
            <family val="2"/>
          </rPr>
          <t>If Rwv&lt; R, then increase connection length (L).</t>
        </r>
      </text>
    </comment>
    <comment ref="AR12" authorId="2">
      <text>
        <r>
          <rPr>
            <sz val="8"/>
            <rFont val="Tahoma"/>
            <family val="2"/>
          </rPr>
          <t>If Rwa&lt; R, then increase connection length (L).</t>
        </r>
      </text>
    </comment>
    <comment ref="AR13" authorId="2">
      <text>
        <r>
          <rPr>
            <sz val="8"/>
            <rFont val="Tahoma"/>
            <family val="2"/>
          </rPr>
          <t>If weld size &gt; max. weld, then increase connection length (L).</t>
        </r>
      </text>
    </comment>
    <comment ref="AR15" authorId="2">
      <text>
        <r>
          <rPr>
            <sz val="8"/>
            <rFont val="Tahoma"/>
            <family val="2"/>
          </rPr>
          <t>If Rvg &lt; R, then either increase clip angle thickness (ta), or increase connection length (L).</t>
        </r>
      </text>
    </comment>
    <comment ref="AR16" authorId="2">
      <text>
        <r>
          <rPr>
            <sz val="8"/>
            <rFont val="Tahoma"/>
            <family val="2"/>
          </rPr>
          <t>If Rvn &lt; R, then either increase clip angle thickness (ta), or increase connection length (L).</t>
        </r>
      </text>
    </comment>
    <comment ref="AR17" authorId="2">
      <text>
        <r>
          <rPr>
            <sz val="8"/>
            <rFont val="Tahoma"/>
            <family val="2"/>
          </rPr>
          <t>If Rvg &lt; R, then either increase clip angle thickness (ta), or increase connection length (L).</t>
        </r>
      </text>
    </comment>
    <comment ref="AR19" authorId="2">
      <text>
        <r>
          <rPr>
            <sz val="8"/>
            <rFont val="Tahoma"/>
            <family val="2"/>
          </rPr>
          <t>If Rvg &lt; R, then either increase beam web thickness (tw) or add beam web doubler plate(s).</t>
        </r>
      </text>
    </comment>
    <comment ref="AR21" authorId="2">
      <text>
        <r>
          <rPr>
            <sz val="8"/>
            <rFont val="Tahoma"/>
            <family val="2"/>
          </rPr>
          <t>If Rtg &lt; R, then either increase beam web thickness (tw) or add beam web doubler plate(s).</t>
        </r>
      </text>
    </comment>
    <comment ref="AR22" authorId="2">
      <text>
        <r>
          <rPr>
            <sz val="8"/>
            <rFont val="Tahoma"/>
            <family val="2"/>
          </rPr>
          <t>If Rbs &lt; R, then either increase beam web thickness (tw) or add beam web doubler plate(s).</t>
        </r>
      </text>
    </comment>
    <comment ref="AR23" authorId="2">
      <text>
        <r>
          <rPr>
            <sz val="8"/>
            <rFont val="Tahoma"/>
            <family val="2"/>
          </rPr>
          <t>If Rto &lt; P, then either increase beam web thickness (tw) or add beam web doubler plate(s), or increase connection length (L).</t>
        </r>
      </text>
    </comment>
    <comment ref="AR24" authorId="2">
      <text>
        <r>
          <rPr>
            <sz val="8"/>
            <rFont val="Tahoma"/>
            <family val="2"/>
          </rPr>
          <t>If Rto &lt; P, then either increase beam web thickness (tw) or add beam web doubler plate(s), or increase connection length (L).</t>
        </r>
      </text>
    </comment>
    <comment ref="AR25" authorId="2">
      <text>
        <r>
          <rPr>
            <sz val="8"/>
            <rFont val="Tahoma"/>
            <family val="2"/>
          </rPr>
          <t>If Rwb &lt; R, then either increase beam web thickness (tw) or add beam web doubler plate(s).</t>
        </r>
      </text>
    </comment>
    <comment ref="AR26" authorId="2">
      <text>
        <r>
          <rPr>
            <sz val="8"/>
            <rFont val="Tahoma"/>
            <family val="2"/>
          </rPr>
          <t>If Rwb &lt; R, then either increase beam web thickness (tw) or add beam web doubler plate(s).</t>
        </r>
      </text>
    </comment>
    <comment ref="AR28" authorId="0">
      <text>
        <r>
          <rPr>
            <sz val="8"/>
            <rFont val="Tahoma"/>
            <family val="2"/>
          </rPr>
          <t>If Rwv &lt; R, then either increase connection length (L), or increase column web thickness.</t>
        </r>
      </text>
    </comment>
    <comment ref="AR29" authorId="0">
      <text>
        <r>
          <rPr>
            <sz val="8"/>
            <rFont val="Tahoma"/>
            <family val="2"/>
          </rPr>
          <t>If Rwa &lt; P, then either increase connection length (L), or increase column web thickness.</t>
        </r>
      </text>
    </comment>
    <comment ref="I68" authorId="0">
      <text>
        <r>
          <rPr>
            <sz val="8"/>
            <rFont val="Tahoma"/>
            <family val="2"/>
          </rPr>
          <t>If Fb &lt; fb, then either increase number of bolts (Nb) to increase clip angle length, or increase angle thickness.</t>
        </r>
      </text>
    </comment>
    <comment ref="AR9" authorId="0">
      <text>
        <r>
          <rPr>
            <sz val="8"/>
            <rFont val="Tahoma"/>
            <family val="2"/>
          </rPr>
          <t>If Fb &lt; fb, then either increase number of bolts (Nb) to increase clip angle length, or increase angle thickness.</t>
        </r>
      </text>
    </comment>
    <comment ref="AR20" authorId="2">
      <text>
        <r>
          <rPr>
            <sz val="8"/>
            <rFont val="Tahoma"/>
            <family val="2"/>
          </rPr>
          <t>If Rvn &lt; R, then either increase beam web thickness (tw) or add beam web doubler plate(s).</t>
        </r>
      </text>
    </comment>
    <comment ref="I119" authorId="2">
      <text>
        <r>
          <rPr>
            <sz val="8"/>
            <rFont val="Tahoma"/>
            <family val="2"/>
          </rPr>
          <t>If Rvg &lt; R, then either increase beam web thickness (tw) or add beam web doubler plate(s).</t>
        </r>
      </text>
    </comment>
  </commentList>
</comments>
</file>

<file path=xl/comments3.xml><?xml version="1.0" encoding="utf-8"?>
<comments xmlns="http://schemas.openxmlformats.org/spreadsheetml/2006/main">
  <authors>
    <author>4892</author>
    <author>Alex Tomanovich</author>
    <author>jberg</author>
    <author>Bob Dalpiaz</author>
  </authors>
  <commentList>
    <comment ref="I186" authorId="0">
      <text>
        <r>
          <rPr>
            <sz val="8"/>
            <rFont val="Tahoma"/>
            <family val="2"/>
          </rPr>
          <t>If Pa &lt; P, then either increase connection length (L), or add/increase column web doubler plate thickness (td).</t>
        </r>
      </text>
    </comment>
    <comment ref="I199" authorId="0">
      <text>
        <r>
          <rPr>
            <sz val="8"/>
            <rFont val="Tahoma"/>
            <family val="2"/>
          </rPr>
          <t>If weld size &gt; maximum weld, then either add/increase column web doubler plate thickness (td), increase connection length (L), or use full penetration weld.</t>
        </r>
      </text>
    </comment>
    <comment ref="I192" authorId="0">
      <text>
        <r>
          <rPr>
            <sz val="8"/>
            <rFont val="Tahoma"/>
            <family val="2"/>
          </rPr>
          <t>If Fv &lt; fv, then either or add/increase column web doubler plate thickness (td), or increase connection length (L).</t>
        </r>
      </text>
    </comment>
    <comment ref="I63" authorId="0">
      <text>
        <r>
          <rPr>
            <sz val="8"/>
            <rFont val="Tahoma"/>
            <family val="2"/>
          </rPr>
          <t>If Rwv &lt; R, then either increase connection length, or increase angle thickness to increase weld size.</t>
        </r>
      </text>
    </comment>
    <comment ref="I64" authorId="0">
      <text>
        <r>
          <rPr>
            <sz val="8"/>
            <rFont val="Tahoma"/>
            <family val="2"/>
          </rPr>
          <t>If Rwa &lt; P, then either increase connection length, or increase angle thickness to increase weld size.</t>
        </r>
      </text>
    </comment>
    <comment ref="I89" authorId="1">
      <text>
        <r>
          <rPr>
            <sz val="8"/>
            <rFont val="Tahoma"/>
            <family val="2"/>
          </rPr>
          <t>If Rwv&lt; R, then increase connection length (L).</t>
        </r>
      </text>
    </comment>
    <comment ref="I90" authorId="1">
      <text>
        <r>
          <rPr>
            <sz val="8"/>
            <rFont val="Tahoma"/>
            <family val="2"/>
          </rPr>
          <t>If Rwa &lt; R, then increase connection length (L).</t>
        </r>
      </text>
    </comment>
    <comment ref="I91" authorId="1">
      <text>
        <r>
          <rPr>
            <sz val="8"/>
            <rFont val="Tahoma"/>
            <family val="2"/>
          </rPr>
          <t>If weld size &gt; max. weld, then increase connection length (L).</t>
        </r>
      </text>
    </comment>
    <comment ref="I94" authorId="1">
      <text>
        <r>
          <rPr>
            <sz val="8"/>
            <rFont val="Tahoma"/>
            <family val="2"/>
          </rPr>
          <t>If Rvg &lt; R, then either increase clip angle thickness (ta), or increase connection length (L).</t>
        </r>
      </text>
    </comment>
    <comment ref="I98" authorId="1">
      <text>
        <r>
          <rPr>
            <sz val="8"/>
            <rFont val="Tahoma"/>
            <family val="2"/>
          </rPr>
          <t>If Rvn &lt; R, then either increase clip angle thickness (ta), or increase connection length (L).</t>
        </r>
      </text>
    </comment>
    <comment ref="I106" authorId="2">
      <text>
        <r>
          <rPr>
            <sz val="8"/>
            <rFont val="Tahoma"/>
            <family val="2"/>
          </rPr>
          <t>If Rtg &lt; R, then either increase clip angle thickness (ta), increase connection length (L).</t>
        </r>
      </text>
    </comment>
    <comment ref="I115" authorId="1">
      <text>
        <r>
          <rPr>
            <sz val="8"/>
            <rFont val="Tahoma"/>
            <family val="2"/>
          </rPr>
          <t>If Rvg &lt; R, then either increase beam web thickness (tw) or add beam web doubler plate(s).</t>
        </r>
      </text>
    </comment>
    <comment ref="I123" authorId="0">
      <text>
        <r>
          <rPr>
            <sz val="8"/>
            <rFont val="Tahoma"/>
            <family val="2"/>
          </rPr>
          <t>If Rvg &lt; R, then either increase beam web thickness (tw) or add beam web doubler plate(s).</t>
        </r>
      </text>
    </comment>
    <comment ref="I128" authorId="2">
      <text>
        <r>
          <rPr>
            <sz val="8"/>
            <rFont val="Tahoma"/>
            <family val="2"/>
          </rPr>
          <t>If Rbs &lt; R , then either increase beam web thickness (tw) or add beam web doubler plate(s).</t>
        </r>
      </text>
    </comment>
    <comment ref="I134" authorId="1">
      <text>
        <r>
          <rPr>
            <sz val="8"/>
            <rFont val="Tahoma"/>
            <family val="2"/>
          </rPr>
          <t>If Rto &lt; P, then either increase beam web thickness (tw) or add beam web doubler plate(s), or increase connection length (L).</t>
        </r>
      </text>
    </comment>
    <comment ref="I138" authorId="1">
      <text>
        <r>
          <rPr>
            <sz val="8"/>
            <rFont val="Tahoma"/>
            <family val="2"/>
          </rPr>
          <t>If Rto &lt; P, then either increase beam web thickness (tw) or add beam web doubler plate(s), or increase connection length (L).</t>
        </r>
      </text>
    </comment>
    <comment ref="I147" authorId="1">
      <text>
        <r>
          <rPr>
            <sz val="8"/>
            <rFont val="Tahoma"/>
            <family val="2"/>
          </rPr>
          <t>If Rwb &lt; R, then either increase beam web thickness (tw) or add beam web doubler plate(s).</t>
        </r>
      </text>
    </comment>
    <comment ref="I163" authorId="1">
      <text>
        <r>
          <rPr>
            <sz val="8"/>
            <rFont val="Tahoma"/>
            <family val="2"/>
          </rPr>
          <t>If Rwb &lt; R, then either increase beam web thickness (tw) or add beam web doubler plate(s).</t>
        </r>
      </text>
    </comment>
    <comment ref="I172" authorId="0">
      <text>
        <r>
          <rPr>
            <sz val="8"/>
            <rFont val="Tahoma"/>
            <family val="2"/>
          </rPr>
          <t>If Rwv &lt; R, then either increase connection length (L), or increase column web thickness.</t>
        </r>
      </text>
    </comment>
    <comment ref="I173" authorId="0">
      <text>
        <r>
          <rPr>
            <sz val="8"/>
            <rFont val="Tahoma"/>
            <family val="2"/>
          </rPr>
          <t>If Rwt &lt; P, then either increase connection length (L), or increase column web thickness.</t>
        </r>
      </text>
    </comment>
    <comment ref="AR7" authorId="0">
      <text>
        <r>
          <rPr>
            <sz val="8"/>
            <rFont val="Tahoma"/>
            <family val="2"/>
          </rPr>
          <t>If Rwv &lt; R, then either increase connection length, or increase angle thickness to increase weld size.</t>
        </r>
      </text>
    </comment>
    <comment ref="AR8" authorId="0">
      <text>
        <r>
          <rPr>
            <sz val="8"/>
            <rFont val="Tahoma"/>
            <family val="2"/>
          </rPr>
          <t>If Rwa &lt; R, then either increase connection length, or increase angle thickness to increase weld size.</t>
        </r>
      </text>
    </comment>
    <comment ref="AR11" authorId="1">
      <text>
        <r>
          <rPr>
            <sz val="8"/>
            <rFont val="Tahoma"/>
            <family val="2"/>
          </rPr>
          <t>If Rwv&lt; R, then increase connection length (L).</t>
        </r>
      </text>
    </comment>
    <comment ref="AR12" authorId="1">
      <text>
        <r>
          <rPr>
            <sz val="8"/>
            <rFont val="Tahoma"/>
            <family val="2"/>
          </rPr>
          <t>If Rwa&lt; R, then increase connection length (L).</t>
        </r>
      </text>
    </comment>
    <comment ref="AR13" authorId="1">
      <text>
        <r>
          <rPr>
            <sz val="8"/>
            <rFont val="Tahoma"/>
            <family val="2"/>
          </rPr>
          <t>If weld size &gt; max. weld, then increase connection length (L).</t>
        </r>
      </text>
    </comment>
    <comment ref="AR15" authorId="1">
      <text>
        <r>
          <rPr>
            <sz val="8"/>
            <rFont val="Tahoma"/>
            <family val="2"/>
          </rPr>
          <t>If Rvg &lt; R, then either increase clip angle thickness (ta), or increase connection length (L).</t>
        </r>
      </text>
    </comment>
    <comment ref="AR16" authorId="1">
      <text>
        <r>
          <rPr>
            <sz val="8"/>
            <rFont val="Tahoma"/>
            <family val="2"/>
          </rPr>
          <t>If Rvn &lt; R, then either increase clip angle thickness (ta), or increase connection length (L).</t>
        </r>
      </text>
    </comment>
    <comment ref="AR17" authorId="1">
      <text>
        <r>
          <rPr>
            <sz val="8"/>
            <rFont val="Tahoma"/>
            <family val="2"/>
          </rPr>
          <t>If Rvg &lt; R, then either increase clip angle thickness (ta), or increase connection length (L).</t>
        </r>
      </text>
    </comment>
    <comment ref="AR19" authorId="1">
      <text>
        <r>
          <rPr>
            <sz val="8"/>
            <rFont val="Tahoma"/>
            <family val="2"/>
          </rPr>
          <t>If Rvg &lt; R, then either increase beam web thickness (tw) or add beam web doubler plate(s).</t>
        </r>
      </text>
    </comment>
    <comment ref="AR21" authorId="1">
      <text>
        <r>
          <rPr>
            <sz val="8"/>
            <rFont val="Tahoma"/>
            <family val="2"/>
          </rPr>
          <t>If Rtg &lt; R, then either increase beam web thickness (tw) or add beam web doubler plate(s).</t>
        </r>
      </text>
    </comment>
    <comment ref="AR22" authorId="1">
      <text>
        <r>
          <rPr>
            <sz val="8"/>
            <rFont val="Tahoma"/>
            <family val="2"/>
          </rPr>
          <t>If Rbs &lt; R, then either increase beam web thickness (tw) or add beam web doubler plate(s).</t>
        </r>
      </text>
    </comment>
    <comment ref="AR23" authorId="1">
      <text>
        <r>
          <rPr>
            <sz val="8"/>
            <rFont val="Tahoma"/>
            <family val="2"/>
          </rPr>
          <t>If Rto &lt; P, then either increase beam web thickness (tw) or add beam web doubler plate(s), or increase connection length (L).</t>
        </r>
      </text>
    </comment>
    <comment ref="AR24" authorId="1">
      <text>
        <r>
          <rPr>
            <sz val="8"/>
            <rFont val="Tahoma"/>
            <family val="2"/>
          </rPr>
          <t>If Rto &lt; P, then either increase beam web thickness (tw) or add beam web doubler plate(s), or increase connection length (L).</t>
        </r>
      </text>
    </comment>
    <comment ref="AR25" authorId="1">
      <text>
        <r>
          <rPr>
            <sz val="8"/>
            <rFont val="Tahoma"/>
            <family val="2"/>
          </rPr>
          <t>If Rwb &lt; R, then either increase beam web thickness (tw) or add beam web doubler plate(s).</t>
        </r>
      </text>
    </comment>
    <comment ref="AR26" authorId="1">
      <text>
        <r>
          <rPr>
            <sz val="8"/>
            <rFont val="Tahoma"/>
            <family val="2"/>
          </rPr>
          <t>If Rwb &lt; R, then either increase beam web thickness (tw) or add beam web doubler plate(s).</t>
        </r>
      </text>
    </comment>
    <comment ref="AR28" authorId="0">
      <text>
        <r>
          <rPr>
            <sz val="8"/>
            <rFont val="Tahoma"/>
            <family val="2"/>
          </rPr>
          <t>If Rwv &lt; R, then either increase connection length (L), or increase column web thickness.</t>
        </r>
      </text>
    </comment>
    <comment ref="AR29" authorId="0">
      <text>
        <r>
          <rPr>
            <sz val="8"/>
            <rFont val="Tahoma"/>
            <family val="2"/>
          </rPr>
          <t>If Rwa &lt; P, then either increase connection length (L), or increase column web thickness.</t>
        </r>
      </text>
    </comment>
    <comment ref="AR30" authorId="0">
      <text>
        <r>
          <rPr>
            <sz val="8"/>
            <rFont val="Tahoma"/>
            <family val="2"/>
          </rPr>
          <t>If Fb &lt; fb, then either increase connection length (L), or add/increase column web doubler plate thickness (td).</t>
        </r>
      </text>
    </comment>
    <comment ref="AR31" authorId="0">
      <text>
        <r>
          <rPr>
            <sz val="8"/>
            <rFont val="Tahoma"/>
            <family val="2"/>
          </rPr>
          <t>If Fv &lt; fv, then either or add/increase column web doubler plate thickness (td), or increase connection length (L).</t>
        </r>
      </text>
    </comment>
    <comment ref="AR32" authorId="0">
      <text>
        <r>
          <rPr>
            <sz val="8"/>
            <rFont val="Tahoma"/>
            <family val="2"/>
          </rPr>
          <t>If weld size &gt; maximum weld, then either add/increase column web doubler plate thickness (td), increase connection length (L), or use full penetration weld.</t>
        </r>
      </text>
    </comment>
    <comment ref="AN1" authorId="3">
      <text>
        <r>
          <rPr>
            <sz val="8"/>
            <rFont val="Tahoma"/>
            <family val="2"/>
          </rPr>
          <t xml:space="preserve">          </t>
        </r>
        <r>
          <rPr>
            <b/>
            <sz val="8"/>
            <rFont val="Tahoma"/>
            <family val="2"/>
          </rPr>
          <t>"CLIPCONN-ALL-WELD-13.xls"</t>
        </r>
        <r>
          <rPr>
            <sz val="8"/>
            <rFont val="Tahoma"/>
            <family val="2"/>
          </rPr>
          <t xml:space="preserve">
written by:  Joel Berg, P.E.
based on a spreadsheet by:  Alex Tomanovich, P.E.</t>
        </r>
      </text>
    </comment>
    <comment ref="I68" authorId="0">
      <text>
        <r>
          <rPr>
            <sz val="8"/>
            <rFont val="Tahoma"/>
            <family val="2"/>
          </rPr>
          <t>If Fb &lt; fb, then either increase number of bolts (Nb) to increase clip angle length, or increase angle thickness.</t>
        </r>
      </text>
    </comment>
    <comment ref="AR9" authorId="0">
      <text>
        <r>
          <rPr>
            <sz val="8"/>
            <rFont val="Tahoma"/>
            <family val="2"/>
          </rPr>
          <t>If Fb &lt; fb, then either increase number of bolts (Nb) to increase clip angle length, or increase angle thickness.</t>
        </r>
      </text>
    </comment>
    <comment ref="AR20" authorId="1">
      <text>
        <r>
          <rPr>
            <sz val="8"/>
            <rFont val="Tahoma"/>
            <family val="2"/>
          </rPr>
          <t>If Rvn &lt; R, then either increase beam web thickness (tw) or add beam web doubler plate(s).</t>
        </r>
      </text>
    </comment>
    <comment ref="I119" authorId="1">
      <text>
        <r>
          <rPr>
            <sz val="8"/>
            <rFont val="Tahoma"/>
            <family val="2"/>
          </rPr>
          <t>If Rvg &lt; R, then either increase beam web thickness (tw) or add beam web doubler plate(s).</t>
        </r>
      </text>
    </comment>
  </commentList>
</comments>
</file>

<file path=xl/comments4.xml><?xml version="1.0" encoding="utf-8"?>
<comments xmlns="http://schemas.openxmlformats.org/spreadsheetml/2006/main">
  <authors>
    <author>4892</author>
    <author>Bob Dalpiaz</author>
    <author>Alex Tomanovich</author>
    <author>jberg</author>
  </authors>
  <commentList>
    <comment ref="I193" authorId="0">
      <text>
        <r>
          <rPr>
            <sz val="8"/>
            <rFont val="Tahoma"/>
            <family val="2"/>
          </rPr>
          <t>If Fv &lt; fv, then either or add/increase girder web doubler plate thickness (td) or increase connection length (L).</t>
        </r>
      </text>
    </comment>
    <comment ref="I200" authorId="0">
      <text>
        <r>
          <rPr>
            <sz val="8"/>
            <rFont val="Tahoma"/>
            <family val="2"/>
          </rPr>
          <t>If weld size &gt; maximum weld, then either add/increase girder web doubler plate thickness (td), increase connection length (L), or use full penetration weld.</t>
        </r>
      </text>
    </comment>
    <comment ref="AR28" authorId="0">
      <text>
        <r>
          <rPr>
            <sz val="8"/>
            <rFont val="Tahoma"/>
            <family val="2"/>
          </rPr>
          <t>If Rwv &lt; R, then either increase connection length (L), or increase girder web thickness.</t>
        </r>
      </text>
    </comment>
    <comment ref="AR30" authorId="0">
      <text>
        <r>
          <rPr>
            <sz val="8"/>
            <rFont val="Tahoma"/>
            <family val="2"/>
          </rPr>
          <t>If Fb &lt; fb, then either increase connection length (L), or add/increase girder web doubler plate thickness (td).</t>
        </r>
      </text>
    </comment>
    <comment ref="AR31" authorId="0">
      <text>
        <r>
          <rPr>
            <sz val="8"/>
            <rFont val="Tahoma"/>
            <family val="2"/>
          </rPr>
          <t>If Fv &lt; fv, then either or add/increase girder web doubler plate thickness (td), or increase connection length (L).</t>
        </r>
      </text>
    </comment>
    <comment ref="AR32" authorId="0">
      <text>
        <r>
          <rPr>
            <sz val="8"/>
            <rFont val="Tahoma"/>
            <family val="2"/>
          </rPr>
          <t>If weld size &gt; maximum weld, then either add/increase girder web doubler plate thickness (td), increase connection length (L), or use full penetration weld.</t>
        </r>
      </text>
    </comment>
    <comment ref="I186" authorId="0">
      <text>
        <r>
          <rPr>
            <sz val="8"/>
            <rFont val="Tahoma"/>
            <family val="2"/>
          </rPr>
          <t>If Pa &lt; P, then either increase number of bolts (Nb), increase bolt vertical spacing (S), or add/increase girder web doubler plate thickness (td).</t>
        </r>
      </text>
    </comment>
    <comment ref="AN1" authorId="1">
      <text>
        <r>
          <rPr>
            <sz val="8"/>
            <rFont val="Tahoma"/>
            <family val="2"/>
          </rPr>
          <t xml:space="preserve">          </t>
        </r>
        <r>
          <rPr>
            <b/>
            <sz val="8"/>
            <rFont val="Tahoma"/>
            <family val="2"/>
          </rPr>
          <t>"CLIPCONN-ALL-WELD-13.xls"</t>
        </r>
        <r>
          <rPr>
            <sz val="8"/>
            <rFont val="Tahoma"/>
            <family val="2"/>
          </rPr>
          <t xml:space="preserve">
written by:  Joel Berg, P.E.
based on a spreadsheet by:  Alex Tomanovich, P.E.</t>
        </r>
      </text>
    </comment>
    <comment ref="I94" authorId="2">
      <text>
        <r>
          <rPr>
            <sz val="8"/>
            <rFont val="Tahoma"/>
            <family val="2"/>
          </rPr>
          <t>If Rvg &lt; R, then either increase clip angle thickness (ta), or increase connection length (L).</t>
        </r>
      </text>
    </comment>
    <comment ref="I98" authorId="2">
      <text>
        <r>
          <rPr>
            <sz val="8"/>
            <rFont val="Tahoma"/>
            <family val="2"/>
          </rPr>
          <t>If Rvn &lt; R, then either increase clip angle thickness (ta), or increase connection length (L).</t>
        </r>
      </text>
    </comment>
    <comment ref="I115" authorId="2">
      <text>
        <r>
          <rPr>
            <sz val="8"/>
            <rFont val="Tahoma"/>
            <family val="2"/>
          </rPr>
          <t>If Rvg &lt; R, then either increase beam web thickness (tw) or add beam web doubler plate(s).</t>
        </r>
      </text>
    </comment>
    <comment ref="I119" authorId="2">
      <text>
        <r>
          <rPr>
            <sz val="8"/>
            <rFont val="Tahoma"/>
            <family val="2"/>
          </rPr>
          <t>If Rvg &lt; R, then either increase beam web thickness (tw) or add beam web doubler plate(s).</t>
        </r>
      </text>
    </comment>
    <comment ref="I123" authorId="0">
      <text>
        <r>
          <rPr>
            <sz val="8"/>
            <rFont val="Tahoma"/>
            <family val="2"/>
          </rPr>
          <t>If Rvg &lt; R, then either increase beam web thickness (tw) or add beam web doubler plate(s).</t>
        </r>
      </text>
    </comment>
    <comment ref="I134" authorId="2">
      <text>
        <r>
          <rPr>
            <sz val="8"/>
            <rFont val="Tahoma"/>
            <family val="2"/>
          </rPr>
          <t>If Rto &lt; P, then either increase beam web thickness (tw) or add beam web doubler plate(s), or increase connection length (L).</t>
        </r>
      </text>
    </comment>
    <comment ref="I147" authorId="2">
      <text>
        <r>
          <rPr>
            <sz val="8"/>
            <rFont val="Tahoma"/>
            <family val="2"/>
          </rPr>
          <t>If Rwb &lt; R, then either increase beam web thickness (tw) or add beam web doubler plate(s).</t>
        </r>
      </text>
    </comment>
    <comment ref="I163" authorId="2">
      <text>
        <r>
          <rPr>
            <sz val="8"/>
            <rFont val="Tahoma"/>
            <family val="2"/>
          </rPr>
          <t>If Rwb &lt; R, then either increase beam web thickness (tw) or add beam web doubler plate(s).</t>
        </r>
      </text>
    </comment>
    <comment ref="I128" authorId="3">
      <text>
        <r>
          <rPr>
            <sz val="8"/>
            <rFont val="Tahoma"/>
            <family val="2"/>
          </rPr>
          <t>If Rbs &lt; R , then either increase beam web thickness (tw) or add beam web doubler plate(s).</t>
        </r>
      </text>
    </comment>
    <comment ref="I106" authorId="3">
      <text>
        <r>
          <rPr>
            <sz val="8"/>
            <rFont val="Tahoma"/>
            <family val="2"/>
          </rPr>
          <t>If Rtg &lt; R, then either increase clip angle thickness (ta), increase connection length (L).</t>
        </r>
      </text>
    </comment>
    <comment ref="I89" authorId="2">
      <text>
        <r>
          <rPr>
            <sz val="8"/>
            <rFont val="Tahoma"/>
            <family val="2"/>
          </rPr>
          <t>If Rwv&lt; R, then increase connection length (L).</t>
        </r>
      </text>
    </comment>
    <comment ref="I90" authorId="2">
      <text>
        <r>
          <rPr>
            <sz val="8"/>
            <rFont val="Tahoma"/>
            <family val="2"/>
          </rPr>
          <t>If Rwa &lt; R, then increase connection length (L).</t>
        </r>
      </text>
    </comment>
    <comment ref="I91" authorId="2">
      <text>
        <r>
          <rPr>
            <sz val="8"/>
            <rFont val="Tahoma"/>
            <family val="2"/>
          </rPr>
          <t>If weld size &gt; max. weld, then increase connection length (L).</t>
        </r>
      </text>
    </comment>
    <comment ref="I138" authorId="2">
      <text>
        <r>
          <rPr>
            <sz val="8"/>
            <rFont val="Tahoma"/>
            <family val="2"/>
          </rPr>
          <t>If Rto &lt; P, then either increase beam web thickness (tw) or add beam web doubler plate(s), or increase connection length (L).</t>
        </r>
      </text>
    </comment>
    <comment ref="AR7" authorId="0">
      <text>
        <r>
          <rPr>
            <sz val="8"/>
            <rFont val="Tahoma"/>
            <family val="2"/>
          </rPr>
          <t>If Rwv &lt; R, then either increase connection length, or increase angle thickness to increase weld size.</t>
        </r>
      </text>
    </comment>
    <comment ref="AR8" authorId="0">
      <text>
        <r>
          <rPr>
            <sz val="8"/>
            <rFont val="Tahoma"/>
            <family val="2"/>
          </rPr>
          <t>If Rwa &lt; R, then either increase connection length, or increase angle thickness to increase weld size.</t>
        </r>
      </text>
    </comment>
    <comment ref="AR11" authorId="2">
      <text>
        <r>
          <rPr>
            <sz val="8"/>
            <rFont val="Tahoma"/>
            <family val="2"/>
          </rPr>
          <t>If Rwv&lt; R, then increase connection length (L).</t>
        </r>
      </text>
    </comment>
    <comment ref="AR12" authorId="2">
      <text>
        <r>
          <rPr>
            <sz val="8"/>
            <rFont val="Tahoma"/>
            <family val="2"/>
          </rPr>
          <t>If Rwa&lt; R, then increase connection length (L).</t>
        </r>
      </text>
    </comment>
    <comment ref="AR13" authorId="2">
      <text>
        <r>
          <rPr>
            <sz val="8"/>
            <rFont val="Tahoma"/>
            <family val="2"/>
          </rPr>
          <t>If weld size &gt; max. weld, then increase connection length (L).</t>
        </r>
      </text>
    </comment>
    <comment ref="AR15" authorId="2">
      <text>
        <r>
          <rPr>
            <sz val="8"/>
            <rFont val="Tahoma"/>
            <family val="2"/>
          </rPr>
          <t>If Rvg &lt; R, then either increase clip angle thickness (ta), or increase connection length (L).</t>
        </r>
      </text>
    </comment>
    <comment ref="AR16" authorId="2">
      <text>
        <r>
          <rPr>
            <sz val="8"/>
            <rFont val="Tahoma"/>
            <family val="2"/>
          </rPr>
          <t>If Rvn &lt; R, then either increase clip angle thickness (ta), or increase connection length (L).</t>
        </r>
      </text>
    </comment>
    <comment ref="AR17" authorId="2">
      <text>
        <r>
          <rPr>
            <sz val="8"/>
            <rFont val="Tahoma"/>
            <family val="2"/>
          </rPr>
          <t>If Rvg &lt; R, then either increase clip angle thickness (ta), or increase connection length (L).</t>
        </r>
      </text>
    </comment>
    <comment ref="AR19" authorId="2">
      <text>
        <r>
          <rPr>
            <sz val="8"/>
            <rFont val="Tahoma"/>
            <family val="2"/>
          </rPr>
          <t>If Rvg &lt; R, then either increase beam web thickness (tw) or add beam web doubler plate(s).</t>
        </r>
      </text>
    </comment>
    <comment ref="AR20" authorId="2">
      <text>
        <r>
          <rPr>
            <sz val="8"/>
            <rFont val="Tahoma"/>
            <family val="2"/>
          </rPr>
          <t>If Rvn &lt; R, then either increase beam web thickness (tw) or add beam web doubler plate(s).</t>
        </r>
      </text>
    </comment>
    <comment ref="AR21" authorId="2">
      <text>
        <r>
          <rPr>
            <sz val="8"/>
            <rFont val="Tahoma"/>
            <family val="2"/>
          </rPr>
          <t>If Rtg &lt; R, then either increase beam web thickness (tw) or add beam web doubler plate(s).</t>
        </r>
      </text>
    </comment>
    <comment ref="AR22" authorId="2">
      <text>
        <r>
          <rPr>
            <sz val="8"/>
            <rFont val="Tahoma"/>
            <family val="2"/>
          </rPr>
          <t>If Rbs &lt; R, then either increase beam web thickness (tw) or add beam web doubler plate(s).</t>
        </r>
      </text>
    </comment>
    <comment ref="AR23" authorId="2">
      <text>
        <r>
          <rPr>
            <sz val="8"/>
            <rFont val="Tahoma"/>
            <family val="2"/>
          </rPr>
          <t>If Rto &lt; P, then either increase beam web thickness (tw) or add beam web doubler plate(s), or increase connection length (L).</t>
        </r>
      </text>
    </comment>
    <comment ref="AR24" authorId="2">
      <text>
        <r>
          <rPr>
            <sz val="8"/>
            <rFont val="Tahoma"/>
            <family val="2"/>
          </rPr>
          <t>If Rto &lt; P, then either increase beam web thickness (tw) or add beam web doubler plate(s), or increase connection length (L).</t>
        </r>
      </text>
    </comment>
    <comment ref="AR25" authorId="2">
      <text>
        <r>
          <rPr>
            <sz val="8"/>
            <rFont val="Tahoma"/>
            <family val="2"/>
          </rPr>
          <t>If Rwb &lt; R, then either increase beam web thickness (tw) or add beam web doubler plate(s).</t>
        </r>
      </text>
    </comment>
    <comment ref="AR26" authorId="2">
      <text>
        <r>
          <rPr>
            <sz val="8"/>
            <rFont val="Tahoma"/>
            <family val="2"/>
          </rPr>
          <t>If Rwb &lt; R, then either increase beam web thickness (tw) or add beam web doubler plate(s).</t>
        </r>
      </text>
    </comment>
    <comment ref="I63" authorId="0">
      <text>
        <r>
          <rPr>
            <sz val="8"/>
            <rFont val="Tahoma"/>
            <family val="2"/>
          </rPr>
          <t>If Rwv &lt; R, then either increase connection length, or increase angle thickness to increase weld size.</t>
        </r>
      </text>
    </comment>
    <comment ref="I64" authorId="0">
      <text>
        <r>
          <rPr>
            <sz val="8"/>
            <rFont val="Tahoma"/>
            <family val="2"/>
          </rPr>
          <t>If Rwa &lt; P, then either increase connection length, or increase angle thickness to increase weld size.</t>
        </r>
      </text>
    </comment>
    <comment ref="I172" authorId="0">
      <text>
        <r>
          <rPr>
            <sz val="8"/>
            <rFont val="Tahoma"/>
            <family val="2"/>
          </rPr>
          <t>If Rwv &lt; R, then either increase connection length (L), or increase girder web thickness.</t>
        </r>
      </text>
    </comment>
    <comment ref="I173" authorId="0">
      <text>
        <r>
          <rPr>
            <sz val="8"/>
            <rFont val="Tahoma"/>
            <family val="2"/>
          </rPr>
          <t>If Rwt &lt; P, then either increase connection length (L), or increase girder web thickness.</t>
        </r>
      </text>
    </comment>
    <comment ref="AR29" authorId="0">
      <text>
        <r>
          <rPr>
            <sz val="8"/>
            <rFont val="Tahoma"/>
            <family val="2"/>
          </rPr>
          <t>If Rwa &lt; P, then either increase connection length (L), or increase girder web thickness.</t>
        </r>
      </text>
    </comment>
    <comment ref="I68" authorId="0">
      <text>
        <r>
          <rPr>
            <sz val="8"/>
            <rFont val="Tahoma"/>
            <family val="2"/>
          </rPr>
          <t>If Fb &lt; fb, then either increase number of bolts (Nb) to increase clip angle length, or increase angle thickness.</t>
        </r>
      </text>
    </comment>
    <comment ref="AR9" authorId="0">
      <text>
        <r>
          <rPr>
            <sz val="8"/>
            <rFont val="Tahoma"/>
            <family val="2"/>
          </rPr>
          <t>If Fb &lt; fb, then either increase number of bolts (Nb) to increase clip angle length, or increase angle thickness.</t>
        </r>
      </text>
    </comment>
  </commentList>
</comments>
</file>

<file path=xl/comments5.xml><?xml version="1.0" encoding="utf-8"?>
<comments xmlns="http://schemas.openxmlformats.org/spreadsheetml/2006/main">
  <authors>
    <author>O'Neal User</author>
    <author>Alex Tomanovich, P.E.</author>
    <author>jberg</author>
    <author>Bob Dalpiaz</author>
  </authors>
  <commentList>
    <comment ref="D29" authorId="0">
      <text>
        <r>
          <rPr>
            <sz val="8"/>
            <rFont val="Tahoma"/>
            <family val="2"/>
          </rPr>
          <t>Inputting the minimum value of a beam web thickness (tw) for a particular beam size (depth) will result in a conservative value calculated for the allowable shear reaction at beam end connection.</t>
        </r>
      </text>
    </comment>
    <comment ref="E29" authorId="1">
      <text>
        <r>
          <rPr>
            <b/>
            <u val="single"/>
            <sz val="8"/>
            <rFont val="Tahoma"/>
            <family val="2"/>
          </rPr>
          <t>Connection Length:</t>
        </r>
        <r>
          <rPr>
            <sz val="8"/>
            <rFont val="Tahoma"/>
            <family val="2"/>
          </rPr>
          <t xml:space="preserve">
W8   -  6             
W10 -  7
W12 -  7, 9          
W14 -  10
W16 -  10, 12          
W18 -  10, 12, 14
W21 -  14, 16, 18      
W24 -  16, 18, 20
W27 -  16, 18, 20, 22      
W30 -  20, 22, 24, 26
W33 -  20, 22, 24, 26, 28   
W36 -  22, 24, 26, 28, 30</t>
        </r>
      </text>
    </comment>
    <comment ref="BJ29" authorId="0">
      <text>
        <r>
          <rPr>
            <sz val="8"/>
            <rFont val="Tahoma"/>
            <family val="2"/>
          </rPr>
          <t>Inputting the minimum value of a beam web thickness (tw) for a particular beam size (depth) will result in a conservative value calculated for the allowable shear reaction at beam end connection.</t>
        </r>
      </text>
    </comment>
    <comment ref="D18" authorId="2">
      <text>
        <r>
          <rPr>
            <sz val="8"/>
            <rFont val="Tahoma"/>
            <family val="2"/>
          </rPr>
          <t>tmin1 = 6.19*16*</t>
        </r>
        <r>
          <rPr>
            <sz val="8"/>
            <rFont val="Arial"/>
            <family val="2"/>
          </rPr>
          <t>ω / Fu 
Note: When tmin &gt; tw, weld strength is reduced by tw / tmin1.  That is done in this program.</t>
        </r>
      </text>
    </comment>
    <comment ref="BH1" authorId="3">
      <text>
        <r>
          <rPr>
            <sz val="8"/>
            <rFont val="Tahoma"/>
            <family val="2"/>
          </rPr>
          <t xml:space="preserve">          </t>
        </r>
        <r>
          <rPr>
            <b/>
            <sz val="8"/>
            <rFont val="Tahoma"/>
            <family val="2"/>
          </rPr>
          <t>"CLIPCONN-ALL-WELD-13.xls"</t>
        </r>
        <r>
          <rPr>
            <sz val="8"/>
            <rFont val="Tahoma"/>
            <family val="2"/>
          </rPr>
          <t xml:space="preserve">
written by:  Joel Berg, P.E.
based on a spreadsheet by:  Alex Tomanovich, P.E.</t>
        </r>
      </text>
    </comment>
    <comment ref="D19" authorId="2">
      <text>
        <r>
          <rPr>
            <sz val="8"/>
            <rFont val="Tahoma"/>
            <family val="2"/>
          </rPr>
          <t>tmin = 3.09*16*</t>
        </r>
        <r>
          <rPr>
            <sz val="8"/>
            <rFont val="Arial"/>
            <family val="2"/>
          </rPr>
          <t>ω / Fu 
Note: When tmin2 &gt; support thickness, Weld B strength must be reduced by t / tmin2.
That is NOT done in this program.</t>
        </r>
      </text>
    </comment>
    <comment ref="BK29" authorId="1">
      <text>
        <r>
          <rPr>
            <b/>
            <u val="single"/>
            <sz val="8"/>
            <rFont val="Tahoma"/>
            <family val="2"/>
          </rPr>
          <t>Connection Length:</t>
        </r>
        <r>
          <rPr>
            <sz val="8"/>
            <rFont val="Tahoma"/>
            <family val="2"/>
          </rPr>
          <t xml:space="preserve">
W8   -  6             
W10 -  7
W12 -  7, 9          
W14 -  10
W16 -  10, 12          
W18 -  10, 12, 14
W21 -  14, 16, 18      
W24 -  16, 18, 20
W27 -  16, 18, 20, 22      
W30 -  20, 22, 24, 26
W33 -  20, 22, 24, 26, 28   
W36 -  22, 24, 26, 28, 30</t>
        </r>
      </text>
    </comment>
  </commentList>
</comments>
</file>

<file path=xl/sharedStrings.xml><?xml version="1.0" encoding="utf-8"?>
<sst xmlns="http://schemas.openxmlformats.org/spreadsheetml/2006/main" count="4435" uniqueCount="1257">
  <si>
    <r>
      <t>w</t>
    </r>
    <r>
      <rPr>
        <sz val="10"/>
        <color indexed="8"/>
        <rFont val="Arial"/>
        <family val="2"/>
      </rPr>
      <t>(min)</t>
    </r>
    <r>
      <rPr>
        <sz val="10"/>
        <color indexed="8"/>
        <rFont val="Arial"/>
        <family val="2"/>
      </rPr>
      <t xml:space="preserve"> = Min. fillet weld size from AISC Table J2.4, page 5-67</t>
    </r>
  </si>
  <si>
    <r>
      <t>Rwv = Rwr*COS</t>
    </r>
    <r>
      <rPr>
        <sz val="10"/>
        <color indexed="12"/>
        <rFont val="Symbol"/>
        <family val="1"/>
      </rPr>
      <t>q</t>
    </r>
    <r>
      <rPr>
        <sz val="10"/>
        <color indexed="12"/>
        <rFont val="Arial"/>
        <family val="2"/>
      </rPr>
      <t xml:space="preserve">  (vertical)</t>
    </r>
  </si>
  <si>
    <t>Angle Leg (OSL) at Column, Lc =</t>
  </si>
  <si>
    <t>Fuc =</t>
  </si>
  <si>
    <t>Face of Col. Flange</t>
  </si>
  <si>
    <t>Length of Flange Cope(s), c =</t>
  </si>
  <si>
    <t>e = c+s</t>
  </si>
  <si>
    <t>c/ho =</t>
  </si>
  <si>
    <t>c/d =</t>
  </si>
  <si>
    <t>c/ho = ratio for evaluating plate buckling coefficient (k)</t>
  </si>
  <si>
    <t>If  c/ho &lt;= 1.0,  then  k = 2.2*(ho/c)^1.65, else  k = 2.2*(ho/c)</t>
  </si>
  <si>
    <t>c/d = ratio for evaluating adjustment factor (f) of plate buckling model</t>
  </si>
  <si>
    <t>If  c/d &lt;= 1.0,  then  f = 2*(c/d), else  f = 1+(c/d)</t>
  </si>
  <si>
    <t>tw:</t>
  </si>
  <si>
    <t xml:space="preserve">  Shear Yielding Capacity of (2) Clip Angles:</t>
  </si>
  <si>
    <t xml:space="preserve">  Shear Rupture Capacity of (2) Clip Angles:</t>
  </si>
  <si>
    <t>C</t>
  </si>
  <si>
    <t xml:space="preserve">  Gross Tension Capacity of (2) Clip Angles at Beam Web:</t>
  </si>
  <si>
    <t>a</t>
  </si>
  <si>
    <t>C =</t>
  </si>
  <si>
    <t>Stress Ratio:</t>
  </si>
  <si>
    <r>
      <t>w</t>
    </r>
    <r>
      <rPr>
        <sz val="10"/>
        <color indexed="8"/>
        <rFont val="Arial"/>
        <family val="2"/>
      </rPr>
      <t>(min)</t>
    </r>
    <r>
      <rPr>
        <sz val="10"/>
        <color indexed="8"/>
        <rFont val="Arial"/>
        <family val="2"/>
      </rPr>
      <t xml:space="preserve"> =</t>
    </r>
  </si>
  <si>
    <t>W14x193</t>
  </si>
  <si>
    <t>W36x393</t>
  </si>
  <si>
    <t xml:space="preserve">  Tension Tear-Out ("U-shaped") Capacity of Beam Web for Top Flange Coped:</t>
  </si>
  <si>
    <t xml:space="preserve">  Block Shear ("L-shaped") Capacity of Beam Web:</t>
  </si>
  <si>
    <t>Rbs = not applicable for uncoped beam</t>
  </si>
  <si>
    <t>T =</t>
  </si>
  <si>
    <t>W27x281</t>
  </si>
  <si>
    <t>W8x31</t>
  </si>
  <si>
    <t>W8x35</t>
  </si>
  <si>
    <t>W8x40</t>
  </si>
  <si>
    <t>Pr =</t>
  </si>
  <si>
    <t>in</t>
  </si>
  <si>
    <t xml:space="preserve">  Gross Tension Capacity of Beam:</t>
  </si>
  <si>
    <t>Atg =</t>
  </si>
  <si>
    <t>Rtg =</t>
  </si>
  <si>
    <t>Atg = A</t>
  </si>
  <si>
    <t>W36x328</t>
  </si>
  <si>
    <t>W36x359</t>
  </si>
  <si>
    <r>
      <t>w</t>
    </r>
    <r>
      <rPr>
        <sz val="10"/>
        <color indexed="12"/>
        <rFont val="Arial"/>
        <family val="2"/>
      </rPr>
      <t xml:space="preserve"> =</t>
    </r>
  </si>
  <si>
    <r>
      <t>w</t>
    </r>
    <r>
      <rPr>
        <sz val="10"/>
        <color indexed="12"/>
        <rFont val="Arial"/>
        <family val="2"/>
      </rPr>
      <t xml:space="preserve"> = fw/((SQRT(2)/2)*0.30*70) </t>
    </r>
  </si>
  <si>
    <t>Col. Web Doubler Plate Thk., td =</t>
  </si>
  <si>
    <t>Doubler Plate Yield Stress, Fyd =</t>
  </si>
  <si>
    <t>Check Col. Web Bending/Shear?</t>
  </si>
  <si>
    <t>No</t>
  </si>
  <si>
    <t>Check Girder Web Bending/Shear?</t>
  </si>
  <si>
    <t>Calculation of Moment and Formulas Used at Each Bolt Location:</t>
  </si>
  <si>
    <t>W30x292</t>
  </si>
  <si>
    <t>W40x244</t>
  </si>
  <si>
    <r>
      <t>q</t>
    </r>
    <r>
      <rPr>
        <sz val="10"/>
        <color indexed="8"/>
        <rFont val="Arial"/>
        <family val="2"/>
      </rPr>
      <t xml:space="preserve"> =</t>
    </r>
  </si>
  <si>
    <r>
      <t>q</t>
    </r>
    <r>
      <rPr>
        <sz val="10"/>
        <color indexed="12"/>
        <rFont val="Arial"/>
        <family val="2"/>
      </rPr>
      <t xml:space="preserve"> =</t>
    </r>
  </si>
  <si>
    <t xml:space="preserve">  Block Shear ("L-shaped") Capacity of Beam Web for Top Flange Coped:</t>
  </si>
  <si>
    <r>
      <t>q</t>
    </r>
    <r>
      <rPr>
        <sz val="10"/>
        <color indexed="12"/>
        <rFont val="Arial"/>
        <family val="2"/>
      </rPr>
      <t xml:space="preserve"> = 90-(ATAN(R/P))  (angle from vertical)</t>
    </r>
  </si>
  <si>
    <t>In=bf*tf^3/12+bf*tf*(yc-tf/2)^2+tw*(ho-tf)^3/12+(ho-tf)*tw*(tf+(ho-tf)/2-yc)^2</t>
  </si>
  <si>
    <t>Clip Angles to Support:</t>
  </si>
  <si>
    <t>Member Properties:</t>
  </si>
  <si>
    <t>Beam:</t>
  </si>
  <si>
    <t>d =</t>
  </si>
  <si>
    <t>W14x665</t>
  </si>
  <si>
    <t>W14x730</t>
  </si>
  <si>
    <t>W16x26</t>
  </si>
  <si>
    <t>W16x31</t>
  </si>
  <si>
    <t>W16x36</t>
  </si>
  <si>
    <t>W16x40</t>
  </si>
  <si>
    <t>W16x45</t>
  </si>
  <si>
    <t>W14x82</t>
  </si>
  <si>
    <t>W14x90</t>
  </si>
  <si>
    <t>W14x99</t>
  </si>
  <si>
    <t>W14x109</t>
  </si>
  <si>
    <t>W14x120</t>
  </si>
  <si>
    <t>W14x132</t>
  </si>
  <si>
    <t>W14x145</t>
  </si>
  <si>
    <t>W14x159</t>
  </si>
  <si>
    <t>W14x176</t>
  </si>
  <si>
    <t>Avg =</t>
  </si>
  <si>
    <t>W12x87</t>
  </si>
  <si>
    <t>W12x96</t>
  </si>
  <si>
    <t>W12x106</t>
  </si>
  <si>
    <t>W18x97</t>
  </si>
  <si>
    <t>W33x291</t>
  </si>
  <si>
    <t>W33x318</t>
  </si>
  <si>
    <t>W33x354</t>
  </si>
  <si>
    <t>W33x387</t>
  </si>
  <si>
    <t>W33x424</t>
  </si>
  <si>
    <t>W33x468</t>
  </si>
  <si>
    <t>W12x40</t>
  </si>
  <si>
    <t>W12x45</t>
  </si>
  <si>
    <t>W12x50</t>
  </si>
  <si>
    <t>W10x26</t>
  </si>
  <si>
    <t>W10x30</t>
  </si>
  <si>
    <t>W14x22</t>
  </si>
  <si>
    <t>W14x26</t>
  </si>
  <si>
    <t>W14x30</t>
  </si>
  <si>
    <t>W33x241</t>
  </si>
  <si>
    <t>W33x263</t>
  </si>
  <si>
    <t>W36x245</t>
  </si>
  <si>
    <t>W36x256</t>
  </si>
  <si>
    <t>W36x260</t>
  </si>
  <si>
    <t>W14x426</t>
  </si>
  <si>
    <t>W14x455</t>
  </si>
  <si>
    <t>W14x500</t>
  </si>
  <si>
    <t>W14x550</t>
  </si>
  <si>
    <t>W14x605</t>
  </si>
  <si>
    <t>Rwb =</t>
  </si>
  <si>
    <t>(continued)</t>
  </si>
  <si>
    <t>ho =</t>
  </si>
  <si>
    <t>Fbc =</t>
  </si>
  <si>
    <t xml:space="preserve">  Block Shear ("L-shaped") Capacity of Beam Web for Both Flanges Coped:</t>
  </si>
  <si>
    <t>Rtg = (0.60*Fya*Atg)*(1-(R/Rvg)^2)</t>
  </si>
  <si>
    <t>Rtg = (0.60*Fyb*Atg)*(1-(R/Rvg)^2)</t>
  </si>
  <si>
    <t xml:space="preserve">          by: Subhash C. Goel, AISC Journal, 3rd Qtr.-1986)</t>
  </si>
  <si>
    <t>(Ref.: "Combined Shear and Tension Stress"</t>
  </si>
  <si>
    <t>Rw*(a+S)-Pb*S</t>
  </si>
  <si>
    <t>Beam and Column Data:</t>
  </si>
  <si>
    <t>Column Size =</t>
  </si>
  <si>
    <t>Column Yield Stress, Fyc =</t>
  </si>
  <si>
    <t>in-kips</t>
  </si>
  <si>
    <t>Column:</t>
  </si>
  <si>
    <t>fw =</t>
  </si>
  <si>
    <t>kips/in.</t>
  </si>
  <si>
    <t xml:space="preserve">  Column Web Yielding:</t>
  </si>
  <si>
    <t>N =</t>
  </si>
  <si>
    <t xml:space="preserve">  Column Web Crippling:</t>
  </si>
  <si>
    <t>fb =</t>
  </si>
  <si>
    <t>twc =</t>
  </si>
  <si>
    <r>
      <t>w</t>
    </r>
    <r>
      <rPr>
        <sz val="10"/>
        <color indexed="8"/>
        <rFont val="Arial"/>
        <family val="2"/>
      </rPr>
      <t xml:space="preserve"> =</t>
    </r>
  </si>
  <si>
    <t>twc = tw+td*(Fyd/Fyc)</t>
  </si>
  <si>
    <t xml:space="preserve">  Web Doubler Plate to Column Flange Welding:</t>
  </si>
  <si>
    <t>Ldw =</t>
  </si>
  <si>
    <t>c = g (assume g = 5.5" and use theory from bolted connections)</t>
  </si>
  <si>
    <t>L = connection length</t>
  </si>
  <si>
    <t>fv = (P/Nb)/(twc*(S-dhc)), assume S = 3in. And dhg = 0.875 in.</t>
  </si>
  <si>
    <t>Assume: N = L</t>
  </si>
  <si>
    <t>"CLIPCONN-ALL-WELD-13" --- BEAM END CONNECTION USING CLIP ANGLES</t>
  </si>
  <si>
    <t>"CLIPCONN-ALL-WELD-13" is a spreadsheet program written in MS-Excel for the purpose of analysis of</t>
  </si>
  <si>
    <t>Using Clip Angles Field Welded to Column Web and Shop Welded to Beam Web</t>
  </si>
  <si>
    <t>steel beam end connections using double clip angles welded to the beam web, and welded to either the column</t>
  </si>
  <si>
    <t>flange, column web, or girder web.  The connections may be subjected to end shear reaction and/or axial load.</t>
  </si>
  <si>
    <t>web, column flange or web, and girder web are checked.</t>
  </si>
  <si>
    <t>Specifically, all applicable "limit states" for the end connection analysis pertaining to the clip angles, welds, beam</t>
  </si>
  <si>
    <t>Welded Clips(Col Flg)</t>
  </si>
  <si>
    <t>Welded Clips(Col Web)</t>
  </si>
  <si>
    <t>Welded Clips(Girder)</t>
  </si>
  <si>
    <t>Clip angles welded to beam web and welded to girder web</t>
  </si>
  <si>
    <t>Clip angles welded to beam web and welded to column flange</t>
  </si>
  <si>
    <t>Clip angles welded to beam web and welded to column web</t>
  </si>
  <si>
    <t xml:space="preserve">      In combined stresses such as bolt bearing, gross and net shear and tension, and block shear and tension</t>
  </si>
  <si>
    <t xml:space="preserve">      tearout, the effect of "interaction" is handled by use of the formula,  P/Ra+(R/Rv)^2=1,</t>
  </si>
  <si>
    <t xml:space="preserve">      as suggested from the following reference:  </t>
  </si>
  <si>
    <t>This program is a workbook consisting of five (5) worksheets, described as follows:</t>
  </si>
  <si>
    <t>All Welded Clip Angles</t>
  </si>
  <si>
    <t>Length</t>
  </si>
  <si>
    <t>Connxn</t>
  </si>
  <si>
    <t>Using Clip Angles Shop Welded to Beam Web and Field Welded to Supporting Member</t>
  </si>
  <si>
    <t>Allowable Shear Reaction at Uncoped Beam End Connection</t>
  </si>
  <si>
    <r>
      <t>w</t>
    </r>
    <r>
      <rPr>
        <sz val="10"/>
        <color indexed="8"/>
        <rFont val="Arial"/>
        <family val="2"/>
      </rPr>
      <t xml:space="preserve"> = fw/((SQRT(2)/2)*0.30*70) </t>
    </r>
  </si>
  <si>
    <t xml:space="preserve">  Column Web Bending:</t>
  </si>
  <si>
    <t>Mw =</t>
  </si>
  <si>
    <t>Fb =</t>
  </si>
  <si>
    <t xml:space="preserve">  Column Web Out of Plane Shear:</t>
  </si>
  <si>
    <t>Column Checks:</t>
  </si>
  <si>
    <t>fw = P/Ldw</t>
  </si>
  <si>
    <t>a = D1-k  (Dist. to 1st bolt load)</t>
  </si>
  <si>
    <t>Face of Col. Web</t>
  </si>
  <si>
    <t>Mw = Rw*(a+S)-Pb*S</t>
  </si>
  <si>
    <t>Mw = Rw*(a+2*S)-3*Pb*S</t>
  </si>
  <si>
    <t>Mw = Rw*(a+3*S)-6*Pb*S</t>
  </si>
  <si>
    <t>Mw = Rw*(a+4*S)-10*Pb*S</t>
  </si>
  <si>
    <t>Mw = Rw*(a+5*S)-15*Pb*S</t>
  </si>
  <si>
    <t>W10x15</t>
  </si>
  <si>
    <t>W10x17</t>
  </si>
  <si>
    <t>W40x192</t>
  </si>
  <si>
    <t>W40x199</t>
  </si>
  <si>
    <t>W40x215</t>
  </si>
  <si>
    <t>W40x221</t>
  </si>
  <si>
    <t>Beam Size =</t>
  </si>
  <si>
    <t>tf =</t>
  </si>
  <si>
    <t>Girder Size =</t>
  </si>
  <si>
    <t>Girder Yield Stress, Fyg =</t>
  </si>
  <si>
    <t>Face of Girder Web</t>
  </si>
  <si>
    <t>Girder:</t>
  </si>
  <si>
    <t>Angle Leg (OSL) at Girder, Lc =</t>
  </si>
  <si>
    <t>Fug =</t>
  </si>
  <si>
    <t>Girder Checks:</t>
  </si>
  <si>
    <t xml:space="preserve">  Girder Web Bending:</t>
  </si>
  <si>
    <t xml:space="preserve">  Girder Web Out of Plane Shear:</t>
  </si>
  <si>
    <t xml:space="preserve">  Web Doubler Plate to Girder Flange Welding:</t>
  </si>
  <si>
    <t>twg =</t>
  </si>
  <si>
    <t>twg = tw+td*(Fyd/Fyg)</t>
  </si>
  <si>
    <t>Fb = 0.75*Fyg</t>
  </si>
  <si>
    <t>Sn =</t>
  </si>
  <si>
    <t>Fub =</t>
  </si>
  <si>
    <t>W12x30</t>
  </si>
  <si>
    <t>W12x35</t>
  </si>
  <si>
    <t>W27x84</t>
  </si>
  <si>
    <t>W27x94</t>
  </si>
  <si>
    <t>W27x102</t>
  </si>
  <si>
    <t>W27x114</t>
  </si>
  <si>
    <t>W27x129</t>
  </si>
  <si>
    <t>W27x146</t>
  </si>
  <si>
    <t>W14x34</t>
  </si>
  <si>
    <t>W14x38</t>
  </si>
  <si>
    <t>W14x43</t>
  </si>
  <si>
    <t>W14x48</t>
  </si>
  <si>
    <t>W14x53</t>
  </si>
  <si>
    <t>W14x61</t>
  </si>
  <si>
    <t>W14x68</t>
  </si>
  <si>
    <t>W14x74</t>
  </si>
  <si>
    <t>W40x503</t>
  </si>
  <si>
    <t>W40x431</t>
  </si>
  <si>
    <t>W40x372</t>
  </si>
  <si>
    <t>W40x392</t>
  </si>
  <si>
    <t>W40x331</t>
  </si>
  <si>
    <t>W40x278</t>
  </si>
  <si>
    <t>W40x264</t>
  </si>
  <si>
    <t>W40x235</t>
  </si>
  <si>
    <t>W40x211</t>
  </si>
  <si>
    <t xml:space="preserve">  Tension Tear-Out ("U-shaped") Capacity of Beam Web:</t>
  </si>
  <si>
    <t>General Parameters:</t>
  </si>
  <si>
    <t>Rbs =</t>
  </si>
  <si>
    <t>W40x249</t>
  </si>
  <si>
    <t>Subjected to Shear and/or Axial Load</t>
  </si>
  <si>
    <t>W14x808</t>
  </si>
  <si>
    <t>W24x250</t>
  </si>
  <si>
    <t>W24x279</t>
  </si>
  <si>
    <t>W24x306</t>
  </si>
  <si>
    <t>W24x335</t>
  </si>
  <si>
    <t>Connection Loadings:</t>
  </si>
  <si>
    <t>A =</t>
  </si>
  <si>
    <t>W33x201</t>
  </si>
  <si>
    <t>W33x221</t>
  </si>
  <si>
    <t>fv =</t>
  </si>
  <si>
    <t>General Nomenclature</t>
  </si>
  <si>
    <t>Beam and Cope Nomenclature</t>
  </si>
  <si>
    <t>Input Data:</t>
  </si>
  <si>
    <t>Results:</t>
  </si>
  <si>
    <t>kips</t>
  </si>
  <si>
    <t>Shape</t>
  </si>
  <si>
    <t>A</t>
  </si>
  <si>
    <t>W36x280</t>
  </si>
  <si>
    <t>W36x300</t>
  </si>
  <si>
    <t>Beam Checks for Both Flanges Coped:</t>
  </si>
  <si>
    <t>in.^2</t>
  </si>
  <si>
    <t>kips/bolt</t>
  </si>
  <si>
    <t>ksi</t>
  </si>
  <si>
    <t>W36x232</t>
  </si>
  <si>
    <t>Fv =</t>
  </si>
  <si>
    <t xml:space="preserve">  Tension Tear-Out ("L-shaped") Capacity of Beam Web:</t>
  </si>
  <si>
    <t>Rto = not applicable for uncoped beam</t>
  </si>
  <si>
    <t>Atg = A-(bf*tf+(dc1-tf)*tw)</t>
  </si>
  <si>
    <t>W27x178</t>
  </si>
  <si>
    <t>Rvg =</t>
  </si>
  <si>
    <t>Avn =</t>
  </si>
  <si>
    <t>Rvn =</t>
  </si>
  <si>
    <r>
      <t>w</t>
    </r>
    <r>
      <rPr>
        <sz val="10"/>
        <color indexed="12"/>
        <rFont val="Arial"/>
        <family val="2"/>
      </rPr>
      <t>(max)</t>
    </r>
    <r>
      <rPr>
        <sz val="10"/>
        <color indexed="12"/>
        <rFont val="Arial"/>
        <family val="2"/>
      </rPr>
      <t xml:space="preserve"> =</t>
    </r>
  </si>
  <si>
    <r>
      <t>w</t>
    </r>
    <r>
      <rPr>
        <sz val="10"/>
        <color indexed="8"/>
        <rFont val="Arial"/>
        <family val="2"/>
      </rPr>
      <t>(max)</t>
    </r>
    <r>
      <rPr>
        <sz val="10"/>
        <color indexed="8"/>
        <rFont val="Arial"/>
        <family val="2"/>
      </rPr>
      <t xml:space="preserve"> =</t>
    </r>
  </si>
  <si>
    <t>W40x531</t>
  </si>
  <si>
    <t>W40x593</t>
  </si>
  <si>
    <t>W40x655</t>
  </si>
  <si>
    <t>W44x198</t>
  </si>
  <si>
    <t>W44X224</t>
  </si>
  <si>
    <t>W44x248</t>
  </si>
  <si>
    <t>W44x262</t>
  </si>
  <si>
    <t>W44x230</t>
  </si>
  <si>
    <t>ho = d-dc1</t>
  </si>
  <si>
    <t>yc = (bf*tf^2/2+(ho-tf)*tw*(tf+(ho-tf)/2))/((ho-tf)*tw+bf*tf)</t>
  </si>
  <si>
    <t>W44x285</t>
  </si>
  <si>
    <t>in.</t>
  </si>
  <si>
    <t>deg.</t>
  </si>
  <si>
    <t>W27x336</t>
  </si>
  <si>
    <t>W27x368</t>
  </si>
  <si>
    <t>W27x448</t>
  </si>
  <si>
    <t>W40x268</t>
  </si>
  <si>
    <t>W16x50</t>
  </si>
  <si>
    <t>W16x57</t>
  </si>
  <si>
    <t>W16x67</t>
  </si>
  <si>
    <t>W16x77</t>
  </si>
  <si>
    <t>W16x89</t>
  </si>
  <si>
    <r>
      <t>w</t>
    </r>
    <r>
      <rPr>
        <sz val="10"/>
        <color indexed="12"/>
        <rFont val="Arial"/>
        <family val="2"/>
      </rPr>
      <t>(req'd) =</t>
    </r>
  </si>
  <si>
    <t>W30x477</t>
  </si>
  <si>
    <t>W30x526</t>
  </si>
  <si>
    <t>W30x581</t>
  </si>
  <si>
    <t>W33x118</t>
  </si>
  <si>
    <t>CALCULATIONS:</t>
  </si>
  <si>
    <t>Beam Setback Distance, s =</t>
  </si>
  <si>
    <t>W44x335</t>
  </si>
  <si>
    <t>W44x290</t>
  </si>
  <si>
    <t>W27x407</t>
  </si>
  <si>
    <t>W27x494</t>
  </si>
  <si>
    <t>W27x539</t>
  </si>
  <si>
    <t>W30x90</t>
  </si>
  <si>
    <t>W30x99</t>
  </si>
  <si>
    <t>W30x108</t>
  </si>
  <si>
    <t>W30x326</t>
  </si>
  <si>
    <t>W30x357</t>
  </si>
  <si>
    <t>W30x391</t>
  </si>
  <si>
    <t>W6x25</t>
  </si>
  <si>
    <t>W8x10</t>
  </si>
  <si>
    <t>W8x13</t>
  </si>
  <si>
    <t>W8x15</t>
  </si>
  <si>
    <t>W8x18</t>
  </si>
  <si>
    <t>W8x21</t>
  </si>
  <si>
    <t>W8x24</t>
  </si>
  <si>
    <t>W6x16</t>
  </si>
  <si>
    <t>W36x160</t>
  </si>
  <si>
    <t>W36x170</t>
  </si>
  <si>
    <t>W36x182</t>
  </si>
  <si>
    <t>W36x194</t>
  </si>
  <si>
    <t>W36x210</t>
  </si>
  <si>
    <t>W36x230</t>
  </si>
  <si>
    <t>Max. Shear Capacity of Connection:</t>
  </si>
  <si>
    <t>R(max) =</t>
  </si>
  <si>
    <t>R =</t>
  </si>
  <si>
    <t>S.R. =</t>
  </si>
  <si>
    <t>Fv = (1/1.5)*0.6*Fyg</t>
  </si>
  <si>
    <t>yc = ho/2</t>
  </si>
  <si>
    <t>In = tw*ho^3/12</t>
  </si>
  <si>
    <t>Sn = In/(ho-yc)</t>
  </si>
  <si>
    <t>d</t>
  </si>
  <si>
    <t>tw</t>
  </si>
  <si>
    <t>bf</t>
  </si>
  <si>
    <t>tf</t>
  </si>
  <si>
    <t>k</t>
  </si>
  <si>
    <t>W4x13</t>
  </si>
  <si>
    <t>e =</t>
  </si>
  <si>
    <t>Beam Checks for Top Flange Coped Only:</t>
  </si>
  <si>
    <t>W12x136</t>
  </si>
  <si>
    <t>W12x152</t>
  </si>
  <si>
    <t>W12x170</t>
  </si>
  <si>
    <t>W12x190</t>
  </si>
  <si>
    <t>W12x210</t>
  </si>
  <si>
    <t>W12x230</t>
  </si>
  <si>
    <t>W12x252</t>
  </si>
  <si>
    <t>Beam Checks for Uncoped Flanges:</t>
  </si>
  <si>
    <t>Fua =</t>
  </si>
  <si>
    <t>Angle Leg Thickness, ta =</t>
  </si>
  <si>
    <t>W40x466</t>
  </si>
  <si>
    <t>bf =</t>
  </si>
  <si>
    <t>W21x83</t>
  </si>
  <si>
    <t>W21x93</t>
  </si>
  <si>
    <t>W21x101</t>
  </si>
  <si>
    <t>W21x111</t>
  </si>
  <si>
    <t>W21x122</t>
  </si>
  <si>
    <t>W21x132</t>
  </si>
  <si>
    <t>W21x147</t>
  </si>
  <si>
    <t>Nb =</t>
  </si>
  <si>
    <t>W21x402</t>
  </si>
  <si>
    <t>W33x130</t>
  </si>
  <si>
    <t>W33x141</t>
  </si>
  <si>
    <t>W33x152</t>
  </si>
  <si>
    <t>f =</t>
  </si>
  <si>
    <t>W12x53</t>
  </si>
  <si>
    <t>W12x58</t>
  </si>
  <si>
    <t>W12x65</t>
  </si>
  <si>
    <t>W12x72</t>
  </si>
  <si>
    <t>W12x79</t>
  </si>
  <si>
    <t>W10x33</t>
  </si>
  <si>
    <t>W10x39</t>
  </si>
  <si>
    <t>W10x45</t>
  </si>
  <si>
    <t>W10x49</t>
  </si>
  <si>
    <t>Connection to Support:</t>
  </si>
  <si>
    <r>
      <t>w</t>
    </r>
    <r>
      <rPr>
        <sz val="10"/>
        <color indexed="8"/>
        <rFont val="Arial"/>
        <family val="2"/>
      </rPr>
      <t>(req'd) =</t>
    </r>
  </si>
  <si>
    <t>W10x54</t>
  </si>
  <si>
    <r>
      <t>q</t>
    </r>
    <r>
      <rPr>
        <sz val="10"/>
        <color indexed="8"/>
        <rFont val="Arial"/>
        <family val="2"/>
      </rPr>
      <t xml:space="preserve"> = 90-(ATAN((R/2)/(P/2)))  (angle from vertical)</t>
    </r>
  </si>
  <si>
    <t>Yes</t>
  </si>
  <si>
    <t>Angle Leg at Beam Web, Lb =</t>
  </si>
  <si>
    <t>Beam Axial Force, P =</t>
  </si>
  <si>
    <t>W24x55</t>
  </si>
  <si>
    <t>W14x211</t>
  </si>
  <si>
    <t>W14x233</t>
  </si>
  <si>
    <t>W14x257</t>
  </si>
  <si>
    <t>W14x283</t>
  </si>
  <si>
    <t>W14x311</t>
  </si>
  <si>
    <t>W8x28</t>
  </si>
  <si>
    <t>Mw = Rw*(a+6*S)-21*Pb*S</t>
  </si>
  <si>
    <t>Mw = Rw*(a+7*S)-28*Pb*S</t>
  </si>
  <si>
    <t>Mw = Rw*(a+8*S)-36*Pb*S</t>
  </si>
  <si>
    <t>Mw = Rw*(a+9*S)-45*Pb*S</t>
  </si>
  <si>
    <t>Mw = Rw*(a+10*S)-55*Pb*S</t>
  </si>
  <si>
    <t>Mw = Rw*(a+11*S)-66*Pb*S</t>
  </si>
  <si>
    <t>C1 =</t>
  </si>
  <si>
    <t>C1 = 1.0 for E70XX electrode</t>
  </si>
  <si>
    <t>W16x100</t>
  </si>
  <si>
    <t>W18x35</t>
  </si>
  <si>
    <t>W18x40</t>
  </si>
  <si>
    <t>W18x46</t>
  </si>
  <si>
    <t>W18x50</t>
  </si>
  <si>
    <t>SR =</t>
  </si>
  <si>
    <t>W24x370</t>
  </si>
  <si>
    <t>W24x408</t>
  </si>
  <si>
    <t>W24x450</t>
  </si>
  <si>
    <t>W24x492</t>
  </si>
  <si>
    <t>in. (size)</t>
  </si>
  <si>
    <t>W6x20</t>
  </si>
  <si>
    <t>W18x55</t>
  </si>
  <si>
    <t>W18x60</t>
  </si>
  <si>
    <t>W18x65</t>
  </si>
  <si>
    <t>W18x71</t>
  </si>
  <si>
    <t>W18x76</t>
  </si>
  <si>
    <t>W18x86</t>
  </si>
  <si>
    <t>L =</t>
  </si>
  <si>
    <t>k = (kL)/L</t>
  </si>
  <si>
    <t>W27x194</t>
  </si>
  <si>
    <t>W27x217</t>
  </si>
  <si>
    <t>W27x235</t>
  </si>
  <si>
    <t>W27x258</t>
  </si>
  <si>
    <t>Connection Data and Parameters:</t>
  </si>
  <si>
    <t>W33x169</t>
  </si>
  <si>
    <t>W40x327</t>
  </si>
  <si>
    <t>W21x55</t>
  </si>
  <si>
    <t>W21x48</t>
  </si>
  <si>
    <t>W6x8.5</t>
  </si>
  <si>
    <t>kL =</t>
  </si>
  <si>
    <t xml:space="preserve">  Gross Tension Capacity of Beam for Top Flange Coped:</t>
  </si>
  <si>
    <t>kL = Lb-s  (horizontal width of "C-shaped" weld)</t>
  </si>
  <si>
    <t>W5x16</t>
  </si>
  <si>
    <t>W5x19</t>
  </si>
  <si>
    <t>W6x9</t>
  </si>
  <si>
    <t>W6x12</t>
  </si>
  <si>
    <t>W6x15</t>
  </si>
  <si>
    <t>W30x235</t>
  </si>
  <si>
    <t>W30x261</t>
  </si>
  <si>
    <t>W14x370</t>
  </si>
  <si>
    <t>In =</t>
  </si>
  <si>
    <t xml:space="preserve">kips  </t>
  </si>
  <si>
    <t>Rto =</t>
  </si>
  <si>
    <t>Rwr =</t>
  </si>
  <si>
    <t>Rwv =</t>
  </si>
  <si>
    <t>Rwa =</t>
  </si>
  <si>
    <r>
      <t>w</t>
    </r>
    <r>
      <rPr>
        <sz val="10"/>
        <color indexed="12"/>
        <rFont val="Arial"/>
        <family val="2"/>
      </rPr>
      <t>(min)</t>
    </r>
    <r>
      <rPr>
        <sz val="10"/>
        <color indexed="12"/>
        <rFont val="Arial"/>
        <family val="2"/>
      </rPr>
      <t xml:space="preserve"> =</t>
    </r>
  </si>
  <si>
    <t>W27x161</t>
  </si>
  <si>
    <t>W30x116</t>
  </si>
  <si>
    <t>W30x124</t>
  </si>
  <si>
    <t>W30x132</t>
  </si>
  <si>
    <t>W30x148</t>
  </si>
  <si>
    <t>W30x173</t>
  </si>
  <si>
    <t>W30x191</t>
  </si>
  <si>
    <t>W40x321</t>
  </si>
  <si>
    <t>W33x515</t>
  </si>
  <si>
    <t>W33x567</t>
  </si>
  <si>
    <t>W33x619</t>
  </si>
  <si>
    <t>W36x135</t>
  </si>
  <si>
    <t>W36x150</t>
  </si>
  <si>
    <t>W24x62</t>
  </si>
  <si>
    <t>W24x68</t>
  </si>
  <si>
    <t>W24x76</t>
  </si>
  <si>
    <t>W24x84</t>
  </si>
  <si>
    <t>W24x94</t>
  </si>
  <si>
    <t>W24x103</t>
  </si>
  <si>
    <t>W24x104</t>
  </si>
  <si>
    <t>W24x117</t>
  </si>
  <si>
    <t>W24x131</t>
  </si>
  <si>
    <t>W24x146</t>
  </si>
  <si>
    <t>W24x162</t>
  </si>
  <si>
    <t>W24x176</t>
  </si>
  <si>
    <t>W24x192</t>
  </si>
  <si>
    <t>W24x207</t>
  </si>
  <si>
    <t>W24x229</t>
  </si>
  <si>
    <t>W30x433</t>
  </si>
  <si>
    <t>k =</t>
  </si>
  <si>
    <t>Row No.:</t>
  </si>
  <si>
    <t>SUMMARY OF CHECKS:</t>
  </si>
  <si>
    <t>Clip Angles to Beam Web:</t>
  </si>
  <si>
    <t>W10x19</t>
  </si>
  <si>
    <t>W10x22</t>
  </si>
  <si>
    <t>W12x279</t>
  </si>
  <si>
    <t>W12x305</t>
  </si>
  <si>
    <t>W12x336</t>
  </si>
  <si>
    <t>aL =</t>
  </si>
  <si>
    <t>a = (aL)/L</t>
  </si>
  <si>
    <t>Beam Checks for Uncoped Flanges (continued):</t>
  </si>
  <si>
    <t>Beam Checks for Top Flange Coped Only (continued):</t>
  </si>
  <si>
    <t>Beam Checks for Both Flanges Coped (continued):</t>
  </si>
  <si>
    <t>W36x439</t>
  </si>
  <si>
    <t>W36x485</t>
  </si>
  <si>
    <t>W12x120</t>
  </si>
  <si>
    <t>W36x527</t>
  </si>
  <si>
    <t>W36x588</t>
  </si>
  <si>
    <t>W36x650</t>
  </si>
  <si>
    <t>W36x720</t>
  </si>
  <si>
    <t>W36x798</t>
  </si>
  <si>
    <t>W36x848</t>
  </si>
  <si>
    <t>W40x149</t>
  </si>
  <si>
    <t>W40x167</t>
  </si>
  <si>
    <t>W40x183</t>
  </si>
  <si>
    <t>Beam End Reaction (Shear), R =</t>
  </si>
  <si>
    <t>Rw =</t>
  </si>
  <si>
    <t>fv = Rw/(twg*(g-dhg)), assume dhg = 0.875 in.</t>
  </si>
  <si>
    <t>fb = Mw/((g-dhg)*twg^2/6), assume dhg = 0.875 in</t>
  </si>
  <si>
    <t xml:space="preserve">  Material Data:</t>
  </si>
  <si>
    <t>((Pr/2)/(C*C1*L))/16  (per weld)</t>
  </si>
  <si>
    <r>
      <t>Rwr = 2*</t>
    </r>
    <r>
      <rPr>
        <sz val="10"/>
        <color indexed="8"/>
        <rFont val="Symbol"/>
        <family val="1"/>
      </rPr>
      <t>w</t>
    </r>
    <r>
      <rPr>
        <sz val="10"/>
        <color indexed="8"/>
        <rFont val="Arial"/>
        <family val="2"/>
      </rPr>
      <t>*16*C*C1*L</t>
    </r>
  </si>
  <si>
    <t>Pb = P/(2*Nb)  (load per bolt)</t>
  </si>
  <si>
    <r>
      <t>tmin = 3.09*16*</t>
    </r>
    <r>
      <rPr>
        <sz val="10"/>
        <rFont val="Symbol"/>
        <family val="1"/>
      </rPr>
      <t>w</t>
    </r>
    <r>
      <rPr>
        <sz val="10"/>
        <rFont val="Arial"/>
        <family val="0"/>
      </rPr>
      <t xml:space="preserve"> / Fug</t>
    </r>
  </si>
  <si>
    <t>in.-kips</t>
  </si>
  <si>
    <t>Pb =</t>
  </si>
  <si>
    <t>Mw = Rw*a</t>
  </si>
  <si>
    <t>in.^3</t>
  </si>
  <si>
    <t>in.^4</t>
  </si>
  <si>
    <t>AISC BEAM END CONNECTION (ASD)</t>
  </si>
  <si>
    <t>W14x398</t>
  </si>
  <si>
    <t>Rwb = Fbc*Sn/e</t>
  </si>
  <si>
    <t>Atg = ho*tw</t>
  </si>
  <si>
    <t xml:space="preserve">  Tension Tear-Out ("L-shaped") Capacity of Beam Web for Top Flange Coped:</t>
  </si>
  <si>
    <t xml:space="preserve">  Tension Tear-Out ("L-shaped") Capacity of Beam Web for Both Flanges Coped:</t>
  </si>
  <si>
    <t>W14x342</t>
  </si>
  <si>
    <t>tw =</t>
  </si>
  <si>
    <t xml:space="preserve">2.   This program uses the database of member dimensions and section properties from the "AISC Shapes </t>
  </si>
  <si>
    <t xml:space="preserve">                    "Combined Shear and Tension Stress" - by Subhash C. Goel, AISC Journal, 3rd Qtr.-1986.</t>
  </si>
  <si>
    <t>R = actual shear end reaction</t>
  </si>
  <si>
    <t>where:</t>
  </si>
  <si>
    <t>Rv = allowable shear capacity for the particular "limit state" considered</t>
  </si>
  <si>
    <t xml:space="preserve">3.   This program assumes that the tension capacity for any "limit state" is reduced by the presence of shear. </t>
  </si>
  <si>
    <t>L = g (assume 5.5" and use theory from bolted connections)</t>
  </si>
  <si>
    <t>Rto = 0.30*Fyb*Agv+0.50*Fub*Ant</t>
  </si>
  <si>
    <t>Agv = 2*(Lb-s)*tw</t>
  </si>
  <si>
    <r>
      <t>q</t>
    </r>
    <r>
      <rPr>
        <sz val="9"/>
        <rFont val="Arial"/>
        <family val="2"/>
      </rPr>
      <t xml:space="preserve"> (for Charts) =</t>
    </r>
  </si>
  <si>
    <r>
      <t>q</t>
    </r>
    <r>
      <rPr>
        <sz val="10"/>
        <color indexed="12"/>
        <rFont val="Arial"/>
        <family val="2"/>
      </rPr>
      <t xml:space="preserve"> (for Charts) = next lower angle increment to be used for AISC charts</t>
    </r>
  </si>
  <si>
    <t>x =</t>
  </si>
  <si>
    <t>aL = Lb-(x*L)  (eccentricity of shear reaction, R, to C.G. of weld)</t>
  </si>
  <si>
    <t>For k</t>
  </si>
  <si>
    <t>Col</t>
  </si>
  <si>
    <t>For a</t>
  </si>
  <si>
    <t>Row</t>
  </si>
  <si>
    <t>TABLE 8-8 Coefficients, "C" (AISC Manual - page 8-90), Angle = 0°</t>
  </si>
  <si>
    <t>x</t>
  </si>
  <si>
    <t xml:space="preserve">  "C-shaped" Welding:  (using AISC Table 8-8, pages 8-90 through 8-95)</t>
  </si>
  <si>
    <t>C = "C" coefficient interpolated from AISC Table 8-8, pages 8-90 through 8-95)</t>
  </si>
  <si>
    <t>TABLE 8-8 Coefficients, "C" (AISC Manual - page 8-92), Angle = 30°</t>
  </si>
  <si>
    <t>TABLE 8-8 Coefficients, "C" (AISC Manual - page 8-91), Angle = 15°</t>
  </si>
  <si>
    <t>TABLE 8-8 Coefficients, "C" (AISC Manual - page 8-93), Angle = 45°</t>
  </si>
  <si>
    <t>TABLE 8-8 Coefficients, "C" (AISC Manual - page 8-94), Angle = 60°</t>
  </si>
  <si>
    <t>TABLE 8-8 Coefficients, "C" (AISC Manual - page 8-95), Angle = 75°</t>
  </si>
  <si>
    <t>((2*Pr/2)/((C*C1*L))/16  (per weld)</t>
  </si>
  <si>
    <r>
      <t>w</t>
    </r>
    <r>
      <rPr>
        <sz val="10"/>
        <color indexed="12"/>
        <rFont val="Arial"/>
        <family val="2"/>
      </rPr>
      <t>(min)</t>
    </r>
    <r>
      <rPr>
        <sz val="10"/>
        <color indexed="12"/>
        <rFont val="Arial"/>
        <family val="2"/>
      </rPr>
      <t xml:space="preserve"> = Min. fillet weld size from AISC Table J2.4, page 16.1-96</t>
    </r>
  </si>
  <si>
    <r>
      <t>Rwr = 2*</t>
    </r>
    <r>
      <rPr>
        <sz val="10"/>
        <color indexed="12"/>
        <rFont val="Symbol"/>
        <family val="1"/>
      </rPr>
      <t>w</t>
    </r>
    <r>
      <rPr>
        <sz val="10"/>
        <color indexed="12"/>
        <rFont val="Arial"/>
        <family val="2"/>
      </rPr>
      <t xml:space="preserve">*16*C*C1*L/2  (where: </t>
    </r>
    <r>
      <rPr>
        <sz val="10"/>
        <color indexed="12"/>
        <rFont val="Symbol"/>
        <family val="1"/>
      </rPr>
      <t>w</t>
    </r>
    <r>
      <rPr>
        <sz val="10"/>
        <color indexed="12"/>
        <rFont val="Arial"/>
        <family val="2"/>
      </rPr>
      <t xml:space="preserve"> = Min. of: </t>
    </r>
    <r>
      <rPr>
        <sz val="10"/>
        <color indexed="12"/>
        <rFont val="Symbol"/>
        <family val="1"/>
      </rPr>
      <t>w</t>
    </r>
    <r>
      <rPr>
        <sz val="10"/>
        <color indexed="12"/>
        <rFont val="Arial"/>
        <family val="2"/>
      </rPr>
      <t xml:space="preserve"> and </t>
    </r>
    <r>
      <rPr>
        <sz val="10"/>
        <color indexed="12"/>
        <rFont val="Symbol"/>
        <family val="1"/>
      </rPr>
      <t>w</t>
    </r>
    <r>
      <rPr>
        <sz val="10"/>
        <color indexed="12"/>
        <rFont val="Arial"/>
        <family val="2"/>
      </rPr>
      <t>(max))</t>
    </r>
  </si>
  <si>
    <r>
      <t>tmin = 6.19*16*</t>
    </r>
    <r>
      <rPr>
        <sz val="10"/>
        <color indexed="12"/>
        <rFont val="Symbol"/>
        <family val="1"/>
      </rPr>
      <t>w</t>
    </r>
    <r>
      <rPr>
        <sz val="10"/>
        <color indexed="12"/>
        <rFont val="Arial"/>
        <family val="2"/>
      </rPr>
      <t xml:space="preserve"> / Fug</t>
    </r>
  </si>
  <si>
    <t>Is tmin &gt; twb?  If so, Rwr' = Rwr* twb / tmin.  If not, Rwr' = Rwr</t>
  </si>
  <si>
    <t>Pr = SQRT(R^2+P^2)  (total resultant load taken by 2 "C" welds)</t>
  </si>
  <si>
    <r>
      <t>q</t>
    </r>
    <r>
      <rPr>
        <sz val="10"/>
        <color indexed="12"/>
        <rFont val="Arial"/>
        <family val="2"/>
      </rPr>
      <t xml:space="preserve"> (for Charts) =</t>
    </r>
  </si>
  <si>
    <r>
      <t>tmin = 6.19*16*</t>
    </r>
    <r>
      <rPr>
        <sz val="10"/>
        <rFont val="Symbol"/>
        <family val="1"/>
      </rPr>
      <t>w</t>
    </r>
    <r>
      <rPr>
        <sz val="10"/>
        <rFont val="Arial"/>
        <family val="0"/>
      </rPr>
      <t xml:space="preserve"> / Fug</t>
    </r>
  </si>
  <si>
    <r>
      <t>q</t>
    </r>
    <r>
      <rPr>
        <sz val="10"/>
        <rFont val="Arial"/>
        <family val="0"/>
      </rPr>
      <t xml:space="preserve"> (for Charts) = next lower angle increment to be used for AISC charts</t>
    </r>
  </si>
  <si>
    <t>x = "x" coefficient interpolated from AISC Table 8-8, pages 8-90 through 8-95)</t>
  </si>
  <si>
    <t>Avn = Avg = ho*tw</t>
  </si>
  <si>
    <t>Rbs = 0.30*Fyb*Agv+0.50*Fub*Ant</t>
  </si>
  <si>
    <t>Ant = (Lb-s)*tw</t>
  </si>
  <si>
    <t>Agv = (Lb-s)*tw</t>
  </si>
  <si>
    <t>Rto = (0.30*Fyb*Agv+0.50*Fub*Ant)*(1-(R/Rbs)^2)</t>
  </si>
  <si>
    <t>Agv = 2*(LB-s)*tw</t>
  </si>
  <si>
    <t xml:space="preserve">      Thus, the reduction factor applied to the tension "limit state" capacity is  =  (1-R/Rv)^2.</t>
  </si>
  <si>
    <t xml:space="preserve">           be selected below and</t>
  </si>
  <si>
    <t xml:space="preserve">           results calculated.</t>
  </si>
  <si>
    <r>
      <t>Note:</t>
    </r>
    <r>
      <rPr>
        <b/>
        <i/>
        <sz val="10"/>
        <color indexed="10"/>
        <rFont val="Arial"/>
        <family val="2"/>
      </rPr>
      <t xml:space="preserve">  Specific beam size may</t>
    </r>
  </si>
  <si>
    <t>mp =</t>
  </si>
  <si>
    <t>mp = 0.25*Fyc*twc^2</t>
  </si>
  <si>
    <t>Tc =</t>
  </si>
  <si>
    <t>Pa =</t>
  </si>
  <si>
    <r>
      <t>f</t>
    </r>
    <r>
      <rPr>
        <sz val="10"/>
        <color indexed="8"/>
        <rFont val="Arial"/>
        <family val="2"/>
      </rPr>
      <t xml:space="preserve"> =</t>
    </r>
  </si>
  <si>
    <r>
      <t>f</t>
    </r>
    <r>
      <rPr>
        <sz val="10"/>
        <color indexed="8"/>
        <rFont val="Arial"/>
        <family val="2"/>
      </rPr>
      <t>Pn =</t>
    </r>
  </si>
  <si>
    <r>
      <t>f</t>
    </r>
    <r>
      <rPr>
        <sz val="10"/>
        <color indexed="8"/>
        <rFont val="Arial"/>
        <family val="2"/>
      </rPr>
      <t xml:space="preserve"> = 0.90</t>
    </r>
  </si>
  <si>
    <t>Nb = 1+FLOOR((L-3)/3,1 (Number of bolts to use for bolt theory)</t>
  </si>
  <si>
    <r>
      <t>f</t>
    </r>
    <r>
      <rPr>
        <sz val="10"/>
        <color indexed="8"/>
        <rFont val="Arial"/>
        <family val="2"/>
      </rPr>
      <t xml:space="preserve">Pn = </t>
    </r>
    <r>
      <rPr>
        <sz val="10"/>
        <color indexed="8"/>
        <rFont val="Symbol"/>
        <family val="1"/>
      </rPr>
      <t>f</t>
    </r>
    <r>
      <rPr>
        <sz val="10"/>
        <color indexed="8"/>
        <rFont val="Arial"/>
        <family val="2"/>
      </rPr>
      <t>*8*mp*(SQRT(2*Tc/(Tc-g))+L/(2*(Tc-g)))</t>
    </r>
  </si>
  <si>
    <r>
      <t>f</t>
    </r>
    <r>
      <rPr>
        <sz val="10"/>
        <color indexed="12"/>
        <rFont val="Arial"/>
        <family val="2"/>
      </rPr>
      <t xml:space="preserve"> =</t>
    </r>
  </si>
  <si>
    <r>
      <t>f</t>
    </r>
    <r>
      <rPr>
        <sz val="10"/>
        <color indexed="12"/>
        <rFont val="Arial"/>
        <family val="2"/>
      </rPr>
      <t xml:space="preserve"> = 0.90</t>
    </r>
  </si>
  <si>
    <r>
      <t>f</t>
    </r>
    <r>
      <rPr>
        <sz val="10"/>
        <color indexed="12"/>
        <rFont val="Arial"/>
        <family val="2"/>
      </rPr>
      <t>Pn =</t>
    </r>
  </si>
  <si>
    <r>
      <t xml:space="preserve">Pa = </t>
    </r>
    <r>
      <rPr>
        <sz val="10"/>
        <color indexed="8"/>
        <rFont val="Symbol"/>
        <family val="1"/>
      </rPr>
      <t>f</t>
    </r>
    <r>
      <rPr>
        <sz val="10"/>
        <color indexed="8"/>
        <rFont val="Arial"/>
        <family val="2"/>
      </rPr>
      <t>Pn/1.5 (converting LRFD value back to ASD value)</t>
    </r>
  </si>
  <si>
    <r>
      <t xml:space="preserve">Pa = </t>
    </r>
    <r>
      <rPr>
        <sz val="10"/>
        <color indexed="12"/>
        <rFont val="Symbol"/>
        <family val="1"/>
      </rPr>
      <t>f</t>
    </r>
    <r>
      <rPr>
        <sz val="10"/>
        <color indexed="12"/>
        <rFont val="Arial"/>
        <family val="2"/>
      </rPr>
      <t>Pn/1.5 (converting LRFD value back to ASD value)</t>
    </r>
  </si>
  <si>
    <t>c =</t>
  </si>
  <si>
    <t>VOIDED Calc's. in "Red":</t>
  </si>
  <si>
    <t>Girder Web Doubler Plate Thk., td =</t>
  </si>
  <si>
    <t>(assume LRFD "yield line" theory and convert results back to ASD)</t>
  </si>
  <si>
    <t>Tg =</t>
  </si>
  <si>
    <t>a = D1-kg</t>
  </si>
  <si>
    <t>b = Tg-(a+c)</t>
  </si>
  <si>
    <t>mp = 0.25*Fyg*twg^2</t>
  </si>
  <si>
    <r>
      <t xml:space="preserve">  Determine Shear </t>
    </r>
    <r>
      <rPr>
        <sz val="10"/>
        <color indexed="10"/>
        <rFont val="Arial"/>
        <family val="2"/>
      </rPr>
      <t>and Maximum Moment</t>
    </r>
    <r>
      <rPr>
        <sz val="10"/>
        <color indexed="12"/>
        <rFont val="Arial"/>
        <family val="2"/>
      </rPr>
      <t xml:space="preserve"> on Stip of Girder Web of Width = g: </t>
    </r>
  </si>
  <si>
    <r>
      <t>f</t>
    </r>
    <r>
      <rPr>
        <sz val="10"/>
        <color indexed="8"/>
        <rFont val="Arial"/>
        <family val="2"/>
      </rPr>
      <t xml:space="preserve">Pn = </t>
    </r>
    <r>
      <rPr>
        <sz val="10"/>
        <color indexed="8"/>
        <rFont val="Symbol"/>
        <family val="1"/>
      </rPr>
      <t>f</t>
    </r>
    <r>
      <rPr>
        <sz val="10"/>
        <color indexed="8"/>
        <rFont val="Arial"/>
        <family val="2"/>
      </rPr>
      <t xml:space="preserve">*2*mp*(((2*SQRT(2*Tg*a*b/(a+b))+g/2)*(a+b))/(a*b))         </t>
    </r>
  </si>
  <si>
    <r>
      <t>f</t>
    </r>
    <r>
      <rPr>
        <sz val="10"/>
        <color indexed="12"/>
        <rFont val="Arial"/>
        <family val="2"/>
      </rPr>
      <t xml:space="preserve">Pn = </t>
    </r>
    <r>
      <rPr>
        <sz val="10"/>
        <color indexed="12"/>
        <rFont val="Symbol"/>
        <family val="1"/>
      </rPr>
      <t>f</t>
    </r>
    <r>
      <rPr>
        <sz val="10"/>
        <color indexed="12"/>
        <rFont val="Arial"/>
        <family val="2"/>
      </rPr>
      <t xml:space="preserve">*2*mp*(((2*SQRT(2*Tc*a*b/(a+b))+L/2)*(a+b))/(a*b))         </t>
    </r>
  </si>
  <si>
    <t>b = a = (Tc-c)/2</t>
  </si>
  <si>
    <t>a = (Tc-c)/2</t>
  </si>
  <si>
    <t>Tc = dc-2*kc</t>
  </si>
  <si>
    <r>
      <t>f</t>
    </r>
    <r>
      <rPr>
        <sz val="10"/>
        <color indexed="12"/>
        <rFont val="Arial"/>
        <family val="2"/>
      </rPr>
      <t xml:space="preserve">Pn = </t>
    </r>
    <r>
      <rPr>
        <sz val="10"/>
        <color indexed="12"/>
        <rFont val="Symbol"/>
        <family val="1"/>
      </rPr>
      <t>f</t>
    </r>
    <r>
      <rPr>
        <sz val="10"/>
        <color indexed="12"/>
        <rFont val="Arial"/>
        <family val="2"/>
      </rPr>
      <t xml:space="preserve">*2*mp*(((2*SQRT(2*Tg*a*b/(a+b))+L/2)*(a+b))/(a*b))         </t>
    </r>
  </si>
  <si>
    <t>Tg = dg-2*kg</t>
  </si>
  <si>
    <t>5.  This program contains numerous “comment boxes” which contain a wide variety of information including</t>
  </si>
  <si>
    <t xml:space="preserve">4.   This program follows the procedure for "yield line" theory for the flexural analysis of either a column web or </t>
  </si>
  <si>
    <t xml:space="preserve">      a girder web subjected to an axial load, as outlined in "Connections" by Larry S. Muir and William A. Thornton</t>
  </si>
  <si>
    <t xml:space="preserve">      and published by Cives Steel Company.</t>
  </si>
  <si>
    <t xml:space="preserve">      (Note: This booklet is a reprint of Chapter 3, from the "Structural Steel Designer's Handbook, 4 th Edition.)</t>
  </si>
  <si>
    <t>Project Name:</t>
  </si>
  <si>
    <t>Client:</t>
  </si>
  <si>
    <t>Project No.:</t>
  </si>
  <si>
    <t>Prep. By:</t>
  </si>
  <si>
    <t>Date:</t>
  </si>
  <si>
    <t xml:space="preserve">1.   This program follows the procedures and guidelines of the AISC 13th Edition Allowable Stress (ASD) Manual </t>
  </si>
  <si>
    <t xml:space="preserve">      (2005).</t>
  </si>
  <si>
    <t xml:space="preserve">      Database", Version 13.0 (2005) as well as the AISC 13th Edition (ASD) Manual (2005).</t>
  </si>
  <si>
    <t>with Clip Angles</t>
  </si>
  <si>
    <t>Welded to Beam</t>
  </si>
  <si>
    <t>Rvg = (1/1.5)*0.60*Fya*Avg</t>
  </si>
  <si>
    <t>Rvn = (1/2)*0.60*Fua*Avn</t>
  </si>
  <si>
    <t>Agv =</t>
  </si>
  <si>
    <t>Ant =</t>
  </si>
  <si>
    <t>Avg = 2*L*ta</t>
  </si>
  <si>
    <t>Avn = Avg = 2*L*ta</t>
  </si>
  <si>
    <t>Ant = L*tw</t>
  </si>
  <si>
    <t>Agv = ((D1-dc1)+L)*tw</t>
  </si>
  <si>
    <t>Ant = ((D1-dc1)+L)*tw</t>
  </si>
  <si>
    <t>At = ((D1-dc1)+L)*tw</t>
  </si>
  <si>
    <t>Atg = 2*L*ta</t>
  </si>
  <si>
    <t>c = L</t>
  </si>
  <si>
    <t>Ldw = 2*L</t>
  </si>
  <si>
    <t>S =</t>
  </si>
  <si>
    <t xml:space="preserve">  Shear Yielding Capacity of (2) Clip Angles at Beam Web:</t>
  </si>
  <si>
    <t xml:space="preserve">  Shear Rupture Capacity of (2) Clip Angles at Beam Web:</t>
  </si>
  <si>
    <t xml:space="preserve">  Shear Yielding Capacity of Beam Web:</t>
  </si>
  <si>
    <t>ho = not applicable for uncoped beam</t>
  </si>
  <si>
    <t>h/tw =</t>
  </si>
  <si>
    <t>h/tw = (d-k) / twb</t>
  </si>
  <si>
    <t>kv =</t>
  </si>
  <si>
    <t>kv = 5.0 for unstiffened webs</t>
  </si>
  <si>
    <t>Cv =</t>
  </si>
  <si>
    <t>(Note: eccentricity between C.L.'s  of beam and connection is included)</t>
  </si>
  <si>
    <t xml:space="preserve">  Weld Tension and Shear:</t>
  </si>
  <si>
    <t>Rwr' =</t>
  </si>
  <si>
    <t>tmin =</t>
  </si>
  <si>
    <r>
      <t>tmin = 3.09*16*</t>
    </r>
    <r>
      <rPr>
        <sz val="10"/>
        <color indexed="12"/>
        <rFont val="Symbol"/>
        <family val="1"/>
      </rPr>
      <t>w</t>
    </r>
    <r>
      <rPr>
        <sz val="10"/>
        <color indexed="12"/>
        <rFont val="Arial"/>
        <family val="2"/>
      </rPr>
      <t xml:space="preserve"> / Fuc</t>
    </r>
  </si>
  <si>
    <t>Is tmin &gt; tfc?  If so, Rwr' = Rwr* tfc / tmin.  If not, Rwr' = Rwr</t>
  </si>
  <si>
    <t>tmin &gt; tfc? =</t>
  </si>
  <si>
    <t xml:space="preserve">  Minimum Flange Thickness:</t>
  </si>
  <si>
    <r>
      <t>q</t>
    </r>
    <r>
      <rPr>
        <sz val="10"/>
        <rFont val="Arial"/>
        <family val="0"/>
      </rPr>
      <t xml:space="preserve"> = 90-(ATAN(R/P))  (angle from vertical)</t>
    </r>
  </si>
  <si>
    <r>
      <t>q</t>
    </r>
    <r>
      <rPr>
        <sz val="10"/>
        <rFont val="Arial"/>
        <family val="0"/>
      </rPr>
      <t xml:space="preserve"> =</t>
    </r>
  </si>
  <si>
    <r>
      <t xml:space="preserve">fd </t>
    </r>
    <r>
      <rPr>
        <sz val="10"/>
        <rFont val="Arial"/>
        <family val="0"/>
      </rPr>
      <t>=</t>
    </r>
  </si>
  <si>
    <r>
      <t>lambda</t>
    </r>
    <r>
      <rPr>
        <sz val="10"/>
        <rFont val="Arial"/>
        <family val="0"/>
      </rPr>
      <t>=</t>
    </r>
  </si>
  <si>
    <r>
      <t xml:space="preserve">Q </t>
    </r>
    <r>
      <rPr>
        <sz val="10"/>
        <rFont val="Arial"/>
        <family val="0"/>
      </rPr>
      <t>=</t>
    </r>
  </si>
  <si>
    <r>
      <t>Rwv = Rwr' * COS</t>
    </r>
    <r>
      <rPr>
        <sz val="10"/>
        <color indexed="12"/>
        <rFont val="Symbol"/>
        <family val="1"/>
      </rPr>
      <t>q</t>
    </r>
    <r>
      <rPr>
        <sz val="10"/>
        <color indexed="12"/>
        <rFont val="Arial"/>
        <family val="2"/>
      </rPr>
      <t xml:space="preserve">  (vertical)</t>
    </r>
  </si>
  <si>
    <r>
      <t>Rwa = Rwr' * SIN</t>
    </r>
    <r>
      <rPr>
        <sz val="10"/>
        <color indexed="12"/>
        <rFont val="Symbol"/>
        <family val="1"/>
      </rPr>
      <t>q</t>
    </r>
    <r>
      <rPr>
        <sz val="10"/>
        <color indexed="12"/>
        <rFont val="Arial"/>
        <family val="2"/>
      </rPr>
      <t xml:space="preserve">  (axial)</t>
    </r>
  </si>
  <si>
    <r>
      <t>Rwv = Rwr' * COS</t>
    </r>
    <r>
      <rPr>
        <sz val="10"/>
        <rFont val="Symbol"/>
        <family val="1"/>
      </rPr>
      <t>q</t>
    </r>
    <r>
      <rPr>
        <sz val="10"/>
        <rFont val="Arial"/>
        <family val="2"/>
      </rPr>
      <t xml:space="preserve">  (vertical)</t>
    </r>
  </si>
  <si>
    <r>
      <t>Rwa = Rwr' * SIN</t>
    </r>
    <r>
      <rPr>
        <sz val="10"/>
        <rFont val="Symbol"/>
        <family val="1"/>
      </rPr>
      <t>q</t>
    </r>
    <r>
      <rPr>
        <sz val="10"/>
        <rFont val="Arial"/>
        <family val="2"/>
      </rPr>
      <t xml:space="preserve">  (axial)</t>
    </r>
  </si>
  <si>
    <r>
      <t>Rwa = Rwr*SIN</t>
    </r>
    <r>
      <rPr>
        <sz val="10"/>
        <color indexed="12"/>
        <rFont val="Symbol"/>
        <family val="1"/>
      </rPr>
      <t>q</t>
    </r>
    <r>
      <rPr>
        <sz val="10"/>
        <color indexed="12"/>
        <rFont val="Arial"/>
        <family val="2"/>
      </rPr>
      <t xml:space="preserve">  (axial)</t>
    </r>
  </si>
  <si>
    <r>
      <t>Rwv = Rwr*COS</t>
    </r>
    <r>
      <rPr>
        <sz val="10"/>
        <rFont val="Symbol"/>
        <family val="1"/>
      </rPr>
      <t>q</t>
    </r>
    <r>
      <rPr>
        <sz val="10"/>
        <rFont val="Arial"/>
        <family val="2"/>
      </rPr>
      <t xml:space="preserve">  (vertical)</t>
    </r>
  </si>
  <si>
    <r>
      <t>Rwa = Rwr*SIN</t>
    </r>
    <r>
      <rPr>
        <sz val="10"/>
        <rFont val="Symbol"/>
        <family val="1"/>
      </rPr>
      <t>q</t>
    </r>
    <r>
      <rPr>
        <sz val="10"/>
        <rFont val="Arial"/>
        <family val="2"/>
      </rPr>
      <t xml:space="preserve">  (axial)</t>
    </r>
  </si>
  <si>
    <r>
      <t>Rwr =  (2*0.928*16*</t>
    </r>
    <r>
      <rPr>
        <sz val="10"/>
        <color indexed="12"/>
        <rFont val="Symbol"/>
        <family val="1"/>
      </rPr>
      <t>w</t>
    </r>
    <r>
      <rPr>
        <sz val="10"/>
        <color indexed="12"/>
        <rFont val="Arial"/>
        <family val="2"/>
      </rPr>
      <t>*L) / sqrt{ 1+(12.96*Lc^2 / L^2) } (allowable weld strength)</t>
    </r>
  </si>
  <si>
    <r>
      <t>Rwr =  (2*0.928*16*</t>
    </r>
    <r>
      <rPr>
        <sz val="9"/>
        <rFont val="Symbol"/>
        <family val="1"/>
      </rPr>
      <t>w</t>
    </r>
    <r>
      <rPr>
        <sz val="9"/>
        <rFont val="Arial"/>
        <family val="2"/>
      </rPr>
      <t>*L) / sqrt{ 1+(12.96*Lc^2 / L^2) } (allowable weld strength)</t>
    </r>
  </si>
  <si>
    <t xml:space="preserve">  Minimum Web Thickness:</t>
  </si>
  <si>
    <t>Is tmin &gt; twc?  If so, Rwr' = Rwr* twc / tmin.  If not, Rwr' = Rwr</t>
  </si>
  <si>
    <t>Fv = (1/1.5)*0.6*Fyc</t>
  </si>
  <si>
    <r>
      <t>tmin = 3.09*16*</t>
    </r>
    <r>
      <rPr>
        <sz val="10"/>
        <color indexed="12"/>
        <rFont val="Symbol"/>
        <family val="1"/>
      </rPr>
      <t>w</t>
    </r>
    <r>
      <rPr>
        <sz val="10"/>
        <color indexed="12"/>
        <rFont val="Arial"/>
        <family val="2"/>
      </rPr>
      <t xml:space="preserve"> / Fug</t>
    </r>
  </si>
  <si>
    <t>tmin &gt; twg? =</t>
  </si>
  <si>
    <t>Is tmin &gt; twg?  If so, Rwr' = Rwr* twg / tmin.  If not, Rwr' = Rwr</t>
  </si>
  <si>
    <t>Cv = 1.0 for h/tw ≤ 2.24*sqrt(E/Fy), otherwise see Eqn. G2-3 to G2-5</t>
  </si>
  <si>
    <t>Rvg = (1/1.5)*0.60*Fyb*Cv*Avg</t>
  </si>
  <si>
    <t>Using Clip Angles Field Welded to Column Flange and Shop Welded to Beam Web</t>
  </si>
  <si>
    <r>
      <t xml:space="preserve"> Weld A, </t>
    </r>
    <r>
      <rPr>
        <sz val="9"/>
        <color indexed="12"/>
        <rFont val="Symbol"/>
        <family val="1"/>
      </rPr>
      <t>w</t>
    </r>
    <r>
      <rPr>
        <sz val="9"/>
        <color indexed="12"/>
        <rFont val="Arial"/>
        <family val="2"/>
      </rPr>
      <t>a</t>
    </r>
  </si>
  <si>
    <t xml:space="preserve">     </t>
  </si>
  <si>
    <r>
      <t xml:space="preserve">        Weld B, </t>
    </r>
    <r>
      <rPr>
        <sz val="9"/>
        <color indexed="12"/>
        <rFont val="Symbol"/>
        <family val="1"/>
      </rPr>
      <t>w</t>
    </r>
    <r>
      <rPr>
        <sz val="9"/>
        <color indexed="12"/>
        <rFont val="Arial"/>
        <family val="2"/>
      </rPr>
      <t>b</t>
    </r>
  </si>
  <si>
    <t>Using Clip Angles Field Welded to Girder Web and Shop Welded to Beam Web</t>
  </si>
  <si>
    <r>
      <t xml:space="preserve">Fillet Weld Size A, </t>
    </r>
    <r>
      <rPr>
        <sz val="10"/>
        <rFont val="Symbol"/>
        <family val="1"/>
      </rPr>
      <t>w</t>
    </r>
    <r>
      <rPr>
        <sz val="10"/>
        <rFont val="Arial"/>
        <family val="2"/>
      </rPr>
      <t>a</t>
    </r>
    <r>
      <rPr>
        <sz val="10"/>
        <rFont val="Arial"/>
        <family val="0"/>
      </rPr>
      <t xml:space="preserve"> =</t>
    </r>
  </si>
  <si>
    <r>
      <t xml:space="preserve">Dist. from Top/Beam to Angle, D1 </t>
    </r>
    <r>
      <rPr>
        <sz val="10"/>
        <rFont val="Arial"/>
        <family val="0"/>
      </rPr>
      <t>=</t>
    </r>
  </si>
  <si>
    <t>Clip Angle Overall Length, L =</t>
  </si>
  <si>
    <r>
      <t xml:space="preserve">Fillet Weld Size B, </t>
    </r>
    <r>
      <rPr>
        <sz val="10"/>
        <rFont val="Symbol"/>
        <family val="1"/>
      </rPr>
      <t>w</t>
    </r>
    <r>
      <rPr>
        <sz val="10"/>
        <rFont val="Arial"/>
        <family val="2"/>
      </rPr>
      <t>b</t>
    </r>
    <r>
      <rPr>
        <sz val="10"/>
        <rFont val="Arial"/>
        <family val="0"/>
      </rPr>
      <t xml:space="preserve"> =</t>
    </r>
  </si>
  <si>
    <t>L = vertical height of "C-shaped" weld</t>
  </si>
  <si>
    <r>
      <t>Rwr = 2*</t>
    </r>
    <r>
      <rPr>
        <sz val="10"/>
        <color indexed="12"/>
        <rFont val="Symbol"/>
        <family val="1"/>
      </rPr>
      <t>w</t>
    </r>
    <r>
      <rPr>
        <sz val="10"/>
        <color indexed="12"/>
        <rFont val="Arial"/>
        <family val="2"/>
      </rPr>
      <t>*16*C*C1*L/2</t>
    </r>
  </si>
  <si>
    <t xml:space="preserve">  Shear Rupture Capacity of Beam Web:</t>
  </si>
  <si>
    <t>Rvn = (1/2)*0.60*Fub*Avn</t>
  </si>
  <si>
    <t>Agv = not applicable for uncoped beam</t>
  </si>
  <si>
    <t>Ant = not applicable for uncoped beam</t>
  </si>
  <si>
    <t xml:space="preserve">  Web Buckling (Flexural Rupture) Capacity for Uncoped Flanges:</t>
  </si>
  <si>
    <t xml:space="preserve">  Web Buckling (Flexural Local Buckling) Capacity for Uncoped Flanges:</t>
  </si>
  <si>
    <t xml:space="preserve">  Shear Yielding Capacity of Beam Web for Top Flange Coped:</t>
  </si>
  <si>
    <t>h/tw = (ho-k) / twb</t>
  </si>
  <si>
    <t>Rvg = (1/1.5)*0.60*Cv*Fyb*Avg</t>
  </si>
  <si>
    <t xml:space="preserve">  Shear Rupture Capacity of Beam Web for Top Flange Coped:</t>
  </si>
  <si>
    <t xml:space="preserve">  Web Buckling (Flexural Rupture) Capacity for Top Flange Coped:</t>
  </si>
  <si>
    <t xml:space="preserve">  Web Buckling (Flexural Local Buckling) Capacity for Top Flange Coped:</t>
  </si>
  <si>
    <t>Fbc = Min. of:  {(26,210*f*k*(tw/ho)^2  or  Fy)/1.67}*(1-P/(0.60*Fy*Atg))</t>
  </si>
  <si>
    <t xml:space="preserve">  Shear Yielding Capacity of Beam Web for Both Flanges Coped:</t>
  </si>
  <si>
    <t>ho = d-dc1-dc2</t>
  </si>
  <si>
    <t>h/tw = ho / twb</t>
  </si>
  <si>
    <t xml:space="preserve">  Shear Rupture Capacity of Beam Web for Both Flanges Coped:</t>
  </si>
  <si>
    <t xml:space="preserve">  Web Buckling (Flexural Rupture) Capacity for Both Flanges Coped:</t>
  </si>
  <si>
    <t xml:space="preserve">  Web Buckling (Flexural Local Buckling) Capacity for Both Flanges Coped:</t>
  </si>
  <si>
    <r>
      <t xml:space="preserve">fd </t>
    </r>
    <r>
      <rPr>
        <sz val="10"/>
        <color indexed="12"/>
        <rFont val="Arial"/>
        <family val="2"/>
      </rPr>
      <t>=</t>
    </r>
  </si>
  <si>
    <t>fd = 3.5 - 7.5*(dc1/d)</t>
  </si>
  <si>
    <r>
      <t xml:space="preserve">lambda </t>
    </r>
    <r>
      <rPr>
        <sz val="10"/>
        <color indexed="12"/>
        <rFont val="Arial"/>
        <family val="2"/>
      </rPr>
      <t>=</t>
    </r>
  </si>
  <si>
    <t>lambda = (ho*sqrt(Fyb)) / { 10*tw*sqrt[475+280*(ho/c)^2] }</t>
  </si>
  <si>
    <r>
      <t xml:space="preserve">Q </t>
    </r>
    <r>
      <rPr>
        <sz val="10"/>
        <color indexed="12"/>
        <rFont val="Arial"/>
        <family val="2"/>
      </rPr>
      <t>=</t>
    </r>
  </si>
  <si>
    <t>Q = 1 if lambda ≤ 0.7, (1.34-0.486*lambda) if 0.7 &lt; lambda ≤ 1.41, 1.30/lambda^2 if lambda &gt; 1.41</t>
  </si>
  <si>
    <r>
      <t xml:space="preserve">Fbc </t>
    </r>
    <r>
      <rPr>
        <sz val="10"/>
        <color indexed="12"/>
        <rFont val="Arial"/>
        <family val="2"/>
      </rPr>
      <t>=</t>
    </r>
  </si>
  <si>
    <t>(Criteria is assumed for beam near column end per AISC Eqn. J10-3)</t>
  </si>
  <si>
    <t>Rwy =</t>
  </si>
  <si>
    <t>Rwy = (1/1.5)*Fyc*twc*(N+2.5*kc)</t>
  </si>
  <si>
    <t>(Criteria is for beam near column end per AISC Eqn. J10-5a)</t>
  </si>
  <si>
    <t>Rwc = (1/2.0)*0.4*twc^2*(1+3*(N/d)*(twc/tfc)^1.5)*SQRT(E*Fyc*tfc/twc)</t>
  </si>
  <si>
    <t>W, S, M, and HP Section Properties from AISC Version 13.0 CD Database (2005)</t>
  </si>
  <si>
    <t xml:space="preserve"> and AISC 13th Edition Manual (2005)</t>
  </si>
  <si>
    <t>W44X335</t>
  </si>
  <si>
    <t>W44X290</t>
  </si>
  <si>
    <t>W44X262</t>
  </si>
  <si>
    <t>W44X230</t>
  </si>
  <si>
    <t>W40X593</t>
  </si>
  <si>
    <t>W40X503</t>
  </si>
  <si>
    <t>W40X431</t>
  </si>
  <si>
    <t>W40X397</t>
  </si>
  <si>
    <t>W40X372</t>
  </si>
  <si>
    <t>W40X362</t>
  </si>
  <si>
    <t>W40X324</t>
  </si>
  <si>
    <t>W40X297</t>
  </si>
  <si>
    <t>W40X277</t>
  </si>
  <si>
    <t>W40X249</t>
  </si>
  <si>
    <t>W40X215</t>
  </si>
  <si>
    <t>W40X199</t>
  </si>
  <si>
    <t>W40X392</t>
  </si>
  <si>
    <t>W40X331</t>
  </si>
  <si>
    <t>W40X327</t>
  </si>
  <si>
    <t>W40X294</t>
  </si>
  <si>
    <t>W40X278</t>
  </si>
  <si>
    <t>W40X264</t>
  </si>
  <si>
    <t>W40X235</t>
  </si>
  <si>
    <t>W40X211</t>
  </si>
  <si>
    <t>W40X183</t>
  </si>
  <si>
    <t>W40X167</t>
  </si>
  <si>
    <t>W40X149</t>
  </si>
  <si>
    <t>W36X800</t>
  </si>
  <si>
    <t>W36X652</t>
  </si>
  <si>
    <t>W36X529</t>
  </si>
  <si>
    <t>W36X487</t>
  </si>
  <si>
    <t>W36X441</t>
  </si>
  <si>
    <t>W36X395</t>
  </si>
  <si>
    <t>W36X361</t>
  </si>
  <si>
    <t>W36X330</t>
  </si>
  <si>
    <t>W36X302</t>
  </si>
  <si>
    <t>W36X282</t>
  </si>
  <si>
    <t>W36X262</t>
  </si>
  <si>
    <t>W36X247</t>
  </si>
  <si>
    <t>W36X231</t>
  </si>
  <si>
    <t>W36X256</t>
  </si>
  <si>
    <t>W36X232</t>
  </si>
  <si>
    <t>W36X210</t>
  </si>
  <si>
    <t>W36X194</t>
  </si>
  <si>
    <t>W36X182</t>
  </si>
  <si>
    <t>W36X170</t>
  </si>
  <si>
    <t>W36X160</t>
  </si>
  <si>
    <t>W36X150</t>
  </si>
  <si>
    <t>W36X135</t>
  </si>
  <si>
    <t>W33X387</t>
  </si>
  <si>
    <t>W33X354</t>
  </si>
  <si>
    <t>W33X318</t>
  </si>
  <si>
    <t>W33X291</t>
  </si>
  <si>
    <t>W33X263</t>
  </si>
  <si>
    <t>W33X241</t>
  </si>
  <si>
    <t>W33X221</t>
  </si>
  <si>
    <t>W33X201</t>
  </si>
  <si>
    <t>W33X169</t>
  </si>
  <si>
    <t>W33X152</t>
  </si>
  <si>
    <t>W33X141</t>
  </si>
  <si>
    <t>W33X130</t>
  </si>
  <si>
    <t>W33X118</t>
  </si>
  <si>
    <t>W30X391</t>
  </si>
  <si>
    <t>W30X357</t>
  </si>
  <si>
    <t>W30X326</t>
  </si>
  <si>
    <t>W30X292</t>
  </si>
  <si>
    <t>W30X261</t>
  </si>
  <si>
    <t>W30X235</t>
  </si>
  <si>
    <t>W30X211</t>
  </si>
  <si>
    <t>W30X191</t>
  </si>
  <si>
    <t>W30X173</t>
  </si>
  <si>
    <t>W30X148</t>
  </si>
  <si>
    <t>W30X132</t>
  </si>
  <si>
    <t>W30X124</t>
  </si>
  <si>
    <t>W30X116</t>
  </si>
  <si>
    <t>W30X108</t>
  </si>
  <si>
    <t>W30X99</t>
  </si>
  <si>
    <t>W30X90</t>
  </si>
  <si>
    <t>W27X539</t>
  </si>
  <si>
    <t>W27X368</t>
  </si>
  <si>
    <t>W27X336</t>
  </si>
  <si>
    <t>W27X307</t>
  </si>
  <si>
    <t>W27X281</t>
  </si>
  <si>
    <t>W27X258</t>
  </si>
  <si>
    <t>W27X235</t>
  </si>
  <si>
    <t>W27X217</t>
  </si>
  <si>
    <t>W27X194</t>
  </si>
  <si>
    <t>W27X178</t>
  </si>
  <si>
    <t>W27X161</t>
  </si>
  <si>
    <t>W27X146</t>
  </si>
  <si>
    <t>W27X129</t>
  </si>
  <si>
    <t>W27X114</t>
  </si>
  <si>
    <t>W27X102</t>
  </si>
  <si>
    <t>W27X94</t>
  </si>
  <si>
    <t>W27X84</t>
  </si>
  <si>
    <t>W24X370</t>
  </si>
  <si>
    <t>W24X335</t>
  </si>
  <si>
    <t>W24X306</t>
  </si>
  <si>
    <t>W24X279</t>
  </si>
  <si>
    <t>W24X250</t>
  </si>
  <si>
    <t>W24X229</t>
  </si>
  <si>
    <t>W24X207</t>
  </si>
  <si>
    <t>W24X192</t>
  </si>
  <si>
    <t>W24X176</t>
  </si>
  <si>
    <t>W24X162</t>
  </si>
  <si>
    <t>W24X146</t>
  </si>
  <si>
    <t>W24X131</t>
  </si>
  <si>
    <t>W24X117</t>
  </si>
  <si>
    <t>W24X104</t>
  </si>
  <si>
    <t>W24X103</t>
  </si>
  <si>
    <t>W24X94</t>
  </si>
  <si>
    <t>W24X84</t>
  </si>
  <si>
    <t>W24X76</t>
  </si>
  <si>
    <t>W24X68</t>
  </si>
  <si>
    <t>W24X62</t>
  </si>
  <si>
    <t>W24X55</t>
  </si>
  <si>
    <t>W21X201</t>
  </si>
  <si>
    <t>W21X182</t>
  </si>
  <si>
    <t>W21X166</t>
  </si>
  <si>
    <t>W21X147</t>
  </si>
  <si>
    <t>W21X132</t>
  </si>
  <si>
    <t>W21X122</t>
  </si>
  <si>
    <t>W21X111</t>
  </si>
  <si>
    <t>W21X101</t>
  </si>
  <si>
    <t>W21X93</t>
  </si>
  <si>
    <r>
      <t xml:space="preserve">3. </t>
    </r>
    <r>
      <rPr>
        <u val="single"/>
        <sz val="10"/>
        <color indexed="8"/>
        <rFont val="Arial"/>
        <family val="2"/>
      </rPr>
      <t>Shear Yielding Capacity of (2) Clip Angles:</t>
    </r>
  </si>
  <si>
    <r>
      <t xml:space="preserve">4. </t>
    </r>
    <r>
      <rPr>
        <u val="single"/>
        <sz val="10"/>
        <color indexed="8"/>
        <rFont val="Arial"/>
        <family val="2"/>
      </rPr>
      <t>Shear Rupture Capacity of (2) Clip Angles:</t>
    </r>
  </si>
  <si>
    <t>x = Coefficient interpolated from AISC Table 8-8</t>
  </si>
  <si>
    <t>aL = Lb-(x*L)</t>
  </si>
  <si>
    <t>Rw' =</t>
  </si>
  <si>
    <r>
      <t>Rw</t>
    </r>
    <r>
      <rPr>
        <sz val="10"/>
        <color indexed="8"/>
        <rFont val="Arial"/>
        <family val="2"/>
      </rPr>
      <t xml:space="preserve"> = 2*(</t>
    </r>
    <r>
      <rPr>
        <sz val="10"/>
        <color indexed="8"/>
        <rFont val="Symbol"/>
        <family val="1"/>
      </rPr>
      <t>w</t>
    </r>
    <r>
      <rPr>
        <sz val="10"/>
        <color indexed="8"/>
        <rFont val="Arial"/>
        <family val="2"/>
      </rPr>
      <t>*16*C*C1*L)/2</t>
    </r>
  </si>
  <si>
    <r>
      <t>tmin = 6.19*</t>
    </r>
    <r>
      <rPr>
        <sz val="10"/>
        <rFont val="Symbol"/>
        <family val="1"/>
      </rPr>
      <t>w</t>
    </r>
    <r>
      <rPr>
        <sz val="10"/>
        <rFont val="Arial"/>
        <family val="0"/>
      </rPr>
      <t>*16 / Fu</t>
    </r>
  </si>
  <si>
    <t>Rw' = Rw (if tmin &lt;= tw) or Rw*tw/tmin (if tmin &gt; tw)</t>
  </si>
  <si>
    <t>C = Coefficient interpolated from AISC Table 8-8</t>
  </si>
  <si>
    <t>W21X83</t>
  </si>
  <si>
    <t>W21X73</t>
  </si>
  <si>
    <t>W21X68</t>
  </si>
  <si>
    <t>W21X62</t>
  </si>
  <si>
    <t>W21X55</t>
  </si>
  <si>
    <t>W21X48</t>
  </si>
  <si>
    <t>W21X57</t>
  </si>
  <si>
    <t>W21X50</t>
  </si>
  <si>
    <t>W21X44</t>
  </si>
  <si>
    <t>W18X175</t>
  </si>
  <si>
    <t>W18X158</t>
  </si>
  <si>
    <t>W18X143</t>
  </si>
  <si>
    <t>W18X130</t>
  </si>
  <si>
    <t>W18X119</t>
  </si>
  <si>
    <t>W18X106</t>
  </si>
  <si>
    <t>W18X97</t>
  </si>
  <si>
    <t>W18X86</t>
  </si>
  <si>
    <t>W18X76</t>
  </si>
  <si>
    <t>W18X71</t>
  </si>
  <si>
    <t>W18X65</t>
  </si>
  <si>
    <t>W18X60</t>
  </si>
  <si>
    <t>W18X55</t>
  </si>
  <si>
    <t>W18X50</t>
  </si>
  <si>
    <t>W18X46</t>
  </si>
  <si>
    <t>W18X40</t>
  </si>
  <si>
    <t>W18X35</t>
  </si>
  <si>
    <t>W16X100</t>
  </si>
  <si>
    <t>W16X89</t>
  </si>
  <si>
    <t>W16X77</t>
  </si>
  <si>
    <t>W16X67</t>
  </si>
  <si>
    <t>W16X57</t>
  </si>
  <si>
    <t>W16X50</t>
  </si>
  <si>
    <t>W16X45</t>
  </si>
  <si>
    <t>W16X40</t>
  </si>
  <si>
    <t>W16X36</t>
  </si>
  <si>
    <t>W16X31</t>
  </si>
  <si>
    <t>W16X26</t>
  </si>
  <si>
    <t>W14X730</t>
  </si>
  <si>
    <t>W14X665</t>
  </si>
  <si>
    <t>W14X605</t>
  </si>
  <si>
    <t>W14X550</t>
  </si>
  <si>
    <t>W14X500</t>
  </si>
  <si>
    <t>W14X455</t>
  </si>
  <si>
    <t>W14X426</t>
  </si>
  <si>
    <t>W14X398</t>
  </si>
  <si>
    <t>W14X370</t>
  </si>
  <si>
    <t>W14X342</t>
  </si>
  <si>
    <t>W14X311</t>
  </si>
  <si>
    <t>W14X283</t>
  </si>
  <si>
    <t>W14X257</t>
  </si>
  <si>
    <t>W14X233</t>
  </si>
  <si>
    <t>W14X211</t>
  </si>
  <si>
    <t>W14X193</t>
  </si>
  <si>
    <t>W14X176</t>
  </si>
  <si>
    <t>W14X159</t>
  </si>
  <si>
    <t>W14X145</t>
  </si>
  <si>
    <t>W14X132</t>
  </si>
  <si>
    <t>W14X120</t>
  </si>
  <si>
    <t>W14X109</t>
  </si>
  <si>
    <t>W14X99</t>
  </si>
  <si>
    <t>W14X90</t>
  </si>
  <si>
    <t>W14X82</t>
  </si>
  <si>
    <t>W14X74</t>
  </si>
  <si>
    <t>W14X68</t>
  </si>
  <si>
    <t>W14X61</t>
  </si>
  <si>
    <t>W14X53</t>
  </si>
  <si>
    <t>W14X48</t>
  </si>
  <si>
    <t>W14X43</t>
  </si>
  <si>
    <t>W14X38</t>
  </si>
  <si>
    <t>W14X34</t>
  </si>
  <si>
    <t>W14X30</t>
  </si>
  <si>
    <t>W14X26</t>
  </si>
  <si>
    <t>W14X22</t>
  </si>
  <si>
    <t>W12X336</t>
  </si>
  <si>
    <t>W12X305</t>
  </si>
  <si>
    <t>W12X279</t>
  </si>
  <si>
    <t>W12X252</t>
  </si>
  <si>
    <t>W12X230</t>
  </si>
  <si>
    <t>W12X210</t>
  </si>
  <si>
    <t>W12X190</t>
  </si>
  <si>
    <t>W12X170</t>
  </si>
  <si>
    <t>W12X152</t>
  </si>
  <si>
    <t>W12X136</t>
  </si>
  <si>
    <t>W12X120</t>
  </si>
  <si>
    <t>W12X106</t>
  </si>
  <si>
    <t>W12X96</t>
  </si>
  <si>
    <t>W12X87</t>
  </si>
  <si>
    <t>W12X79</t>
  </si>
  <si>
    <t>W12X72</t>
  </si>
  <si>
    <t>W12X65</t>
  </si>
  <si>
    <t>W12X58</t>
  </si>
  <si>
    <t>W12X53</t>
  </si>
  <si>
    <t>W12X50</t>
  </si>
  <si>
    <t>W12X45</t>
  </si>
  <si>
    <t>W12X40</t>
  </si>
  <si>
    <t>W12X35</t>
  </si>
  <si>
    <t>W12X30</t>
  </si>
  <si>
    <t>W12X26</t>
  </si>
  <si>
    <t>W12X22</t>
  </si>
  <si>
    <t>W12X19</t>
  </si>
  <si>
    <t>W12X16</t>
  </si>
  <si>
    <t>W12X14</t>
  </si>
  <si>
    <t>W10X112</t>
  </si>
  <si>
    <t>W10X100</t>
  </si>
  <si>
    <t>W10X88</t>
  </si>
  <si>
    <t>W10X77</t>
  </si>
  <si>
    <t>W10X68</t>
  </si>
  <si>
    <t>W10X60</t>
  </si>
  <si>
    <t>W10X54</t>
  </si>
  <si>
    <t>W10X49</t>
  </si>
  <si>
    <t>W10X45</t>
  </si>
  <si>
    <t>W10X39</t>
  </si>
  <si>
    <t>W10X33</t>
  </si>
  <si>
    <t>W10X30</t>
  </si>
  <si>
    <t>W10X26</t>
  </si>
  <si>
    <t>W10X22</t>
  </si>
  <si>
    <t>W10X19</t>
  </si>
  <si>
    <t>W10X17</t>
  </si>
  <si>
    <t>W10X15</t>
  </si>
  <si>
    <t>W10X12</t>
  </si>
  <si>
    <t>W8X67</t>
  </si>
  <si>
    <t>W8X58</t>
  </si>
  <si>
    <t>W8X48</t>
  </si>
  <si>
    <t>W8X40</t>
  </si>
  <si>
    <t>W8X35</t>
  </si>
  <si>
    <t>W8X31</t>
  </si>
  <si>
    <t>W8X28</t>
  </si>
  <si>
    <t>W8X24</t>
  </si>
  <si>
    <t>W8X21</t>
  </si>
  <si>
    <t>W8X18</t>
  </si>
  <si>
    <t>W8X15</t>
  </si>
  <si>
    <t>W8X13</t>
  </si>
  <si>
    <t>W8X10</t>
  </si>
  <si>
    <t>W6X25</t>
  </si>
  <si>
    <t>W6X20</t>
  </si>
  <si>
    <t>W6X15</t>
  </si>
  <si>
    <t>W6X16</t>
  </si>
  <si>
    <t>W6X12</t>
  </si>
  <si>
    <t>W6X9</t>
  </si>
  <si>
    <t>W6X8.5</t>
  </si>
  <si>
    <t>W5X19</t>
  </si>
  <si>
    <t>W5X16</t>
  </si>
  <si>
    <t>W4X13</t>
  </si>
  <si>
    <t>M12.5X12.4</t>
  </si>
  <si>
    <t>M12.5X11.6</t>
  </si>
  <si>
    <t>M12X11.8</t>
  </si>
  <si>
    <t>M12X10.8</t>
  </si>
  <si>
    <t>M12X10</t>
  </si>
  <si>
    <t>M10X9</t>
  </si>
  <si>
    <t>M10X8</t>
  </si>
  <si>
    <t>M10X7.5</t>
  </si>
  <si>
    <t>M8X6.5</t>
  </si>
  <si>
    <t>M8X6.2</t>
  </si>
  <si>
    <t>M6X4.4</t>
  </si>
  <si>
    <t>M6X3.7</t>
  </si>
  <si>
    <t>M5X18.9</t>
  </si>
  <si>
    <t>M4X6</t>
  </si>
  <si>
    <t>M4X4.08</t>
  </si>
  <si>
    <t>M4X3.45</t>
  </si>
  <si>
    <t>M4X3.2</t>
  </si>
  <si>
    <t>M3X2.9</t>
  </si>
  <si>
    <t>S24X121</t>
  </si>
  <si>
    <t>S24X106</t>
  </si>
  <si>
    <t>S24X100</t>
  </si>
  <si>
    <t>S24X90</t>
  </si>
  <si>
    <t>S24X80</t>
  </si>
  <si>
    <t>S20X96</t>
  </si>
  <si>
    <t>S20X86</t>
  </si>
  <si>
    <t>S20X75</t>
  </si>
  <si>
    <t>S20X66</t>
  </si>
  <si>
    <t>S18X70</t>
  </si>
  <si>
    <t>S18X54.7</t>
  </si>
  <si>
    <t>S15X50</t>
  </si>
  <si>
    <t>S15X42.9</t>
  </si>
  <si>
    <t>S12X50</t>
  </si>
  <si>
    <t>S12X40.8</t>
  </si>
  <si>
    <t>S12X35</t>
  </si>
  <si>
    <t>S12X31.8</t>
  </si>
  <si>
    <t>S10X35</t>
  </si>
  <si>
    <t>S10X25.4</t>
  </si>
  <si>
    <t>S8X23</t>
  </si>
  <si>
    <t>S8X18.4</t>
  </si>
  <si>
    <t>S6X17.2</t>
  </si>
  <si>
    <t>S6X12.5</t>
  </si>
  <si>
    <t>S5X10</t>
  </si>
  <si>
    <t>S4X9.5</t>
  </si>
  <si>
    <t>S4X7.7</t>
  </si>
  <si>
    <t>S3X7.5</t>
  </si>
  <si>
    <t>S3X5.7</t>
  </si>
  <si>
    <t>HP14X117</t>
  </si>
  <si>
    <t>HP14X102</t>
  </si>
  <si>
    <t>HP14X89</t>
  </si>
  <si>
    <t>HP14X73</t>
  </si>
  <si>
    <t>HP12X84</t>
  </si>
  <si>
    <t>HP12X74</t>
  </si>
  <si>
    <t>HP12X63</t>
  </si>
  <si>
    <t>HP12X53</t>
  </si>
  <si>
    <t>HP10X57</t>
  </si>
  <si>
    <t>HP10X42</t>
  </si>
  <si>
    <t>HP8X36</t>
  </si>
  <si>
    <t>w14x90</t>
  </si>
  <si>
    <t>b =</t>
  </si>
  <si>
    <t>a =</t>
  </si>
  <si>
    <t>Beam Yield Stress, Fyb =</t>
  </si>
  <si>
    <t xml:space="preserve">  Gross Tension Capacity of Beam for Both Flanges Coped:</t>
  </si>
  <si>
    <t>T = d-2*k  (effective span of girder web)</t>
  </si>
  <si>
    <t>Beam Size:</t>
  </si>
  <si>
    <t>W6</t>
  </si>
  <si>
    <t>W8</t>
  </si>
  <si>
    <t>W10</t>
  </si>
  <si>
    <t>W12</t>
  </si>
  <si>
    <t>W14</t>
  </si>
  <si>
    <t>W16</t>
  </si>
  <si>
    <t>W18</t>
  </si>
  <si>
    <t>W21</t>
  </si>
  <si>
    <t>W24</t>
  </si>
  <si>
    <t>W27</t>
  </si>
  <si>
    <t>W30</t>
  </si>
  <si>
    <t>W33</t>
  </si>
  <si>
    <t>W36</t>
  </si>
  <si>
    <t>Uncoped Flanges:</t>
  </si>
  <si>
    <t>Angle Leg at Support, Lc =</t>
  </si>
  <si>
    <t>Fu =</t>
  </si>
  <si>
    <t xml:space="preserve">            tw</t>
  </si>
  <si>
    <t>ALLOWABLE SHEAR REACTION AT BEAM END CONNECTION (kips)</t>
  </si>
  <si>
    <t>Beam</t>
  </si>
  <si>
    <t>Uncoped Flanges</t>
  </si>
  <si>
    <t>Size</t>
  </si>
  <si>
    <t>Web, tw</t>
  </si>
  <si>
    <t>with Welded</t>
  </si>
  <si>
    <t>with Bolted</t>
  </si>
  <si>
    <t>(Depth)</t>
  </si>
  <si>
    <t>(in.)</t>
  </si>
  <si>
    <t>Clip Angles</t>
  </si>
  <si>
    <t>Welded Clip Angles to Beam:</t>
  </si>
  <si>
    <t xml:space="preserve">  Clip Angle to Beam Welding:</t>
  </si>
  <si>
    <t>kL = Lb-s</t>
  </si>
  <si>
    <t>Nr = 10</t>
  </si>
  <si>
    <t>Criteria for Calculation of Shear Reaction Capacity for Uncoped Beams:</t>
  </si>
  <si>
    <t>Program Description:</t>
  </si>
  <si>
    <t>Worksheet Name</t>
  </si>
  <si>
    <t>Description</t>
  </si>
  <si>
    <t>Doc</t>
  </si>
  <si>
    <t>This documentation sheet</t>
  </si>
  <si>
    <t>Program Assumptions and Limitations:</t>
  </si>
  <si>
    <t xml:space="preserve">      explanations of input or output items, equations used, data tables, etc.  (Note:  presence of a “comment box”</t>
  </si>
  <si>
    <t xml:space="preserve">      is denoted by a “red triangle” in the upper right-hand corner of a cell.  Merely move the mouse pointer to the </t>
  </si>
  <si>
    <t xml:space="preserve">      desired cell to view the contents of that particular "comment box".)</t>
  </si>
  <si>
    <t>Uncoped Beam Table</t>
  </si>
  <si>
    <t>AISC BEAM END CONNECTIONS (ASD)</t>
  </si>
  <si>
    <t>End shear reaction capacities for uncoped beams using clip angles</t>
  </si>
  <si>
    <t xml:space="preserve">  Tension Tear-Out ("U-shaped") Capacity of Beam Web for Both Flanges Coped:</t>
  </si>
  <si>
    <t>Yield Stress of Angles, Fya =</t>
  </si>
  <si>
    <t>Avg = d*tw</t>
  </si>
  <si>
    <t>W27x307</t>
  </si>
  <si>
    <t>W18x258</t>
  </si>
  <si>
    <t>W18x283</t>
  </si>
  <si>
    <t>W18x311</t>
  </si>
  <si>
    <t>W21x44</t>
  </si>
  <si>
    <t>W21x50</t>
  </si>
  <si>
    <t>W21x57</t>
  </si>
  <si>
    <t>W21x62</t>
  </si>
  <si>
    <t>W21x68</t>
  </si>
  <si>
    <t>W21x73</t>
  </si>
  <si>
    <t>W21x166</t>
  </si>
  <si>
    <t>W21x182</t>
  </si>
  <si>
    <t>W21x201</t>
  </si>
  <si>
    <t>Avg = ho*tw</t>
  </si>
  <si>
    <t>Depth of Top Flange Cope, dc1 =</t>
  </si>
  <si>
    <t>Depth of Bottom Flange Cope, dc2 =</t>
  </si>
  <si>
    <t>W18x192</t>
  </si>
  <si>
    <t>W18x211</t>
  </si>
  <si>
    <t>W18x234</t>
  </si>
  <si>
    <t>W10x60</t>
  </si>
  <si>
    <t>W10x68</t>
  </si>
  <si>
    <t>W10x77</t>
  </si>
  <si>
    <t>W10x88</t>
  </si>
  <si>
    <t>W10x100</t>
  </si>
  <si>
    <t>W10x112</t>
  </si>
  <si>
    <t>W12x14</t>
  </si>
  <si>
    <t>W12x16</t>
  </si>
  <si>
    <t>W12x19</t>
  </si>
  <si>
    <t>W12x22</t>
  </si>
  <si>
    <t>W12x26</t>
  </si>
  <si>
    <t>W21x223</t>
  </si>
  <si>
    <t>W21x248</t>
  </si>
  <si>
    <t>W21x275</t>
  </si>
  <si>
    <t>W21x300</t>
  </si>
  <si>
    <t>W21x333</t>
  </si>
  <si>
    <t>W21x364</t>
  </si>
  <si>
    <t>W8x48</t>
  </si>
  <si>
    <t>W8x58</t>
  </si>
  <si>
    <t>W8x67</t>
  </si>
  <si>
    <t>W10x12</t>
  </si>
  <si>
    <t>W18x106</t>
  </si>
  <si>
    <t>W18x119</t>
  </si>
  <si>
    <t>W18x130</t>
  </si>
  <si>
    <t>W18x143</t>
  </si>
  <si>
    <t>W18x158</t>
  </si>
  <si>
    <t>W18x175</t>
  </si>
  <si>
    <t>W30x211</t>
  </si>
  <si>
    <t>yc =</t>
  </si>
  <si>
    <t>W40x174</t>
  </si>
  <si>
    <t>W40x277</t>
  </si>
  <si>
    <t>W40x297</t>
  </si>
  <si>
    <t>W40x298</t>
  </si>
  <si>
    <t>W40x324</t>
  </si>
  <si>
    <t>W40x328</t>
  </si>
  <si>
    <t>W40x362</t>
  </si>
  <si>
    <t>W40x397</t>
  </si>
  <si>
    <t>W40x436</t>
  </si>
  <si>
    <t>W40x480</t>
  </si>
  <si>
    <t>Beam and Girder Data:</t>
  </si>
  <si>
    <t>Min. Beam Web Thickness, tmin1 =</t>
  </si>
  <si>
    <t>Min. Support Thickness, tmin2 =</t>
  </si>
  <si>
    <t>L:</t>
  </si>
  <si>
    <t xml:space="preserve">  Connection to Support:</t>
  </si>
  <si>
    <t>Lc =</t>
  </si>
  <si>
    <t>L</t>
  </si>
  <si>
    <t>L = 4</t>
  </si>
  <si>
    <t>L = 6</t>
  </si>
  <si>
    <t>L = 7</t>
  </si>
  <si>
    <t>L = 9</t>
  </si>
  <si>
    <t>L = 10</t>
  </si>
  <si>
    <t>R(weld A) =</t>
  </si>
  <si>
    <t>R(weld B) =</t>
  </si>
  <si>
    <t>L = 12</t>
  </si>
  <si>
    <t>L = 22</t>
  </si>
  <si>
    <t>L = 24</t>
  </si>
  <si>
    <t>L = 26</t>
  </si>
  <si>
    <t>L = 28</t>
  </si>
  <si>
    <t>L = 14</t>
  </si>
  <si>
    <t>L = 16</t>
  </si>
  <si>
    <t>L = 18</t>
  </si>
  <si>
    <t>L = 20</t>
  </si>
  <si>
    <t>Based on Weld "A"</t>
  </si>
  <si>
    <t>Based on Weld "B"</t>
  </si>
  <si>
    <t>3 or 4</t>
  </si>
  <si>
    <r>
      <t xml:space="preserve">1. </t>
    </r>
    <r>
      <rPr>
        <u val="single"/>
        <sz val="10"/>
        <color indexed="8"/>
        <rFont val="Arial"/>
        <family val="2"/>
      </rPr>
      <t>Connection to Support:</t>
    </r>
  </si>
  <si>
    <t>Lc = 3" if L &lt; 18" or Lc = 4" if L &gt;= 18"</t>
  </si>
  <si>
    <r>
      <t>Rwr = (2*0.928*16*</t>
    </r>
    <r>
      <rPr>
        <sz val="10"/>
        <rFont val="Symbol"/>
        <family val="1"/>
      </rPr>
      <t>w</t>
    </r>
    <r>
      <rPr>
        <sz val="10"/>
        <rFont val="Arial"/>
        <family val="0"/>
      </rPr>
      <t>*L)/(SQRT(1+(12.96*Lc^2 / L^2)))</t>
    </r>
  </si>
  <si>
    <r>
      <t xml:space="preserve">2. </t>
    </r>
    <r>
      <rPr>
        <u val="single"/>
        <sz val="10"/>
        <color indexed="8"/>
        <rFont val="Arial"/>
        <family val="2"/>
      </rPr>
      <t>Clip Angle to Beam "C-Shaped" Weld (using AISC Table 8-8, page 8-90):</t>
    </r>
  </si>
  <si>
    <t>w18x50</t>
  </si>
  <si>
    <t xml:space="preserve">  Clip Angle Bending (from axial load):</t>
  </si>
  <si>
    <t>fb = (P*(2*Lc+tw)/4) / (L*ta^2 / 6)</t>
  </si>
  <si>
    <t>Fb = (1.5/1.67)*Fya</t>
  </si>
  <si>
    <t>Clip Angles to Beam Web (continued):</t>
  </si>
  <si>
    <t>Rwc =</t>
  </si>
  <si>
    <r>
      <t>tmin = 3.09*16*</t>
    </r>
    <r>
      <rPr>
        <sz val="10"/>
        <rFont val="Symbol"/>
        <family val="1"/>
      </rPr>
      <t>w</t>
    </r>
    <r>
      <rPr>
        <sz val="10"/>
        <rFont val="Arial"/>
        <family val="0"/>
      </rPr>
      <t xml:space="preserve"> / Fuc</t>
    </r>
  </si>
  <si>
    <r>
      <t>tmin = 6.19*16*</t>
    </r>
    <r>
      <rPr>
        <sz val="10"/>
        <rFont val="Symbol"/>
        <family val="1"/>
      </rPr>
      <t>w</t>
    </r>
    <r>
      <rPr>
        <sz val="10"/>
        <rFont val="Arial"/>
        <family val="0"/>
      </rPr>
      <t xml:space="preserve"> / Fuc</t>
    </r>
  </si>
  <si>
    <r>
      <t>tmin = 6.19*16*</t>
    </r>
    <r>
      <rPr>
        <sz val="10"/>
        <color indexed="12"/>
        <rFont val="Symbol"/>
        <family val="1"/>
      </rPr>
      <t>w</t>
    </r>
    <r>
      <rPr>
        <sz val="10"/>
        <color indexed="12"/>
        <rFont val="Arial"/>
        <family val="2"/>
      </rPr>
      <t xml:space="preserve"> / Fuc</t>
    </r>
  </si>
  <si>
    <t>C15X50</t>
  </si>
  <si>
    <t>C15X40</t>
  </si>
  <si>
    <t>C15X33.9</t>
  </si>
  <si>
    <t>C12X30</t>
  </si>
  <si>
    <t>C12X25</t>
  </si>
  <si>
    <t>C12X20.7</t>
  </si>
  <si>
    <t>C10X30</t>
  </si>
  <si>
    <t>C10X25</t>
  </si>
  <si>
    <t>C10X20</t>
  </si>
  <si>
    <t>C10X15.3</t>
  </si>
  <si>
    <t>C9X20</t>
  </si>
  <si>
    <t>C9X15</t>
  </si>
  <si>
    <t>C9X13.4</t>
  </si>
  <si>
    <t>C8X18.75</t>
  </si>
  <si>
    <t>C8X13.7</t>
  </si>
  <si>
    <t>C8X11.5</t>
  </si>
  <si>
    <t>C7X14.7</t>
  </si>
  <si>
    <t>C7X12.2</t>
  </si>
  <si>
    <t>C7X9.8</t>
  </si>
  <si>
    <t>C6X13</t>
  </si>
  <si>
    <t>C6X10.5</t>
  </si>
  <si>
    <t>C6X8.2</t>
  </si>
  <si>
    <t>C5X9</t>
  </si>
  <si>
    <t>C5X6.7</t>
  </si>
  <si>
    <t>C4X7.2</t>
  </si>
  <si>
    <t>C4X5.4</t>
  </si>
  <si>
    <t>C4X4.5</t>
  </si>
  <si>
    <t>C3X6</t>
  </si>
  <si>
    <t>C3X5</t>
  </si>
  <si>
    <t>C3X4.1</t>
  </si>
  <si>
    <t>C3X3.5</t>
  </si>
  <si>
    <t>MC18X58</t>
  </si>
  <si>
    <t>MC18X51.9</t>
  </si>
  <si>
    <t>MC18X45.8</t>
  </si>
  <si>
    <t>MC18X42.7</t>
  </si>
  <si>
    <t>MC13X50</t>
  </si>
  <si>
    <t>MC13X40</t>
  </si>
  <si>
    <t>MC13X35</t>
  </si>
  <si>
    <t>MC13X31.8</t>
  </si>
  <si>
    <t>MC12X50</t>
  </si>
  <si>
    <t>MC12X45</t>
  </si>
  <si>
    <t>MC12X40</t>
  </si>
  <si>
    <t>MC12X35</t>
  </si>
  <si>
    <t>MC12X31</t>
  </si>
  <si>
    <t>MC12X10.6</t>
  </si>
  <si>
    <t>MC10X41.1</t>
  </si>
  <si>
    <t>MC10X33.6</t>
  </si>
  <si>
    <t>MC10X28.5</t>
  </si>
  <si>
    <t>MC10X25</t>
  </si>
  <si>
    <t>MC10X22</t>
  </si>
  <si>
    <t>MC10X8.4</t>
  </si>
  <si>
    <t>MC10X6.5</t>
  </si>
  <si>
    <t>MC9X25.4</t>
  </si>
  <si>
    <t>MC9X23.9</t>
  </si>
  <si>
    <t>MC8X22.8</t>
  </si>
  <si>
    <t>MC8X21.4</t>
  </si>
  <si>
    <t>MC8X20</t>
  </si>
  <si>
    <t>MC8X18.7</t>
  </si>
  <si>
    <t>MC8X8.5</t>
  </si>
  <si>
    <t>MC7X22.7</t>
  </si>
  <si>
    <t>MC7X19.1</t>
  </si>
  <si>
    <t>MC6X18</t>
  </si>
  <si>
    <t>MC6X15.3</t>
  </si>
  <si>
    <t>MC6X16.3</t>
  </si>
  <si>
    <t>MC6X15.1</t>
  </si>
  <si>
    <t>MC6X12</t>
  </si>
  <si>
    <t>MC6X7</t>
  </si>
  <si>
    <t>MC6X6.5</t>
  </si>
  <si>
    <t>MC4X13.8</t>
  </si>
  <si>
    <t>MC3X7.1</t>
  </si>
  <si>
    <t>Version 1.1</t>
  </si>
  <si>
    <t>Database (2005) and AISC 13th Edition Manual (2005)</t>
  </si>
  <si>
    <t>W Section Properties from AISC Version 13.0 CD</t>
  </si>
  <si>
    <t>Avn = not applicable for uncoped beam</t>
  </si>
  <si>
    <t>Fbc = (1/2)*Fub*(1-P/(0.60*Fy*Atg))</t>
  </si>
  <si>
    <t>Version 1.2</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</si>
</sst>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quot;$&quot;#,##0\ ;\(&quot;$&quot;#,##0\)"/>
    <numFmt numFmtId="168" formatCode="mm/dd/yyyy"/>
    <numFmt numFmtId="169" formatCode="m/d/yy\ h:mm\ AM/PM"/>
    <numFmt numFmtId="170" formatCode="#\ ?/16\ &quot;in.&quot;"/>
    <numFmt numFmtId="171" formatCode="0.000E+00"/>
    <numFmt numFmtId="172" formatCode="0.00000"/>
    <numFmt numFmtId="173" formatCode="0.000_)"/>
    <numFmt numFmtId="174" formatCode=".00"/>
    <numFmt numFmtId="175" formatCode="[$-409]dddd\,\ mmmm\ dd\,\ yyyy"/>
    <numFmt numFmtId="176" formatCode="0.0000000"/>
    <numFmt numFmtId="177" formatCode="0.000000"/>
    <numFmt numFmtId="178" formatCode="0.00000000"/>
    <numFmt numFmtId="179" formatCode="0.000000000"/>
    <numFmt numFmtId="180" formatCode="00000"/>
    <numFmt numFmtId="181" formatCode="0.0000000000"/>
    <numFmt numFmtId="182" formatCode="0.000000000000"/>
    <numFmt numFmtId="183" formatCode="0.00000000000000000"/>
    <numFmt numFmtId="184" formatCode="0.0000000000000000"/>
    <numFmt numFmtId="185" formatCode="0.000000000000000000"/>
    <numFmt numFmtId="186" formatCode="0.0000000000000000000"/>
    <numFmt numFmtId="187" formatCode="0.000000000000000"/>
    <numFmt numFmtId="188" formatCode="0.00000000000000"/>
    <numFmt numFmtId="189" formatCode="0.0000000000000"/>
    <numFmt numFmtId="190" formatCode="0.00000000000"/>
    <numFmt numFmtId="191" formatCode="&quot;$&quot;#,##0\ ;[Red]\(&quot;$&quot;#,##0\)"/>
    <numFmt numFmtId="192" formatCode="&quot;$&quot;#,##0.00\ ;\(&quot;$&quot;#,##0.00\)"/>
    <numFmt numFmtId="193" formatCode="&quot;$&quot;#,##0.00\ ;[Red]\(&quot;$&quot;#,##0.00\)"/>
    <numFmt numFmtId="194" formatCode="m/d"/>
    <numFmt numFmtId="195" formatCode="mm/dd/yy"/>
    <numFmt numFmtId="196" formatCode="dd\-mmm\-yy"/>
    <numFmt numFmtId="197" formatCode="dd\-mmm"/>
    <numFmt numFmtId="198" formatCode="mm/dd/yy\ h:mm"/>
    <numFmt numFmtId="199" formatCode="0.0000E+00"/>
    <numFmt numFmtId="200" formatCode="0.00_)"/>
    <numFmt numFmtId="201" formatCode="0;[Red]0"/>
    <numFmt numFmtId="202" formatCode="#\ ?/4"/>
    <numFmt numFmtId="203" formatCode="&quot;£&quot;#,##0;\-&quot;£&quot;#,##0"/>
    <numFmt numFmtId="204" formatCode="&quot;£&quot;#,##0;[Red]\-&quot;£&quot;#,##0"/>
    <numFmt numFmtId="205" formatCode="&quot;£&quot;#,##0.00;\-&quot;£&quot;#,##0.00"/>
    <numFmt numFmtId="206" formatCode="&quot;£&quot;#,##0.00;[Red]\-&quot;£&quot;#,##0.00"/>
    <numFmt numFmtId="207" formatCode="_-&quot;£&quot;* #,##0_-;\-&quot;£&quot;* #,##0_-;_-&quot;£&quot;* &quot;-&quot;_-;_-@_-"/>
    <numFmt numFmtId="208" formatCode="_-* #,##0_-;\-* #,##0_-;_-* &quot;-&quot;_-;_-@_-"/>
    <numFmt numFmtId="209" formatCode="_-&quot;£&quot;* #,##0.00_-;\-&quot;£&quot;* #,##0.00_-;_-&quot;£&quot;* &quot;-&quot;??_-;_-@_-"/>
    <numFmt numFmtId="210" formatCode="_-* #,##0.00_-;\-* #,##0.00_-;_-* &quot;-&quot;??_-;_-@_-"/>
    <numFmt numFmtId="211" formatCode="0\ &quot;ksi&quot;"/>
    <numFmt numFmtId="212" formatCode="#\ ?/8"/>
    <numFmt numFmtId="213" formatCode="#\ ?/8\ &quot;in.&quot;"/>
    <numFmt numFmtId="214" formatCode="#\ ?/2\ &quot;in.&quot;"/>
    <numFmt numFmtId="215" formatCode="#\ ?/4\ &quot;in.&quot;"/>
    <numFmt numFmtId="216" formatCode="0\ &quot;in.&quot;"/>
    <numFmt numFmtId="217" formatCode="_(* #,##0.000_);_(* \(#,##0.000\);_(* &quot;-&quot;??_);_(@_)"/>
    <numFmt numFmtId="218" formatCode="0.0%"/>
    <numFmt numFmtId="219" formatCode="&quot;k =&quot;\ 0.000"/>
  </numFmts>
  <fonts count="80">
    <font>
      <sz val="10"/>
      <name val="Arial"/>
      <family val="0"/>
    </font>
    <font>
      <b/>
      <sz val="12"/>
      <name val="Arial"/>
      <family val="2"/>
    </font>
    <font>
      <b/>
      <sz val="10"/>
      <name val="Arial"/>
      <family val="2"/>
    </font>
    <font>
      <u val="single"/>
      <sz val="10"/>
      <color indexed="12"/>
      <name val="Arial"/>
      <family val="2"/>
    </font>
    <font>
      <b/>
      <sz val="10"/>
      <color indexed="10"/>
      <name val="Arial"/>
      <family val="2"/>
    </font>
    <font>
      <sz val="10"/>
      <color indexed="12"/>
      <name val="Arial"/>
      <family val="2"/>
    </font>
    <font>
      <b/>
      <sz val="10"/>
      <color indexed="12"/>
      <name val="Arial"/>
      <family val="2"/>
    </font>
    <font>
      <sz val="8"/>
      <color indexed="8"/>
      <name val="Arial"/>
      <family val="2"/>
    </font>
    <font>
      <sz val="10"/>
      <color indexed="8"/>
      <name val="Arial"/>
      <family val="2"/>
    </font>
    <font>
      <b/>
      <u val="single"/>
      <sz val="10"/>
      <name val="Arial"/>
      <family val="2"/>
    </font>
    <font>
      <b/>
      <sz val="10"/>
      <color indexed="8"/>
      <name val="Arial"/>
      <family val="2"/>
    </font>
    <font>
      <b/>
      <u val="single"/>
      <sz val="10"/>
      <color indexed="8"/>
      <name val="Arial"/>
      <family val="2"/>
    </font>
    <font>
      <sz val="10"/>
      <color indexed="8"/>
      <name val="Symbol"/>
      <family val="1"/>
    </font>
    <font>
      <sz val="10"/>
      <name val="Symbol"/>
      <family val="1"/>
    </font>
    <font>
      <sz val="8"/>
      <name val="Tahoma"/>
      <family val="2"/>
    </font>
    <font>
      <sz val="10"/>
      <color indexed="24"/>
      <name val="Arial"/>
      <family val="2"/>
    </font>
    <font>
      <b/>
      <sz val="18"/>
      <color indexed="24"/>
      <name val="Arial"/>
      <family val="2"/>
    </font>
    <font>
      <b/>
      <sz val="12"/>
      <color indexed="24"/>
      <name val="Arial"/>
      <family val="2"/>
    </font>
    <font>
      <sz val="10"/>
      <color indexed="12"/>
      <name val="Symbol"/>
      <family val="1"/>
    </font>
    <font>
      <u val="single"/>
      <sz val="10"/>
      <name val="Arial"/>
      <family val="2"/>
    </font>
    <font>
      <sz val="10"/>
      <color indexed="10"/>
      <name val="Arial"/>
      <family val="2"/>
    </font>
    <font>
      <b/>
      <sz val="8"/>
      <color indexed="12"/>
      <name val="Arial"/>
      <family val="2"/>
    </font>
    <font>
      <sz val="8"/>
      <color indexed="12"/>
      <name val="Arial"/>
      <family val="2"/>
    </font>
    <font>
      <sz val="10"/>
      <color indexed="43"/>
      <name val="Arial"/>
      <family val="2"/>
    </font>
    <font>
      <b/>
      <sz val="8"/>
      <name val="Tahoma"/>
      <family val="2"/>
    </font>
    <font>
      <b/>
      <u val="single"/>
      <sz val="8"/>
      <name val="Tahoma"/>
      <family val="2"/>
    </font>
    <font>
      <sz val="9"/>
      <color indexed="12"/>
      <name val="Arial"/>
      <family val="2"/>
    </font>
    <font>
      <b/>
      <u val="single"/>
      <sz val="10"/>
      <color indexed="12"/>
      <name val="Arial"/>
      <family val="2"/>
    </font>
    <font>
      <sz val="9"/>
      <color indexed="12"/>
      <name val="Symbol"/>
      <family val="1"/>
    </font>
    <font>
      <sz val="8"/>
      <name val="Arial"/>
      <family val="2"/>
    </font>
    <font>
      <b/>
      <i/>
      <sz val="9"/>
      <color indexed="12"/>
      <name val="Arial"/>
      <family val="2"/>
    </font>
    <font>
      <b/>
      <sz val="8"/>
      <color indexed="8"/>
      <name val="Arial"/>
      <family val="2"/>
    </font>
    <font>
      <sz val="8"/>
      <color indexed="10"/>
      <name val="Arial"/>
      <family val="2"/>
    </font>
    <font>
      <u val="single"/>
      <sz val="10"/>
      <color indexed="36"/>
      <name val="Arial"/>
      <family val="2"/>
    </font>
    <font>
      <b/>
      <u val="single"/>
      <sz val="8"/>
      <color indexed="12"/>
      <name val="Arial"/>
      <family val="2"/>
    </font>
    <font>
      <u val="single"/>
      <sz val="10"/>
      <color indexed="9"/>
      <name val="Arial"/>
      <family val="2"/>
    </font>
    <font>
      <u val="single"/>
      <sz val="10"/>
      <color indexed="8"/>
      <name val="Arial"/>
      <family val="2"/>
    </font>
    <font>
      <sz val="8"/>
      <color indexed="9"/>
      <name val="Arial"/>
      <family val="2"/>
    </font>
    <font>
      <sz val="10"/>
      <color indexed="9"/>
      <name val="Arial"/>
      <family val="2"/>
    </font>
    <font>
      <i/>
      <sz val="10"/>
      <color indexed="8"/>
      <name val="Arial"/>
      <family val="2"/>
    </font>
    <font>
      <i/>
      <sz val="10"/>
      <color indexed="10"/>
      <name val="Arial"/>
      <family val="2"/>
    </font>
    <font>
      <b/>
      <u val="single"/>
      <sz val="9"/>
      <color indexed="8"/>
      <name val="Arial"/>
      <family val="2"/>
    </font>
    <font>
      <b/>
      <u val="single"/>
      <sz val="12"/>
      <name val="Arial"/>
      <family val="2"/>
    </font>
    <font>
      <sz val="9"/>
      <name val="Arial"/>
      <family val="2"/>
    </font>
    <font>
      <b/>
      <sz val="9"/>
      <name val="Arial"/>
      <family val="2"/>
    </font>
    <font>
      <sz val="9"/>
      <color indexed="8"/>
      <name val="Arial"/>
      <family val="2"/>
    </font>
    <font>
      <b/>
      <i/>
      <sz val="10"/>
      <color indexed="10"/>
      <name val="Arial"/>
      <family val="2"/>
    </font>
    <font>
      <b/>
      <i/>
      <u val="single"/>
      <sz val="10"/>
      <color indexed="10"/>
      <name val="Arial"/>
      <family val="2"/>
    </font>
    <font>
      <u val="single"/>
      <sz val="10"/>
      <color indexed="10"/>
      <name val="Arial"/>
      <family val="2"/>
    </font>
    <font>
      <b/>
      <sz val="8"/>
      <name val="Arial"/>
      <family val="2"/>
    </font>
    <font>
      <sz val="9"/>
      <name val="Symbol"/>
      <family val="1"/>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color indexed="22"/>
      </top>
      <bottom style="thin">
        <color indexed="22"/>
      </bottom>
    </border>
    <border>
      <left style="thin"/>
      <right style="thin"/>
      <top style="thin">
        <color indexed="22"/>
      </top>
      <bottom style="thin"/>
    </border>
    <border>
      <left style="thin"/>
      <right style="thin"/>
      <top style="thin"/>
      <bottom style="thin">
        <color indexed="22"/>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22"/>
      </left>
      <right style="thin">
        <color indexed="22"/>
      </right>
      <top style="thin"/>
      <bottom style="thin">
        <color indexed="22"/>
      </bottom>
    </border>
    <border>
      <left style="thin">
        <color indexed="22"/>
      </left>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color indexed="22"/>
      </right>
      <top style="thin">
        <color indexed="22"/>
      </top>
      <bottom style="thin"/>
    </border>
    <border>
      <left style="thin">
        <color indexed="22"/>
      </left>
      <right style="thin"/>
      <top style="thin">
        <color indexed="22"/>
      </top>
      <bottom style="thin"/>
    </border>
    <border>
      <left>
        <color indexed="63"/>
      </left>
      <right style="thin">
        <color indexed="22"/>
      </right>
      <top style="thin">
        <color indexed="22"/>
      </top>
      <bottom style="thin">
        <color indexed="22"/>
      </bottom>
    </border>
    <border>
      <left>
        <color indexed="63"/>
      </left>
      <right style="thin">
        <color indexed="22"/>
      </right>
      <top style="thin">
        <color indexed="22"/>
      </top>
      <bottom style="thin"/>
    </border>
    <border>
      <left style="thin">
        <color indexed="22"/>
      </left>
      <right style="thin">
        <color indexed="22"/>
      </right>
      <top>
        <color indexed="63"/>
      </top>
      <bottom style="thin">
        <color indexed="22"/>
      </bottom>
    </border>
    <border>
      <left style="thin"/>
      <right style="thin"/>
      <top>
        <color indexed="63"/>
      </top>
      <bottom style="thin">
        <color indexed="22"/>
      </bottom>
    </border>
    <border>
      <left style="thin"/>
      <right style="thin"/>
      <top style="thin"/>
      <bottom>
        <color indexed="63"/>
      </bottom>
    </border>
    <border>
      <left>
        <color indexed="63"/>
      </left>
      <right style="thin">
        <color indexed="22"/>
      </right>
      <top style="thin"/>
      <bottom style="thin">
        <color indexed="22"/>
      </bottom>
    </border>
    <border>
      <left style="thin">
        <color indexed="22"/>
      </left>
      <right style="thin"/>
      <top style="thin"/>
      <bottom style="thin">
        <color indexed="22"/>
      </bottom>
    </border>
    <border>
      <left>
        <color indexed="63"/>
      </left>
      <right style="thin">
        <color indexed="22"/>
      </right>
      <top>
        <color indexed="63"/>
      </top>
      <bottom style="thin">
        <color indexed="22"/>
      </bottom>
    </border>
    <border>
      <left style="thin">
        <color indexed="22"/>
      </left>
      <right style="thin"/>
      <top>
        <color indexed="63"/>
      </top>
      <bottom style="thin">
        <color indexed="22"/>
      </bottom>
    </border>
    <border>
      <left style="thin"/>
      <right>
        <color indexed="63"/>
      </right>
      <top style="thin"/>
      <bottom style="thin">
        <color indexed="22"/>
      </bottom>
    </border>
    <border>
      <left style="thin"/>
      <right style="thin">
        <color indexed="22"/>
      </right>
      <top style="thin"/>
      <bottom style="thin">
        <color indexed="22"/>
      </bottom>
    </border>
    <border>
      <left style="thin">
        <color indexed="22"/>
      </left>
      <right>
        <color indexed="63"/>
      </right>
      <top style="thin"/>
      <bottom style="thin">
        <color indexed="22"/>
      </bottom>
    </border>
    <border>
      <left style="thin"/>
      <right>
        <color indexed="63"/>
      </right>
      <top>
        <color indexed="63"/>
      </top>
      <bottom style="thin">
        <color indexed="22"/>
      </bottom>
    </border>
    <border>
      <left style="thin"/>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style="thin"/>
      <right>
        <color indexed="63"/>
      </right>
      <top style="thin">
        <color indexed="22"/>
      </top>
      <bottom style="thin">
        <color indexed="22"/>
      </bottom>
    </border>
    <border>
      <left>
        <color indexed="63"/>
      </left>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style="thin"/>
      <top style="thin">
        <color indexed="22"/>
      </top>
      <bottom>
        <color indexed="63"/>
      </bottom>
    </border>
    <border>
      <left style="thin">
        <color indexed="22"/>
      </left>
      <right>
        <color indexed="63"/>
      </right>
      <top>
        <color indexed="63"/>
      </top>
      <bottom style="thin">
        <color indexed="22"/>
      </bottom>
    </border>
    <border>
      <left style="thin"/>
      <right>
        <color indexed="63"/>
      </right>
      <top style="thin">
        <color indexed="22"/>
      </top>
      <bottom style="thin"/>
    </border>
    <border>
      <left style="thin"/>
      <right style="thin">
        <color indexed="22"/>
      </right>
      <top style="thin">
        <color indexed="22"/>
      </top>
      <bottom style="thin"/>
    </border>
    <border>
      <left style="thin">
        <color indexed="22"/>
      </left>
      <right>
        <color indexed="63"/>
      </right>
      <top style="thin">
        <color indexed="22"/>
      </top>
      <bottom style="thin"/>
    </border>
    <border>
      <left style="thin"/>
      <right style="thin">
        <color indexed="22"/>
      </right>
      <top>
        <color indexed="63"/>
      </top>
      <bottom style="thin">
        <color indexed="22"/>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style="thin"/>
      <top style="thin"/>
      <bottom style="thin"/>
    </border>
    <border>
      <left style="thin"/>
      <right style="thin"/>
      <top style="thin">
        <color indexed="22"/>
      </top>
      <bottom>
        <color indexed="63"/>
      </bottom>
    </border>
    <border>
      <left>
        <color indexed="63"/>
      </left>
      <right style="thin"/>
      <top style="thin">
        <color indexed="22"/>
      </top>
      <bottom style="thin"/>
    </border>
    <border>
      <left>
        <color indexed="63"/>
      </left>
      <right style="thin"/>
      <top style="thin"/>
      <bottom style="thin">
        <color indexed="22"/>
      </bottom>
    </border>
    <border>
      <left>
        <color indexed="63"/>
      </left>
      <right style="thin"/>
      <top style="thin">
        <color indexed="22"/>
      </top>
      <bottom style="thin">
        <color indexed="22"/>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0"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1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15" fillId="0" borderId="0" applyFont="0" applyFill="0" applyBorder="0" applyAlignment="0" applyProtection="0"/>
    <xf numFmtId="0" fontId="15" fillId="0" borderId="0" applyFont="0" applyFill="0" applyBorder="0" applyAlignment="0" applyProtection="0"/>
    <xf numFmtId="0" fontId="71" fillId="0" borderId="0" applyNumberFormat="0" applyFill="0" applyBorder="0" applyAlignment="0" applyProtection="0"/>
    <xf numFmtId="2" fontId="15" fillId="0" borderId="0" applyFont="0" applyFill="0" applyBorder="0" applyAlignment="0" applyProtection="0"/>
    <xf numFmtId="0" fontId="33" fillId="0" borderId="0" applyNumberFormat="0" applyFill="0" applyBorder="0" applyAlignment="0" applyProtection="0"/>
    <xf numFmtId="0" fontId="72" fillId="28"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73" fillId="0" borderId="3" applyNumberFormat="0" applyFill="0" applyAlignment="0" applyProtection="0"/>
    <xf numFmtId="0" fontId="73" fillId="0" borderId="0" applyNumberFormat="0" applyFill="0" applyBorder="0" applyAlignment="0" applyProtection="0"/>
    <xf numFmtId="0" fontId="3" fillId="0" borderId="0" applyNumberFormat="0" applyFill="0" applyBorder="0" applyAlignment="0" applyProtection="0"/>
    <xf numFmtId="0" fontId="74" fillId="29" borderId="1" applyNumberFormat="0" applyAlignment="0" applyProtection="0"/>
    <xf numFmtId="0" fontId="75" fillId="0" borderId="4" applyNumberFormat="0" applyFill="0" applyAlignment="0" applyProtection="0"/>
    <xf numFmtId="0" fontId="76" fillId="30" borderId="0" applyNumberFormat="0" applyBorder="0" applyAlignment="0" applyProtection="0"/>
    <xf numFmtId="0" fontId="0" fillId="31" borderId="5" applyNumberFormat="0" applyFont="0" applyAlignment="0" applyProtection="0"/>
    <xf numFmtId="0" fontId="77" fillId="26" borderId="6"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15" fillId="0" borderId="7" applyNumberFormat="0" applyFont="0" applyFill="0" applyAlignment="0" applyProtection="0"/>
    <xf numFmtId="0" fontId="79" fillId="0" borderId="0" applyNumberFormat="0" applyFill="0" applyBorder="0" applyAlignment="0" applyProtection="0"/>
  </cellStyleXfs>
  <cellXfs count="639">
    <xf numFmtId="0" fontId="0" fillId="0" borderId="0" xfId="0" applyAlignment="1">
      <alignment/>
    </xf>
    <xf numFmtId="0" fontId="0" fillId="32" borderId="0" xfId="0" applyFill="1" applyBorder="1" applyAlignment="1" applyProtection="1">
      <alignment horizontal="centerContinuous"/>
      <protection hidden="1"/>
    </xf>
    <xf numFmtId="0" fontId="8" fillId="32" borderId="0" xfId="0" applyFont="1" applyFill="1" applyBorder="1" applyAlignment="1" applyProtection="1">
      <alignment horizontal="centerContinuous"/>
      <protection hidden="1"/>
    </xf>
    <xf numFmtId="2" fontId="5" fillId="32" borderId="0" xfId="0" applyNumberFormat="1" applyFont="1" applyFill="1" applyBorder="1" applyAlignment="1" applyProtection="1">
      <alignment horizontal="center"/>
      <protection hidden="1"/>
    </xf>
    <xf numFmtId="2" fontId="8" fillId="32" borderId="0" xfId="0" applyNumberFormat="1" applyFont="1" applyFill="1" applyBorder="1" applyAlignment="1" applyProtection="1">
      <alignment horizontal="center"/>
      <protection hidden="1"/>
    </xf>
    <xf numFmtId="2" fontId="8" fillId="32" borderId="0" xfId="0" applyNumberFormat="1" applyFont="1" applyFill="1" applyBorder="1" applyAlignment="1" applyProtection="1">
      <alignment horizontal="left"/>
      <protection hidden="1"/>
    </xf>
    <xf numFmtId="166" fontId="5" fillId="32" borderId="0" xfId="0" applyNumberFormat="1" applyFont="1" applyFill="1" applyBorder="1" applyAlignment="1" applyProtection="1">
      <alignment horizontal="center"/>
      <protection hidden="1"/>
    </xf>
    <xf numFmtId="0" fontId="8" fillId="32" borderId="0" xfId="0" applyFont="1" applyFill="1" applyBorder="1" applyAlignment="1" applyProtection="1">
      <alignment horizontal="center"/>
      <protection hidden="1"/>
    </xf>
    <xf numFmtId="165" fontId="5" fillId="32" borderId="0" xfId="0" applyNumberFormat="1" applyFont="1" applyFill="1" applyBorder="1" applyAlignment="1" applyProtection="1">
      <alignment horizontal="center"/>
      <protection hidden="1"/>
    </xf>
    <xf numFmtId="0" fontId="0" fillId="32" borderId="0" xfId="0" applyFill="1" applyAlignment="1" applyProtection="1">
      <alignment/>
      <protection hidden="1"/>
    </xf>
    <xf numFmtId="0" fontId="0" fillId="32" borderId="0" xfId="0" applyFill="1" applyBorder="1" applyAlignment="1" applyProtection="1">
      <alignment/>
      <protection hidden="1"/>
    </xf>
    <xf numFmtId="0" fontId="9" fillId="32" borderId="8" xfId="0" applyFont="1" applyFill="1" applyBorder="1" applyAlignment="1" applyProtection="1">
      <alignment/>
      <protection hidden="1"/>
    </xf>
    <xf numFmtId="0" fontId="0" fillId="32" borderId="9" xfId="0" applyFill="1" applyBorder="1" applyAlignment="1" applyProtection="1">
      <alignment horizontal="centerContinuous"/>
      <protection hidden="1"/>
    </xf>
    <xf numFmtId="0" fontId="26" fillId="32" borderId="0" xfId="0" applyFont="1" applyFill="1" applyBorder="1" applyAlignment="1" applyProtection="1">
      <alignment/>
      <protection hidden="1"/>
    </xf>
    <xf numFmtId="0" fontId="0" fillId="32" borderId="9" xfId="0" applyFill="1" applyBorder="1" applyAlignment="1" applyProtection="1">
      <alignment/>
      <protection hidden="1"/>
    </xf>
    <xf numFmtId="0" fontId="26" fillId="32" borderId="0" xfId="0" applyFont="1" applyFill="1" applyBorder="1" applyAlignment="1" applyProtection="1">
      <alignment horizontal="left"/>
      <protection hidden="1"/>
    </xf>
    <xf numFmtId="0" fontId="0" fillId="32" borderId="0" xfId="0" applyFill="1" applyAlignment="1" applyProtection="1">
      <alignment horizontal="center"/>
      <protection hidden="1"/>
    </xf>
    <xf numFmtId="0" fontId="0" fillId="32" borderId="10" xfId="0" applyFill="1" applyBorder="1" applyAlignment="1" applyProtection="1">
      <alignment/>
      <protection hidden="1"/>
    </xf>
    <xf numFmtId="0" fontId="0" fillId="32" borderId="11" xfId="0" applyFill="1" applyBorder="1" applyAlignment="1" applyProtection="1">
      <alignment/>
      <protection hidden="1"/>
    </xf>
    <xf numFmtId="0" fontId="0" fillId="32" borderId="8" xfId="0" applyFill="1" applyBorder="1" applyAlignment="1" applyProtection="1">
      <alignment/>
      <protection hidden="1"/>
    </xf>
    <xf numFmtId="0" fontId="0" fillId="32" borderId="12" xfId="0" applyFill="1" applyBorder="1" applyAlignment="1" applyProtection="1">
      <alignment/>
      <protection hidden="1"/>
    </xf>
    <xf numFmtId="0" fontId="0" fillId="32" borderId="13" xfId="0" applyFill="1" applyBorder="1" applyAlignment="1" applyProtection="1">
      <alignment/>
      <protection hidden="1"/>
    </xf>
    <xf numFmtId="0" fontId="0" fillId="32" borderId="0" xfId="0" applyFont="1" applyFill="1" applyBorder="1" applyAlignment="1" applyProtection="1">
      <alignment horizontal="centerContinuous"/>
      <protection hidden="1"/>
    </xf>
    <xf numFmtId="0" fontId="5" fillId="32" borderId="0" xfId="0" applyFont="1" applyFill="1" applyBorder="1" applyAlignment="1" applyProtection="1">
      <alignment/>
      <protection hidden="1"/>
    </xf>
    <xf numFmtId="0" fontId="0" fillId="32" borderId="0" xfId="0" applyFont="1" applyFill="1" applyBorder="1" applyAlignment="1" applyProtection="1">
      <alignment/>
      <protection hidden="1"/>
    </xf>
    <xf numFmtId="0" fontId="5" fillId="32" borderId="0" xfId="0" applyFont="1" applyFill="1" applyBorder="1" applyAlignment="1" applyProtection="1">
      <alignment/>
      <protection hidden="1"/>
    </xf>
    <xf numFmtId="0" fontId="5" fillId="32" borderId="0" xfId="0" applyFont="1" applyFill="1" applyBorder="1" applyAlignment="1" applyProtection="1">
      <alignment horizontal="center"/>
      <protection hidden="1"/>
    </xf>
    <xf numFmtId="0" fontId="5" fillId="32" borderId="9" xfId="0" applyFont="1" applyFill="1" applyBorder="1" applyAlignment="1" applyProtection="1">
      <alignment/>
      <protection hidden="1"/>
    </xf>
    <xf numFmtId="0" fontId="26" fillId="32" borderId="0" xfId="0" applyFont="1" applyFill="1" applyBorder="1" applyAlignment="1" applyProtection="1">
      <alignment/>
      <protection hidden="1"/>
    </xf>
    <xf numFmtId="0" fontId="5" fillId="32" borderId="0" xfId="0" applyFont="1" applyFill="1" applyAlignment="1" applyProtection="1">
      <alignment/>
      <protection hidden="1"/>
    </xf>
    <xf numFmtId="0" fontId="3" fillId="32" borderId="0" xfId="0" applyFont="1" applyFill="1" applyBorder="1" applyAlignment="1" applyProtection="1">
      <alignment/>
      <protection hidden="1"/>
    </xf>
    <xf numFmtId="0" fontId="5" fillId="32" borderId="0" xfId="0" applyFont="1" applyFill="1" applyAlignment="1" applyProtection="1">
      <alignment horizontal="left"/>
      <protection hidden="1"/>
    </xf>
    <xf numFmtId="0" fontId="27" fillId="32" borderId="0" xfId="0" applyFont="1" applyFill="1" applyAlignment="1" applyProtection="1">
      <alignment/>
      <protection hidden="1"/>
    </xf>
    <xf numFmtId="0" fontId="5" fillId="32" borderId="0" xfId="0" applyFont="1" applyFill="1" applyAlignment="1" applyProtection="1">
      <alignment horizontal="right"/>
      <protection hidden="1"/>
    </xf>
    <xf numFmtId="0" fontId="5" fillId="32" borderId="0" xfId="0" applyFont="1" applyFill="1" applyAlignment="1" applyProtection="1">
      <alignment horizontal="center"/>
      <protection hidden="1"/>
    </xf>
    <xf numFmtId="0" fontId="8" fillId="32" borderId="0" xfId="0" applyFont="1" applyFill="1" applyAlignment="1" applyProtection="1">
      <alignment horizontal="center"/>
      <protection hidden="1"/>
    </xf>
    <xf numFmtId="0" fontId="6" fillId="32" borderId="0" xfId="0" applyFont="1" applyFill="1" applyAlignment="1" applyProtection="1">
      <alignment horizontal="center"/>
      <protection hidden="1"/>
    </xf>
    <xf numFmtId="0" fontId="5" fillId="32" borderId="0" xfId="0" applyFont="1" applyFill="1" applyBorder="1" applyAlignment="1" applyProtection="1">
      <alignment/>
      <protection hidden="1"/>
    </xf>
    <xf numFmtId="0" fontId="5" fillId="32" borderId="0" xfId="0" applyFont="1" applyFill="1" applyAlignment="1" applyProtection="1">
      <alignment horizontal="left"/>
      <protection hidden="1"/>
    </xf>
    <xf numFmtId="166" fontId="5" fillId="32" borderId="0" xfId="0" applyNumberFormat="1" applyFont="1" applyFill="1" applyAlignment="1" applyProtection="1">
      <alignment horizontal="center"/>
      <protection hidden="1"/>
    </xf>
    <xf numFmtId="0" fontId="5" fillId="32" borderId="0" xfId="0" applyNumberFormat="1" applyFont="1" applyFill="1" applyAlignment="1" applyProtection="1">
      <alignment horizontal="center"/>
      <protection hidden="1"/>
    </xf>
    <xf numFmtId="2" fontId="5" fillId="32" borderId="0" xfId="0" applyNumberFormat="1" applyFont="1" applyFill="1" applyAlignment="1" applyProtection="1">
      <alignment horizontal="center"/>
      <protection hidden="1"/>
    </xf>
    <xf numFmtId="166" fontId="5" fillId="32" borderId="0" xfId="0" applyNumberFormat="1" applyFont="1" applyFill="1" applyAlignment="1" applyProtection="1">
      <alignment/>
      <protection hidden="1"/>
    </xf>
    <xf numFmtId="166" fontId="5" fillId="32" borderId="0" xfId="0" applyNumberFormat="1" applyFont="1" applyFill="1" applyAlignment="1" applyProtection="1">
      <alignment horizontal="center"/>
      <protection hidden="1"/>
    </xf>
    <xf numFmtId="0" fontId="0" fillId="32" borderId="0" xfId="0" applyFill="1" applyBorder="1" applyAlignment="1" applyProtection="1">
      <alignment horizontal="right"/>
      <protection hidden="1"/>
    </xf>
    <xf numFmtId="0" fontId="8" fillId="32" borderId="0" xfId="0" applyFont="1" applyFill="1" applyBorder="1" applyAlignment="1" applyProtection="1">
      <alignment/>
      <protection hidden="1"/>
    </xf>
    <xf numFmtId="0" fontId="8" fillId="32" borderId="9" xfId="0" applyFont="1" applyFill="1" applyBorder="1" applyAlignment="1" applyProtection="1">
      <alignment/>
      <protection hidden="1"/>
    </xf>
    <xf numFmtId="166" fontId="8" fillId="32" borderId="0" xfId="0" applyNumberFormat="1" applyFont="1" applyFill="1" applyBorder="1" applyAlignment="1" applyProtection="1">
      <alignment horizontal="center"/>
      <protection hidden="1"/>
    </xf>
    <xf numFmtId="0" fontId="5" fillId="32" borderId="0" xfId="0" applyFont="1" applyFill="1" applyBorder="1" applyAlignment="1" applyProtection="1">
      <alignment horizontal="left"/>
      <protection hidden="1"/>
    </xf>
    <xf numFmtId="0" fontId="19" fillId="32" borderId="8" xfId="0" applyFont="1" applyFill="1" applyBorder="1" applyAlignment="1" applyProtection="1">
      <alignment/>
      <protection hidden="1"/>
    </xf>
    <xf numFmtId="0" fontId="5" fillId="32" borderId="0" xfId="0" applyFont="1" applyFill="1" applyAlignment="1" applyProtection="1">
      <alignment horizontal="right"/>
      <protection hidden="1"/>
    </xf>
    <xf numFmtId="0" fontId="0" fillId="32" borderId="8" xfId="0" applyFont="1" applyFill="1" applyBorder="1" applyAlignment="1" applyProtection="1">
      <alignment horizontal="right"/>
      <protection hidden="1"/>
    </xf>
    <xf numFmtId="0" fontId="8" fillId="32" borderId="0" xfId="0" applyFont="1" applyFill="1" applyBorder="1" applyAlignment="1" applyProtection="1">
      <alignment horizontal="left"/>
      <protection hidden="1"/>
    </xf>
    <xf numFmtId="0" fontId="2" fillId="32" borderId="8" xfId="0" applyFont="1" applyFill="1" applyBorder="1" applyAlignment="1" applyProtection="1">
      <alignment horizontal="left"/>
      <protection hidden="1"/>
    </xf>
    <xf numFmtId="0" fontId="8" fillId="32" borderId="9" xfId="0" applyFont="1" applyFill="1" applyBorder="1" applyAlignment="1" applyProtection="1">
      <alignment/>
      <protection hidden="1"/>
    </xf>
    <xf numFmtId="0" fontId="8" fillId="32" borderId="0" xfId="0" applyFont="1" applyFill="1" applyBorder="1" applyAlignment="1" applyProtection="1">
      <alignment/>
      <protection hidden="1"/>
    </xf>
    <xf numFmtId="0" fontId="10" fillId="32" borderId="0" xfId="0" applyFont="1" applyFill="1" applyBorder="1" applyAlignment="1" applyProtection="1">
      <alignment horizontal="left"/>
      <protection hidden="1"/>
    </xf>
    <xf numFmtId="0" fontId="5" fillId="32" borderId="0" xfId="0" applyFont="1" applyFill="1" applyAlignment="1" applyProtection="1">
      <alignment/>
      <protection hidden="1"/>
    </xf>
    <xf numFmtId="0" fontId="8" fillId="32" borderId="0" xfId="0" applyFont="1" applyFill="1" applyBorder="1" applyAlignment="1" applyProtection="1">
      <alignment horizontal="right"/>
      <protection hidden="1"/>
    </xf>
    <xf numFmtId="0" fontId="4" fillId="32" borderId="0" xfId="0" applyFont="1" applyFill="1" applyBorder="1" applyAlignment="1" applyProtection="1">
      <alignment/>
      <protection hidden="1"/>
    </xf>
    <xf numFmtId="0" fontId="5" fillId="32" borderId="0" xfId="0" applyFont="1" applyFill="1" applyBorder="1" applyAlignment="1" applyProtection="1">
      <alignment horizontal="right"/>
      <protection hidden="1"/>
    </xf>
    <xf numFmtId="2" fontId="5" fillId="32" borderId="0" xfId="0" applyNumberFormat="1" applyFont="1" applyFill="1" applyAlignment="1" applyProtection="1">
      <alignment horizontal="center"/>
      <protection hidden="1"/>
    </xf>
    <xf numFmtId="0" fontId="0" fillId="32" borderId="8" xfId="0" applyFill="1" applyBorder="1" applyAlignment="1" applyProtection="1">
      <alignment horizontal="right"/>
      <protection hidden="1"/>
    </xf>
    <xf numFmtId="0" fontId="8" fillId="32" borderId="0" xfId="0" applyFont="1" applyFill="1" applyBorder="1" applyAlignment="1" applyProtection="1">
      <alignment horizontal="left"/>
      <protection hidden="1"/>
    </xf>
    <xf numFmtId="0" fontId="11" fillId="32" borderId="8" xfId="0" applyFont="1" applyFill="1" applyBorder="1" applyAlignment="1" applyProtection="1">
      <alignment/>
      <protection hidden="1"/>
    </xf>
    <xf numFmtId="0" fontId="8" fillId="32" borderId="9" xfId="0" applyFont="1" applyFill="1" applyBorder="1" applyAlignment="1" applyProtection="1">
      <alignment horizontal="centerContinuous"/>
      <protection hidden="1"/>
    </xf>
    <xf numFmtId="0" fontId="8" fillId="32" borderId="9" xfId="0" applyFont="1" applyFill="1" applyBorder="1" applyAlignment="1" applyProtection="1">
      <alignment/>
      <protection hidden="1"/>
    </xf>
    <xf numFmtId="0" fontId="8" fillId="32" borderId="8" xfId="0" applyFont="1" applyFill="1" applyBorder="1" applyAlignment="1" applyProtection="1">
      <alignment horizontal="left"/>
      <protection hidden="1"/>
    </xf>
    <xf numFmtId="0" fontId="8" fillId="32" borderId="0" xfId="0" applyFont="1" applyFill="1" applyBorder="1" applyAlignment="1" applyProtection="1">
      <alignment/>
      <protection hidden="1"/>
    </xf>
    <xf numFmtId="0" fontId="8" fillId="32" borderId="8" xfId="0" applyFont="1" applyFill="1" applyBorder="1" applyAlignment="1" applyProtection="1">
      <alignment horizontal="right"/>
      <protection hidden="1"/>
    </xf>
    <xf numFmtId="165" fontId="5" fillId="32" borderId="0" xfId="0" applyNumberFormat="1" applyFont="1" applyFill="1" applyAlignment="1" applyProtection="1">
      <alignment horizontal="center"/>
      <protection hidden="1"/>
    </xf>
    <xf numFmtId="165" fontId="5" fillId="32" borderId="0" xfId="0" applyNumberFormat="1" applyFont="1" applyFill="1" applyAlignment="1" applyProtection="1">
      <alignment horizontal="center"/>
      <protection hidden="1"/>
    </xf>
    <xf numFmtId="2" fontId="5" fillId="32" borderId="0" xfId="0" applyNumberFormat="1" applyFont="1" applyFill="1" applyBorder="1" applyAlignment="1" applyProtection="1">
      <alignment horizontal="left"/>
      <protection hidden="1"/>
    </xf>
    <xf numFmtId="0" fontId="8" fillId="32" borderId="8" xfId="0" applyFont="1" applyFill="1" applyBorder="1" applyAlignment="1" applyProtection="1">
      <alignment/>
      <protection hidden="1"/>
    </xf>
    <xf numFmtId="0" fontId="18" fillId="32" borderId="0" xfId="0" applyFont="1" applyFill="1" applyAlignment="1" applyProtection="1">
      <alignment horizontal="right"/>
      <protection hidden="1"/>
    </xf>
    <xf numFmtId="0" fontId="18" fillId="32" borderId="0" xfId="0" applyFont="1" applyFill="1" applyAlignment="1" applyProtection="1">
      <alignment horizontal="left"/>
      <protection hidden="1"/>
    </xf>
    <xf numFmtId="0" fontId="8" fillId="32" borderId="0" xfId="0" applyFont="1" applyFill="1" applyBorder="1" applyAlignment="1" applyProtection="1">
      <alignment horizontal="center"/>
      <protection hidden="1"/>
    </xf>
    <xf numFmtId="0" fontId="8" fillId="32" borderId="8" xfId="0" applyFont="1" applyFill="1" applyBorder="1" applyAlignment="1" applyProtection="1">
      <alignment horizontal="right"/>
      <protection hidden="1"/>
    </xf>
    <xf numFmtId="0" fontId="8" fillId="32" borderId="13" xfId="0" applyFont="1" applyFill="1" applyBorder="1" applyAlignment="1" applyProtection="1">
      <alignment/>
      <protection hidden="1"/>
    </xf>
    <xf numFmtId="0" fontId="8" fillId="32" borderId="8" xfId="0" applyFont="1" applyFill="1" applyBorder="1" applyAlignment="1" applyProtection="1">
      <alignment/>
      <protection hidden="1"/>
    </xf>
    <xf numFmtId="0" fontId="4" fillId="32" borderId="0" xfId="0" applyFont="1" applyFill="1" applyBorder="1" applyAlignment="1" applyProtection="1">
      <alignment horizontal="left"/>
      <protection hidden="1"/>
    </xf>
    <xf numFmtId="0" fontId="12" fillId="32" borderId="8" xfId="0" applyFont="1" applyFill="1" applyBorder="1" applyAlignment="1" applyProtection="1">
      <alignment horizontal="right"/>
      <protection hidden="1"/>
    </xf>
    <xf numFmtId="0" fontId="12" fillId="32" borderId="0" xfId="0" applyFont="1" applyFill="1" applyBorder="1" applyAlignment="1" applyProtection="1">
      <alignment horizontal="left"/>
      <protection hidden="1"/>
    </xf>
    <xf numFmtId="166" fontId="5" fillId="32" borderId="0" xfId="0" applyNumberFormat="1" applyFont="1" applyFill="1" applyAlignment="1" applyProtection="1">
      <alignment horizontal="left"/>
      <protection hidden="1"/>
    </xf>
    <xf numFmtId="0" fontId="5" fillId="32" borderId="0" xfId="0" applyFont="1" applyFill="1" applyAlignment="1" applyProtection="1">
      <alignment horizontal="center"/>
      <protection hidden="1"/>
    </xf>
    <xf numFmtId="0" fontId="5" fillId="32" borderId="0" xfId="0" applyFont="1" applyFill="1" applyAlignment="1" applyProtection="1">
      <alignment/>
      <protection hidden="1"/>
    </xf>
    <xf numFmtId="166" fontId="11" fillId="32" borderId="8" xfId="0" applyNumberFormat="1" applyFont="1" applyFill="1" applyBorder="1" applyAlignment="1" applyProtection="1">
      <alignment horizontal="left"/>
      <protection hidden="1"/>
    </xf>
    <xf numFmtId="0" fontId="8" fillId="32" borderId="0" xfId="0" applyFont="1" applyFill="1" applyBorder="1" applyAlignment="1" applyProtection="1">
      <alignment/>
      <protection hidden="1"/>
    </xf>
    <xf numFmtId="165" fontId="8" fillId="32" borderId="8" xfId="0" applyNumberFormat="1" applyFont="1" applyFill="1" applyBorder="1" applyAlignment="1" applyProtection="1">
      <alignment horizontal="right"/>
      <protection hidden="1"/>
    </xf>
    <xf numFmtId="0" fontId="0" fillId="32" borderId="0" xfId="0" applyFill="1" applyBorder="1" applyAlignment="1" applyProtection="1">
      <alignment horizontal="center"/>
      <protection hidden="1"/>
    </xf>
    <xf numFmtId="166" fontId="8" fillId="32" borderId="0" xfId="0" applyNumberFormat="1" applyFont="1" applyFill="1" applyBorder="1" applyAlignment="1" applyProtection="1">
      <alignment horizontal="left"/>
      <protection hidden="1"/>
    </xf>
    <xf numFmtId="0" fontId="22" fillId="32" borderId="0" xfId="0" applyFont="1" applyFill="1" applyBorder="1" applyAlignment="1" applyProtection="1">
      <alignment horizontal="right"/>
      <protection hidden="1"/>
    </xf>
    <xf numFmtId="0" fontId="5" fillId="32" borderId="0" xfId="0" applyFont="1" applyFill="1" applyBorder="1" applyAlignment="1" applyProtection="1">
      <alignment horizontal="left"/>
      <protection hidden="1"/>
    </xf>
    <xf numFmtId="0" fontId="0" fillId="32" borderId="0" xfId="0" applyFont="1" applyFill="1" applyBorder="1" applyAlignment="1" applyProtection="1">
      <alignment horizontal="right"/>
      <protection hidden="1"/>
    </xf>
    <xf numFmtId="166" fontId="27" fillId="32" borderId="0" xfId="0" applyNumberFormat="1" applyFont="1" applyFill="1" applyBorder="1" applyAlignment="1" applyProtection="1">
      <alignment horizontal="left"/>
      <protection hidden="1"/>
    </xf>
    <xf numFmtId="166" fontId="3" fillId="32" borderId="0" xfId="0" applyNumberFormat="1" applyFont="1" applyFill="1" applyAlignment="1" applyProtection="1">
      <alignment horizontal="left"/>
      <protection hidden="1"/>
    </xf>
    <xf numFmtId="0" fontId="12" fillId="32" borderId="0" xfId="0" applyFont="1" applyFill="1" applyBorder="1" applyAlignment="1" applyProtection="1">
      <alignment/>
      <protection hidden="1"/>
    </xf>
    <xf numFmtId="166" fontId="8" fillId="32" borderId="0" xfId="0" applyNumberFormat="1" applyFont="1" applyFill="1" applyBorder="1" applyAlignment="1" applyProtection="1">
      <alignment/>
      <protection hidden="1"/>
    </xf>
    <xf numFmtId="166" fontId="4" fillId="32" borderId="0" xfId="0" applyNumberFormat="1" applyFont="1" applyFill="1" applyBorder="1" applyAlignment="1" applyProtection="1">
      <alignment horizontal="left"/>
      <protection hidden="1"/>
    </xf>
    <xf numFmtId="0" fontId="10" fillId="32" borderId="0" xfId="0" applyFont="1" applyFill="1" applyBorder="1" applyAlignment="1" applyProtection="1">
      <alignment/>
      <protection hidden="1"/>
    </xf>
    <xf numFmtId="166" fontId="5" fillId="32" borderId="0" xfId="0" applyNumberFormat="1" applyFont="1" applyFill="1" applyBorder="1" applyAlignment="1" applyProtection="1">
      <alignment horizontal="left"/>
      <protection hidden="1"/>
    </xf>
    <xf numFmtId="0" fontId="9" fillId="32" borderId="0" xfId="0" applyFont="1" applyFill="1" applyBorder="1" applyAlignment="1" applyProtection="1">
      <alignment horizontal="centerContinuous"/>
      <protection hidden="1"/>
    </xf>
    <xf numFmtId="0" fontId="0" fillId="32" borderId="9" xfId="0" applyFill="1" applyBorder="1" applyAlignment="1" applyProtection="1">
      <alignment/>
      <protection hidden="1"/>
    </xf>
    <xf numFmtId="166" fontId="6" fillId="32" borderId="0" xfId="0" applyNumberFormat="1" applyFont="1" applyFill="1" applyBorder="1" applyAlignment="1" applyProtection="1">
      <alignment horizontal="left"/>
      <protection hidden="1"/>
    </xf>
    <xf numFmtId="0" fontId="5" fillId="32" borderId="0" xfId="0" applyFont="1" applyFill="1" applyBorder="1" applyAlignment="1" applyProtection="1">
      <alignment/>
      <protection locked="0"/>
    </xf>
    <xf numFmtId="0" fontId="6" fillId="32" borderId="0" xfId="0" applyFont="1" applyFill="1" applyBorder="1" applyAlignment="1" applyProtection="1">
      <alignment/>
      <protection locked="0"/>
    </xf>
    <xf numFmtId="0" fontId="20" fillId="32" borderId="0" xfId="0" applyFont="1" applyFill="1" applyAlignment="1" applyProtection="1">
      <alignment/>
      <protection hidden="1"/>
    </xf>
    <xf numFmtId="0" fontId="5" fillId="32" borderId="11" xfId="0" applyFont="1" applyFill="1" applyBorder="1" applyAlignment="1" applyProtection="1">
      <alignment horizontal="centerContinuous"/>
      <protection hidden="1"/>
    </xf>
    <xf numFmtId="0" fontId="6" fillId="32" borderId="0" xfId="0" applyFont="1" applyFill="1" applyBorder="1" applyAlignment="1" applyProtection="1">
      <alignment horizontal="left"/>
      <protection hidden="1"/>
    </xf>
    <xf numFmtId="164" fontId="5" fillId="32" borderId="0" xfId="0" applyNumberFormat="1" applyFont="1" applyFill="1" applyAlignment="1" applyProtection="1">
      <alignment horizontal="center"/>
      <protection hidden="1"/>
    </xf>
    <xf numFmtId="0" fontId="29" fillId="32" borderId="0" xfId="0" applyFont="1" applyFill="1" applyBorder="1" applyAlignment="1" applyProtection="1">
      <alignment horizontal="left"/>
      <protection hidden="1"/>
    </xf>
    <xf numFmtId="0" fontId="22" fillId="32" borderId="0" xfId="0" applyFont="1" applyFill="1" applyBorder="1" applyAlignment="1" applyProtection="1">
      <alignment horizontal="left"/>
      <protection hidden="1"/>
    </xf>
    <xf numFmtId="0" fontId="29" fillId="32" borderId="0" xfId="0" applyFont="1" applyFill="1" applyBorder="1" applyAlignment="1" applyProtection="1">
      <alignment/>
      <protection hidden="1"/>
    </xf>
    <xf numFmtId="0" fontId="7" fillId="32" borderId="0" xfId="0" applyFont="1" applyFill="1" applyBorder="1" applyAlignment="1" applyProtection="1">
      <alignment horizontal="left"/>
      <protection hidden="1"/>
    </xf>
    <xf numFmtId="164" fontId="5" fillId="32" borderId="0" xfId="0" applyNumberFormat="1" applyFont="1" applyFill="1" applyAlignment="1" applyProtection="1">
      <alignment horizontal="center"/>
      <protection hidden="1"/>
    </xf>
    <xf numFmtId="0" fontId="18" fillId="32" borderId="0" xfId="0" applyFont="1" applyFill="1" applyBorder="1" applyAlignment="1" applyProtection="1">
      <alignment/>
      <protection hidden="1"/>
    </xf>
    <xf numFmtId="13" fontId="5" fillId="32" borderId="0" xfId="0" applyNumberFormat="1" applyFont="1" applyFill="1" applyAlignment="1" applyProtection="1">
      <alignment horizontal="center"/>
      <protection hidden="1"/>
    </xf>
    <xf numFmtId="0" fontId="5" fillId="32" borderId="0" xfId="0" applyFont="1" applyFill="1" applyBorder="1" applyAlignment="1" applyProtection="1">
      <alignment/>
      <protection hidden="1"/>
    </xf>
    <xf numFmtId="0" fontId="7" fillId="32" borderId="0" xfId="0" applyFont="1" applyFill="1" applyBorder="1" applyAlignment="1" applyProtection="1">
      <alignment horizontal="centerContinuous"/>
      <protection hidden="1"/>
    </xf>
    <xf numFmtId="0" fontId="26" fillId="32" borderId="0" xfId="0" applyFont="1" applyFill="1" applyBorder="1" applyAlignment="1" applyProtection="1">
      <alignment horizontal="right"/>
      <protection hidden="1"/>
    </xf>
    <xf numFmtId="0" fontId="22" fillId="32" borderId="0" xfId="0" applyFont="1" applyFill="1" applyBorder="1" applyAlignment="1" applyProtection="1">
      <alignment/>
      <protection hidden="1"/>
    </xf>
    <xf numFmtId="0" fontId="7" fillId="32" borderId="0" xfId="0" applyFont="1" applyFill="1" applyBorder="1" applyAlignment="1" applyProtection="1">
      <alignment/>
      <protection hidden="1"/>
    </xf>
    <xf numFmtId="0" fontId="26" fillId="32" borderId="9" xfId="0" applyFont="1" applyFill="1" applyBorder="1" applyAlignment="1" applyProtection="1">
      <alignment/>
      <protection hidden="1"/>
    </xf>
    <xf numFmtId="1" fontId="7" fillId="32" borderId="0" xfId="0" applyNumberFormat="1" applyFont="1" applyFill="1" applyBorder="1" applyAlignment="1" applyProtection="1">
      <alignment horizontal="left"/>
      <protection hidden="1"/>
    </xf>
    <xf numFmtId="0" fontId="29" fillId="32" borderId="11" xfId="0" applyFont="1" applyFill="1" applyBorder="1" applyAlignment="1" applyProtection="1">
      <alignment/>
      <protection hidden="1"/>
    </xf>
    <xf numFmtId="0" fontId="29" fillId="32" borderId="13" xfId="0" applyFont="1" applyFill="1" applyBorder="1" applyAlignment="1" applyProtection="1">
      <alignment/>
      <protection hidden="1"/>
    </xf>
    <xf numFmtId="166" fontId="6" fillId="32" borderId="0" xfId="0" applyNumberFormat="1" applyFont="1" applyFill="1" applyAlignment="1" applyProtection="1">
      <alignment horizontal="center"/>
      <protection hidden="1"/>
    </xf>
    <xf numFmtId="0" fontId="6" fillId="32" borderId="0" xfId="0" applyFont="1" applyFill="1" applyAlignment="1" applyProtection="1">
      <alignment/>
      <protection hidden="1"/>
    </xf>
    <xf numFmtId="0" fontId="7" fillId="32" borderId="14" xfId="0" applyFont="1" applyFill="1" applyBorder="1" applyAlignment="1" applyProtection="1">
      <alignment horizontal="right"/>
      <protection hidden="1"/>
    </xf>
    <xf numFmtId="0" fontId="7" fillId="32" borderId="0" xfId="0" applyFont="1" applyFill="1" applyBorder="1" applyAlignment="1" applyProtection="1">
      <alignment horizontal="center"/>
      <protection hidden="1"/>
    </xf>
    <xf numFmtId="0" fontId="6" fillId="32" borderId="0" xfId="0" applyFont="1" applyFill="1" applyAlignment="1" applyProtection="1">
      <alignment horizontal="right"/>
      <protection hidden="1"/>
    </xf>
    <xf numFmtId="0" fontId="22" fillId="32" borderId="0" xfId="0" applyFont="1" applyFill="1" applyBorder="1" applyAlignment="1" applyProtection="1">
      <alignment horizontal="center"/>
      <protection hidden="1"/>
    </xf>
    <xf numFmtId="0" fontId="0" fillId="32" borderId="0" xfId="0" applyFill="1" applyAlignment="1" applyProtection="1">
      <alignment horizontal="left"/>
      <protection hidden="1"/>
    </xf>
    <xf numFmtId="0" fontId="26" fillId="32" borderId="9" xfId="0" applyFont="1" applyFill="1" applyBorder="1" applyAlignment="1" applyProtection="1">
      <alignment horizontal="left"/>
      <protection hidden="1"/>
    </xf>
    <xf numFmtId="0" fontId="10" fillId="32" borderId="9" xfId="0" applyFont="1" applyFill="1" applyBorder="1" applyAlignment="1" applyProtection="1">
      <alignment/>
      <protection hidden="1"/>
    </xf>
    <xf numFmtId="0" fontId="26" fillId="32" borderId="9" xfId="0" applyFont="1" applyFill="1" applyBorder="1" applyAlignment="1" applyProtection="1">
      <alignment/>
      <protection hidden="1"/>
    </xf>
    <xf numFmtId="166" fontId="11" fillId="32" borderId="8" xfId="0" applyNumberFormat="1" applyFont="1" applyFill="1" applyBorder="1" applyAlignment="1" applyProtection="1">
      <alignment/>
      <protection hidden="1"/>
    </xf>
    <xf numFmtId="0" fontId="26" fillId="32" borderId="0" xfId="0" applyFont="1" applyFill="1" applyBorder="1" applyAlignment="1" applyProtection="1">
      <alignment horizontal="center"/>
      <protection hidden="1"/>
    </xf>
    <xf numFmtId="166" fontId="26" fillId="32" borderId="9" xfId="0" applyNumberFormat="1" applyFont="1" applyFill="1" applyBorder="1" applyAlignment="1" applyProtection="1">
      <alignment horizontal="left"/>
      <protection hidden="1"/>
    </xf>
    <xf numFmtId="0" fontId="5" fillId="32" borderId="9" xfId="0" applyFont="1" applyFill="1" applyBorder="1" applyAlignment="1" applyProtection="1">
      <alignment horizontal="left"/>
      <protection hidden="1"/>
    </xf>
    <xf numFmtId="0" fontId="7" fillId="32" borderId="15" xfId="0" applyNumberFormat="1" applyFont="1" applyFill="1" applyBorder="1" applyAlignment="1" applyProtection="1">
      <alignment horizontal="center"/>
      <protection hidden="1"/>
    </xf>
    <xf numFmtId="0" fontId="31" fillId="32" borderId="16" xfId="0" applyFont="1" applyFill="1" applyBorder="1" applyAlignment="1" applyProtection="1">
      <alignment horizontal="centerContinuous"/>
      <protection hidden="1"/>
    </xf>
    <xf numFmtId="2" fontId="7" fillId="32" borderId="17" xfId="0" applyNumberFormat="1" applyFont="1" applyFill="1" applyBorder="1" applyAlignment="1" applyProtection="1">
      <alignment horizontal="centerContinuous"/>
      <protection hidden="1"/>
    </xf>
    <xf numFmtId="0" fontId="7" fillId="32" borderId="17" xfId="0" applyFont="1" applyFill="1" applyBorder="1" applyAlignment="1" applyProtection="1">
      <alignment horizontal="centerContinuous"/>
      <protection hidden="1"/>
    </xf>
    <xf numFmtId="0" fontId="7" fillId="32" borderId="18" xfId="0" applyFont="1" applyFill="1" applyBorder="1" applyAlignment="1" applyProtection="1">
      <alignment horizontal="centerContinuous"/>
      <protection hidden="1"/>
    </xf>
    <xf numFmtId="0" fontId="10" fillId="32" borderId="0" xfId="0" applyFont="1" applyFill="1" applyBorder="1" applyAlignment="1" applyProtection="1">
      <alignment/>
      <protection hidden="1"/>
    </xf>
    <xf numFmtId="165" fontId="5" fillId="32" borderId="0" xfId="0" applyNumberFormat="1" applyFont="1" applyFill="1" applyAlignment="1" applyProtection="1">
      <alignment/>
      <protection hidden="1"/>
    </xf>
    <xf numFmtId="2" fontId="22" fillId="32" borderId="0" xfId="0" applyNumberFormat="1" applyFont="1" applyFill="1" applyBorder="1" applyAlignment="1" applyProtection="1">
      <alignment horizontal="center"/>
      <protection hidden="1"/>
    </xf>
    <xf numFmtId="0" fontId="22" fillId="32" borderId="0" xfId="0" applyNumberFormat="1" applyFont="1" applyFill="1" applyBorder="1" applyAlignment="1" applyProtection="1">
      <alignment horizontal="center"/>
      <protection hidden="1"/>
    </xf>
    <xf numFmtId="166" fontId="26" fillId="32" borderId="9" xfId="0" applyNumberFormat="1" applyFont="1" applyFill="1" applyBorder="1" applyAlignment="1" applyProtection="1">
      <alignment/>
      <protection hidden="1"/>
    </xf>
    <xf numFmtId="166" fontId="35" fillId="32" borderId="0" xfId="0" applyNumberFormat="1" applyFont="1" applyFill="1" applyAlignment="1" applyProtection="1">
      <alignment horizontal="left"/>
      <protection hidden="1"/>
    </xf>
    <xf numFmtId="0" fontId="23" fillId="32" borderId="0" xfId="0" applyFont="1" applyFill="1" applyBorder="1" applyAlignment="1" applyProtection="1">
      <alignment horizontal="center"/>
      <protection hidden="1"/>
    </xf>
    <xf numFmtId="0" fontId="30" fillId="32" borderId="0" xfId="0" applyFont="1" applyFill="1" applyBorder="1" applyAlignment="1" applyProtection="1">
      <alignment horizontal="right"/>
      <protection hidden="1"/>
    </xf>
    <xf numFmtId="166" fontId="7" fillId="32" borderId="0" xfId="0" applyNumberFormat="1" applyFont="1" applyFill="1" applyBorder="1" applyAlignment="1" applyProtection="1">
      <alignment horizontal="center"/>
      <protection hidden="1"/>
    </xf>
    <xf numFmtId="2" fontId="8" fillId="32" borderId="0" xfId="0" applyNumberFormat="1" applyFont="1" applyFill="1" applyBorder="1" applyAlignment="1" applyProtection="1">
      <alignment/>
      <protection hidden="1"/>
    </xf>
    <xf numFmtId="2" fontId="5" fillId="32" borderId="0" xfId="0" applyNumberFormat="1" applyFont="1" applyFill="1" applyAlignment="1" applyProtection="1">
      <alignment horizontal="left"/>
      <protection hidden="1"/>
    </xf>
    <xf numFmtId="0" fontId="5" fillId="32" borderId="0" xfId="0" applyFont="1" applyFill="1" applyAlignment="1" applyProtection="1">
      <alignment horizontal="centerContinuous"/>
      <protection hidden="1"/>
    </xf>
    <xf numFmtId="0" fontId="8" fillId="32" borderId="12" xfId="0" applyFont="1" applyFill="1" applyBorder="1" applyAlignment="1" applyProtection="1">
      <alignment/>
      <protection hidden="1"/>
    </xf>
    <xf numFmtId="2" fontId="5" fillId="32" borderId="15" xfId="0" applyNumberFormat="1" applyFont="1" applyFill="1" applyBorder="1" applyAlignment="1" applyProtection="1">
      <alignment horizontal="center"/>
      <protection hidden="1"/>
    </xf>
    <xf numFmtId="0" fontId="5" fillId="32" borderId="0" xfId="0" applyFont="1" applyFill="1" applyBorder="1" applyAlignment="1" applyProtection="1">
      <alignment/>
      <protection locked="0"/>
    </xf>
    <xf numFmtId="0" fontId="3" fillId="32" borderId="0" xfId="0" applyFont="1" applyFill="1" applyAlignment="1" applyProtection="1">
      <alignment/>
      <protection hidden="1"/>
    </xf>
    <xf numFmtId="165" fontId="8" fillId="32" borderId="12" xfId="0" applyNumberFormat="1" applyFont="1" applyFill="1" applyBorder="1" applyAlignment="1" applyProtection="1">
      <alignment horizontal="right"/>
      <protection hidden="1"/>
    </xf>
    <xf numFmtId="0" fontId="8" fillId="32" borderId="13" xfId="0" applyFont="1" applyFill="1" applyBorder="1" applyAlignment="1" applyProtection="1">
      <alignment horizontal="right"/>
      <protection hidden="1"/>
    </xf>
    <xf numFmtId="0" fontId="7" fillId="32" borderId="13" xfId="0" applyFont="1" applyFill="1" applyBorder="1" applyAlignment="1" applyProtection="1">
      <alignment horizontal="left"/>
      <protection hidden="1"/>
    </xf>
    <xf numFmtId="2" fontId="5" fillId="32" borderId="13" xfId="0" applyNumberFormat="1" applyFont="1" applyFill="1" applyBorder="1" applyAlignment="1" applyProtection="1">
      <alignment horizontal="center"/>
      <protection hidden="1"/>
    </xf>
    <xf numFmtId="1" fontId="5" fillId="33" borderId="19" xfId="0" applyNumberFormat="1" applyFont="1" applyFill="1" applyBorder="1" applyAlignment="1" applyProtection="1">
      <alignment horizontal="center"/>
      <protection locked="0"/>
    </xf>
    <xf numFmtId="1" fontId="5" fillId="33" borderId="20" xfId="0" applyNumberFormat="1" applyFont="1" applyFill="1" applyBorder="1" applyAlignment="1" applyProtection="1">
      <alignment horizontal="center"/>
      <protection locked="0"/>
    </xf>
    <xf numFmtId="2" fontId="5" fillId="33" borderId="21" xfId="0" applyNumberFormat="1" applyFont="1" applyFill="1" applyBorder="1" applyAlignment="1" applyProtection="1">
      <alignment horizontal="center"/>
      <protection locked="0"/>
    </xf>
    <xf numFmtId="2" fontId="5" fillId="33" borderId="20" xfId="0" applyNumberFormat="1" applyFont="1" applyFill="1" applyBorder="1" applyAlignment="1" applyProtection="1">
      <alignment horizontal="center"/>
      <protection locked="0"/>
    </xf>
    <xf numFmtId="166" fontId="5" fillId="33" borderId="21" xfId="0" applyNumberFormat="1" applyFont="1" applyFill="1" applyBorder="1" applyAlignment="1" applyProtection="1">
      <alignment horizontal="center"/>
      <protection locked="0"/>
    </xf>
    <xf numFmtId="166" fontId="5" fillId="33" borderId="19" xfId="0" applyNumberFormat="1" applyFont="1" applyFill="1" applyBorder="1" applyAlignment="1" applyProtection="1">
      <alignment horizontal="center"/>
      <protection locked="0"/>
    </xf>
    <xf numFmtId="165" fontId="5" fillId="33" borderId="19" xfId="0" applyNumberFormat="1" applyFont="1" applyFill="1" applyBorder="1" applyAlignment="1" applyProtection="1">
      <alignment horizontal="center"/>
      <protection locked="0"/>
    </xf>
    <xf numFmtId="13" fontId="5" fillId="33" borderId="19" xfId="0" applyNumberFormat="1" applyFont="1" applyFill="1" applyBorder="1" applyAlignment="1" applyProtection="1">
      <alignment horizontal="center"/>
      <protection locked="0"/>
    </xf>
    <xf numFmtId="0" fontId="5" fillId="33" borderId="20" xfId="0" applyNumberFormat="1" applyFont="1" applyFill="1" applyBorder="1" applyAlignment="1" applyProtection="1">
      <alignment horizontal="center"/>
      <protection locked="0"/>
    </xf>
    <xf numFmtId="2" fontId="5" fillId="32" borderId="21" xfId="0" applyNumberFormat="1" applyFont="1" applyFill="1" applyBorder="1" applyAlignment="1" applyProtection="1">
      <alignment horizontal="center"/>
      <protection hidden="1"/>
    </xf>
    <xf numFmtId="166" fontId="5" fillId="32" borderId="19" xfId="0" applyNumberFormat="1" applyFont="1" applyFill="1" applyBorder="1" applyAlignment="1" applyProtection="1">
      <alignment horizontal="center"/>
      <protection hidden="1"/>
    </xf>
    <xf numFmtId="165" fontId="5" fillId="32" borderId="19" xfId="0" applyNumberFormat="1" applyFont="1" applyFill="1" applyBorder="1" applyAlignment="1" applyProtection="1">
      <alignment horizontal="center"/>
      <protection hidden="1"/>
    </xf>
    <xf numFmtId="164" fontId="5" fillId="32" borderId="19" xfId="0" applyNumberFormat="1" applyFont="1" applyFill="1" applyBorder="1" applyAlignment="1" applyProtection="1">
      <alignment horizontal="center"/>
      <protection hidden="1"/>
    </xf>
    <xf numFmtId="164" fontId="5" fillId="32" borderId="20" xfId="0" applyNumberFormat="1" applyFont="1" applyFill="1" applyBorder="1" applyAlignment="1" applyProtection="1">
      <alignment horizontal="center"/>
      <protection hidden="1"/>
    </xf>
    <xf numFmtId="2" fontId="5" fillId="32" borderId="19" xfId="0" applyNumberFormat="1" applyFont="1" applyFill="1" applyBorder="1" applyAlignment="1" applyProtection="1">
      <alignment horizontal="center"/>
      <protection hidden="1"/>
    </xf>
    <xf numFmtId="2" fontId="5" fillId="32" borderId="19" xfId="0" applyNumberFormat="1" applyFont="1" applyFill="1" applyBorder="1" applyAlignment="1" applyProtection="1">
      <alignment horizontal="center"/>
      <protection hidden="1"/>
    </xf>
    <xf numFmtId="2" fontId="5" fillId="32" borderId="20" xfId="0" applyNumberFormat="1" applyFont="1" applyFill="1" applyBorder="1" applyAlignment="1" applyProtection="1">
      <alignment horizontal="center"/>
      <protection hidden="1"/>
    </xf>
    <xf numFmtId="165" fontId="5" fillId="32" borderId="21" xfId="0" applyNumberFormat="1" applyFont="1" applyFill="1" applyBorder="1" applyAlignment="1" applyProtection="1">
      <alignment horizontal="center"/>
      <protection hidden="1"/>
    </xf>
    <xf numFmtId="2" fontId="5" fillId="32" borderId="20" xfId="0" applyNumberFormat="1" applyFont="1" applyFill="1" applyBorder="1" applyAlignment="1" applyProtection="1">
      <alignment horizontal="center"/>
      <protection hidden="1"/>
    </xf>
    <xf numFmtId="166" fontId="5" fillId="32" borderId="21" xfId="0" applyNumberFormat="1" applyFont="1" applyFill="1" applyBorder="1" applyAlignment="1" applyProtection="1">
      <alignment horizontal="center"/>
      <protection hidden="1"/>
    </xf>
    <xf numFmtId="0" fontId="5" fillId="33" borderId="19" xfId="0" applyNumberFormat="1" applyFont="1" applyFill="1" applyBorder="1" applyAlignment="1" applyProtection="1">
      <alignment horizontal="center"/>
      <protection locked="0"/>
    </xf>
    <xf numFmtId="0" fontId="22" fillId="32" borderId="15" xfId="0" applyFont="1" applyFill="1" applyBorder="1" applyAlignment="1" applyProtection="1">
      <alignment horizontal="center"/>
      <protection hidden="1"/>
    </xf>
    <xf numFmtId="0" fontId="5" fillId="32" borderId="0" xfId="0" applyFont="1" applyFill="1" applyBorder="1" applyAlignment="1" applyProtection="1">
      <alignment horizontal="center"/>
      <protection locked="0"/>
    </xf>
    <xf numFmtId="0" fontId="8" fillId="32" borderId="15" xfId="0" applyFont="1" applyFill="1" applyBorder="1" applyAlignment="1" applyProtection="1">
      <alignment horizontal="center"/>
      <protection hidden="1"/>
    </xf>
    <xf numFmtId="14" fontId="0" fillId="32" borderId="22" xfId="0" applyNumberFormat="1" applyFill="1" applyBorder="1" applyAlignment="1" applyProtection="1">
      <alignment horizontal="center"/>
      <protection hidden="1"/>
    </xf>
    <xf numFmtId="18" fontId="0" fillId="32" borderId="9" xfId="0" applyNumberFormat="1" applyFill="1" applyBorder="1" applyAlignment="1" applyProtection="1">
      <alignment horizontal="center"/>
      <protection hidden="1"/>
    </xf>
    <xf numFmtId="0" fontId="22" fillId="32" borderId="0" xfId="0" applyFont="1" applyFill="1" applyBorder="1" applyAlignment="1" applyProtection="1">
      <alignment horizontal="center"/>
      <protection locked="0"/>
    </xf>
    <xf numFmtId="14" fontId="5" fillId="32" borderId="22" xfId="0" applyNumberFormat="1" applyFont="1" applyFill="1" applyBorder="1" applyAlignment="1" applyProtection="1">
      <alignment horizontal="center"/>
      <protection locked="0"/>
    </xf>
    <xf numFmtId="18" fontId="5" fillId="32" borderId="9" xfId="0" applyNumberFormat="1" applyFont="1" applyFill="1" applyBorder="1" applyAlignment="1" applyProtection="1">
      <alignment horizontal="center"/>
      <protection locked="0"/>
    </xf>
    <xf numFmtId="0" fontId="5" fillId="32" borderId="9" xfId="0" applyFont="1" applyFill="1" applyBorder="1" applyAlignment="1" applyProtection="1">
      <alignment horizontal="center"/>
      <protection hidden="1"/>
    </xf>
    <xf numFmtId="0" fontId="0" fillId="32" borderId="11" xfId="0" applyFill="1" applyBorder="1" applyAlignment="1" applyProtection="1">
      <alignment horizontal="center"/>
      <protection hidden="1"/>
    </xf>
    <xf numFmtId="0" fontId="0" fillId="0" borderId="0" xfId="0" applyBorder="1" applyAlignment="1" applyProtection="1">
      <alignment horizontal="center"/>
      <protection hidden="1"/>
    </xf>
    <xf numFmtId="0" fontId="5" fillId="32" borderId="0" xfId="0" applyFont="1" applyFill="1" applyBorder="1" applyAlignment="1" applyProtection="1">
      <alignment/>
      <protection locked="0"/>
    </xf>
    <xf numFmtId="14" fontId="5" fillId="32" borderId="22" xfId="0" applyNumberFormat="1" applyFont="1" applyFill="1" applyBorder="1" applyAlignment="1" applyProtection="1">
      <alignment horizontal="center"/>
      <protection hidden="1"/>
    </xf>
    <xf numFmtId="18" fontId="5" fillId="32" borderId="9" xfId="0" applyNumberFormat="1" applyFont="1" applyFill="1" applyBorder="1" applyAlignment="1" applyProtection="1">
      <alignment horizontal="center"/>
      <protection hidden="1"/>
    </xf>
    <xf numFmtId="0" fontId="26" fillId="32" borderId="0" xfId="0" applyFont="1" applyFill="1" applyBorder="1" applyAlignment="1" applyProtection="1">
      <alignment/>
      <protection locked="0"/>
    </xf>
    <xf numFmtId="0" fontId="0" fillId="32" borderId="0" xfId="0" applyFill="1" applyBorder="1" applyAlignment="1">
      <alignment/>
    </xf>
    <xf numFmtId="0" fontId="3" fillId="32" borderId="0" xfId="0" applyFont="1" applyFill="1" applyAlignment="1" applyProtection="1">
      <alignment horizontal="left"/>
      <protection hidden="1"/>
    </xf>
    <xf numFmtId="169" fontId="7" fillId="32" borderId="0" xfId="0" applyNumberFormat="1" applyFont="1" applyFill="1" applyBorder="1" applyAlignment="1" applyProtection="1">
      <alignment/>
      <protection hidden="1"/>
    </xf>
    <xf numFmtId="0" fontId="6" fillId="32" borderId="0" xfId="0" applyFont="1" applyFill="1" applyBorder="1" applyAlignment="1" applyProtection="1">
      <alignment horizontal="center"/>
      <protection hidden="1"/>
    </xf>
    <xf numFmtId="0" fontId="5" fillId="32" borderId="0" xfId="0" applyFont="1" applyFill="1" applyBorder="1" applyAlignment="1" applyProtection="1">
      <alignment/>
      <protection locked="0"/>
    </xf>
    <xf numFmtId="0" fontId="26" fillId="0" borderId="0" xfId="0" applyFont="1" applyBorder="1" applyAlignment="1" applyProtection="1">
      <alignment horizontal="left"/>
      <protection hidden="1"/>
    </xf>
    <xf numFmtId="166" fontId="26" fillId="32" borderId="0" xfId="0" applyNumberFormat="1" applyFont="1" applyFill="1" applyBorder="1" applyAlignment="1" applyProtection="1">
      <alignment horizontal="left"/>
      <protection hidden="1"/>
    </xf>
    <xf numFmtId="0" fontId="11" fillId="32" borderId="0" xfId="0" applyFont="1" applyFill="1" applyBorder="1" applyAlignment="1" applyProtection="1">
      <alignment horizontal="centerContinuous"/>
      <protection hidden="1"/>
    </xf>
    <xf numFmtId="0" fontId="0" fillId="32" borderId="0" xfId="0" applyFill="1" applyBorder="1" applyAlignment="1" applyProtection="1">
      <alignment/>
      <protection hidden="1"/>
    </xf>
    <xf numFmtId="2" fontId="5" fillId="32" borderId="0" xfId="0" applyNumberFormat="1" applyFont="1" applyFill="1" applyAlignment="1" applyProtection="1">
      <alignment horizontal="left"/>
      <protection hidden="1"/>
    </xf>
    <xf numFmtId="0" fontId="2" fillId="34" borderId="16" xfId="0" applyFont="1" applyFill="1" applyBorder="1" applyAlignment="1" applyProtection="1">
      <alignment horizontal="centerContinuous"/>
      <protection hidden="1"/>
    </xf>
    <xf numFmtId="0" fontId="2" fillId="34" borderId="17" xfId="0" applyFont="1" applyFill="1" applyBorder="1" applyAlignment="1" applyProtection="1">
      <alignment horizontal="centerContinuous"/>
      <protection hidden="1"/>
    </xf>
    <xf numFmtId="166" fontId="2" fillId="34" borderId="18" xfId="0" applyNumberFormat="1" applyFont="1" applyFill="1" applyBorder="1" applyAlignment="1" applyProtection="1">
      <alignment horizontal="centerContinuous"/>
      <protection hidden="1"/>
    </xf>
    <xf numFmtId="0" fontId="2" fillId="32" borderId="0" xfId="0" applyFont="1" applyFill="1" applyBorder="1" applyAlignment="1" applyProtection="1">
      <alignment/>
      <protection hidden="1"/>
    </xf>
    <xf numFmtId="0" fontId="0" fillId="34" borderId="23" xfId="0" applyFill="1" applyBorder="1" applyAlignment="1" applyProtection="1">
      <alignment horizontal="center"/>
      <protection hidden="1"/>
    </xf>
    <xf numFmtId="0" fontId="0" fillId="34" borderId="23" xfId="0" applyFont="1" applyFill="1" applyBorder="1" applyAlignment="1" applyProtection="1">
      <alignment horizontal="center"/>
      <protection hidden="1"/>
    </xf>
    <xf numFmtId="0" fontId="0" fillId="34" borderId="9" xfId="0" applyFont="1" applyFill="1" applyBorder="1" applyAlignment="1" applyProtection="1">
      <alignment horizontal="center"/>
      <protection hidden="1"/>
    </xf>
    <xf numFmtId="0" fontId="0" fillId="34" borderId="8" xfId="0" applyFill="1" applyBorder="1" applyAlignment="1" applyProtection="1">
      <alignment horizontal="centerContinuous"/>
      <protection hidden="1"/>
    </xf>
    <xf numFmtId="0" fontId="0" fillId="34" borderId="0" xfId="0" applyFill="1" applyBorder="1" applyAlignment="1">
      <alignment horizontal="centerContinuous"/>
    </xf>
    <xf numFmtId="0" fontId="0" fillId="34" borderId="9" xfId="0" applyFill="1" applyBorder="1" applyAlignment="1">
      <alignment horizontal="centerContinuous"/>
    </xf>
    <xf numFmtId="0" fontId="0" fillId="34" borderId="8" xfId="0" applyFont="1" applyFill="1" applyBorder="1" applyAlignment="1" applyProtection="1">
      <alignment horizontal="centerContinuous"/>
      <protection hidden="1"/>
    </xf>
    <xf numFmtId="0" fontId="8" fillId="34" borderId="24" xfId="0" applyFont="1" applyFill="1" applyBorder="1" applyAlignment="1" applyProtection="1">
      <alignment horizontal="center"/>
      <protection hidden="1"/>
    </xf>
    <xf numFmtId="0" fontId="0" fillId="34" borderId="24" xfId="0" applyFont="1" applyFill="1" applyBorder="1" applyAlignment="1" applyProtection="1">
      <alignment horizontal="center"/>
      <protection hidden="1"/>
    </xf>
    <xf numFmtId="0" fontId="0" fillId="34" borderId="14" xfId="0" applyFont="1" applyFill="1" applyBorder="1" applyAlignment="1" applyProtection="1">
      <alignment horizontal="center"/>
      <protection hidden="1"/>
    </xf>
    <xf numFmtId="0" fontId="0" fillId="34" borderId="12" xfId="0" applyFill="1" applyBorder="1" applyAlignment="1" applyProtection="1">
      <alignment horizontal="centerContinuous"/>
      <protection hidden="1"/>
    </xf>
    <xf numFmtId="0" fontId="0" fillId="34" borderId="13" xfId="0" applyFill="1" applyBorder="1" applyAlignment="1">
      <alignment horizontal="centerContinuous"/>
    </xf>
    <xf numFmtId="0" fontId="0" fillId="34" borderId="14" xfId="0" applyFill="1" applyBorder="1" applyAlignment="1">
      <alignment horizontal="centerContinuous"/>
    </xf>
    <xf numFmtId="0" fontId="0" fillId="34" borderId="15" xfId="0" applyFill="1" applyBorder="1" applyAlignment="1" applyProtection="1">
      <alignment horizontal="center"/>
      <protection hidden="1"/>
    </xf>
    <xf numFmtId="166" fontId="5" fillId="33" borderId="15" xfId="0" applyNumberFormat="1" applyFont="1" applyFill="1" applyBorder="1" applyAlignment="1" applyProtection="1">
      <alignment horizontal="center"/>
      <protection locked="0"/>
    </xf>
    <xf numFmtId="0" fontId="8" fillId="34" borderId="15" xfId="0" applyNumberFormat="1" applyFont="1" applyFill="1" applyBorder="1" applyAlignment="1" applyProtection="1">
      <alignment horizontal="center"/>
      <protection hidden="1"/>
    </xf>
    <xf numFmtId="0" fontId="0" fillId="32" borderId="0" xfId="0" applyFont="1" applyFill="1" applyBorder="1" applyAlignment="1" applyProtection="1">
      <alignment horizontal="center"/>
      <protection hidden="1"/>
    </xf>
    <xf numFmtId="0" fontId="8" fillId="32" borderId="0" xfId="0" applyFont="1" applyFill="1" applyBorder="1" applyAlignment="1" applyProtection="1">
      <alignment horizontal="centerContinuous"/>
      <protection hidden="1"/>
    </xf>
    <xf numFmtId="0" fontId="8" fillId="34" borderId="15" xfId="0" applyFont="1" applyFill="1" applyBorder="1" applyAlignment="1" applyProtection="1">
      <alignment horizontal="center"/>
      <protection hidden="1"/>
    </xf>
    <xf numFmtId="1" fontId="8" fillId="34" borderId="15" xfId="0" applyNumberFormat="1" applyFont="1" applyFill="1" applyBorder="1" applyAlignment="1" applyProtection="1">
      <alignment horizontal="center"/>
      <protection hidden="1"/>
    </xf>
    <xf numFmtId="0" fontId="7" fillId="32" borderId="0" xfId="0" applyFont="1" applyFill="1" applyBorder="1" applyAlignment="1" applyProtection="1">
      <alignment horizontal="right"/>
      <protection hidden="1"/>
    </xf>
    <xf numFmtId="14" fontId="8" fillId="32" borderId="0" xfId="0" applyNumberFormat="1" applyFont="1" applyFill="1" applyBorder="1" applyAlignment="1" applyProtection="1">
      <alignment horizontal="center"/>
      <protection hidden="1"/>
    </xf>
    <xf numFmtId="18" fontId="8" fillId="32" borderId="0" xfId="0" applyNumberFormat="1" applyFont="1" applyFill="1" applyBorder="1" applyAlignment="1" applyProtection="1">
      <alignment horizontal="center"/>
      <protection hidden="1"/>
    </xf>
    <xf numFmtId="0" fontId="8" fillId="32" borderId="9" xfId="0" applyFont="1" applyFill="1" applyBorder="1" applyAlignment="1" applyProtection="1">
      <alignment horizontal="center"/>
      <protection hidden="1"/>
    </xf>
    <xf numFmtId="0" fontId="8" fillId="32" borderId="10" xfId="0" applyFont="1" applyFill="1" applyBorder="1" applyAlignment="1" applyProtection="1">
      <alignment horizontal="left"/>
      <protection hidden="1"/>
    </xf>
    <xf numFmtId="0" fontId="8" fillId="32" borderId="11" xfId="0" applyFont="1" applyFill="1" applyBorder="1" applyAlignment="1" applyProtection="1">
      <alignment horizontal="center"/>
      <protection hidden="1"/>
    </xf>
    <xf numFmtId="0" fontId="7" fillId="32" borderId="11" xfId="0" applyFont="1" applyFill="1" applyBorder="1" applyAlignment="1" applyProtection="1">
      <alignment horizontal="left"/>
      <protection hidden="1"/>
    </xf>
    <xf numFmtId="0" fontId="8" fillId="32" borderId="11" xfId="0" applyFont="1" applyFill="1" applyBorder="1" applyAlignment="1" applyProtection="1">
      <alignment/>
      <protection hidden="1"/>
    </xf>
    <xf numFmtId="0" fontId="8" fillId="32" borderId="11" xfId="0" applyFont="1" applyFill="1" applyBorder="1" applyAlignment="1" applyProtection="1">
      <alignment/>
      <protection hidden="1"/>
    </xf>
    <xf numFmtId="0" fontId="32" fillId="32" borderId="0" xfId="0" applyFont="1" applyFill="1" applyBorder="1" applyAlignment="1" applyProtection="1">
      <alignment horizontal="center"/>
      <protection/>
    </xf>
    <xf numFmtId="0" fontId="37" fillId="32" borderId="0" xfId="0" applyFont="1" applyFill="1" applyBorder="1" applyAlignment="1" applyProtection="1">
      <alignment horizontal="center"/>
      <protection/>
    </xf>
    <xf numFmtId="0" fontId="38" fillId="32" borderId="0" xfId="0" applyFont="1" applyFill="1" applyBorder="1" applyAlignment="1" applyProtection="1">
      <alignment/>
      <protection hidden="1"/>
    </xf>
    <xf numFmtId="0" fontId="6" fillId="32" borderId="15" xfId="0" applyFont="1" applyFill="1" applyBorder="1" applyAlignment="1" applyProtection="1">
      <alignment horizontal="center"/>
      <protection hidden="1"/>
    </xf>
    <xf numFmtId="0" fontId="31" fillId="32" borderId="0" xfId="0" applyFont="1" applyFill="1" applyBorder="1" applyAlignment="1" applyProtection="1">
      <alignment horizontal="center"/>
      <protection/>
    </xf>
    <xf numFmtId="0" fontId="6" fillId="32" borderId="0" xfId="0" applyFont="1" applyFill="1" applyBorder="1" applyAlignment="1" applyProtection="1">
      <alignment horizontal="center"/>
      <protection/>
    </xf>
    <xf numFmtId="0" fontId="5" fillId="32" borderId="0" xfId="0" applyFont="1" applyFill="1" applyBorder="1" applyAlignment="1" applyProtection="1">
      <alignment horizontal="centerContinuous"/>
      <protection/>
    </xf>
    <xf numFmtId="0" fontId="8" fillId="32" borderId="0" xfId="0" applyFont="1" applyFill="1" applyBorder="1" applyAlignment="1" applyProtection="1">
      <alignment/>
      <protection locked="0"/>
    </xf>
    <xf numFmtId="0" fontId="34" fillId="32" borderId="0" xfId="0" applyFont="1" applyFill="1" applyBorder="1" applyAlignment="1" applyProtection="1">
      <alignment horizontal="centerContinuous"/>
      <protection/>
    </xf>
    <xf numFmtId="0" fontId="5" fillId="32" borderId="0" xfId="0" applyFont="1" applyFill="1" applyBorder="1" applyAlignment="1" applyProtection="1">
      <alignment horizontal="centerContinuous"/>
      <protection/>
    </xf>
    <xf numFmtId="0" fontId="5" fillId="32" borderId="0" xfId="0" applyFont="1" applyFill="1" applyBorder="1" applyAlignment="1" applyProtection="1">
      <alignment/>
      <protection/>
    </xf>
    <xf numFmtId="0" fontId="21" fillId="32" borderId="0" xfId="0" applyFont="1" applyFill="1" applyBorder="1" applyAlignment="1" applyProtection="1">
      <alignment horizontal="center"/>
      <protection/>
    </xf>
    <xf numFmtId="0" fontId="29" fillId="32" borderId="0" xfId="0" applyFont="1" applyFill="1" applyBorder="1" applyAlignment="1" applyProtection="1">
      <alignment horizontal="center"/>
      <protection hidden="1"/>
    </xf>
    <xf numFmtId="0" fontId="22" fillId="32" borderId="0" xfId="0" applyFont="1" applyFill="1" applyBorder="1" applyAlignment="1" applyProtection="1">
      <alignment horizontal="center"/>
      <protection/>
    </xf>
    <xf numFmtId="1" fontId="22" fillId="32" borderId="0" xfId="0" applyNumberFormat="1" applyFont="1" applyFill="1" applyBorder="1" applyAlignment="1" applyProtection="1">
      <alignment horizontal="center"/>
      <protection/>
    </xf>
    <xf numFmtId="166" fontId="22" fillId="32" borderId="0" xfId="0" applyNumberFormat="1" applyFont="1" applyFill="1" applyBorder="1" applyAlignment="1" applyProtection="1">
      <alignment horizontal="center"/>
      <protection/>
    </xf>
    <xf numFmtId="2" fontId="8" fillId="32" borderId="0" xfId="0" applyNumberFormat="1" applyFont="1" applyFill="1" applyBorder="1" applyAlignment="1" applyProtection="1">
      <alignment horizontal="center"/>
      <protection locked="0"/>
    </xf>
    <xf numFmtId="0" fontId="8" fillId="32" borderId="0" xfId="0" applyFont="1" applyFill="1" applyBorder="1" applyAlignment="1" applyProtection="1">
      <alignment horizontal="left"/>
      <protection locked="0"/>
    </xf>
    <xf numFmtId="0" fontId="39" fillId="32" borderId="0" xfId="0" applyFont="1" applyFill="1" applyBorder="1" applyAlignment="1" applyProtection="1">
      <alignment horizontal="centerContinuous"/>
      <protection hidden="1"/>
    </xf>
    <xf numFmtId="0" fontId="39" fillId="32" borderId="0" xfId="0" applyFont="1" applyFill="1" applyBorder="1" applyAlignment="1" applyProtection="1">
      <alignment horizontal="centerContinuous"/>
      <protection hidden="1"/>
    </xf>
    <xf numFmtId="0" fontId="10" fillId="32" borderId="0" xfId="0" applyFont="1" applyFill="1" applyBorder="1" applyAlignment="1" applyProtection="1">
      <alignment horizontal="right"/>
      <protection hidden="1"/>
    </xf>
    <xf numFmtId="18" fontId="8" fillId="32" borderId="0" xfId="0" applyNumberFormat="1" applyFont="1" applyFill="1" applyBorder="1" applyAlignment="1" applyProtection="1">
      <alignment horizontal="center"/>
      <protection hidden="1"/>
    </xf>
    <xf numFmtId="0" fontId="5" fillId="32" borderId="0" xfId="0" applyFont="1" applyFill="1" applyBorder="1" applyAlignment="1" applyProtection="1">
      <alignment horizontal="left"/>
      <protection/>
    </xf>
    <xf numFmtId="165" fontId="21" fillId="32" borderId="0" xfId="0" applyNumberFormat="1" applyFont="1" applyFill="1" applyBorder="1" applyAlignment="1" applyProtection="1">
      <alignment horizontal="center"/>
      <protection/>
    </xf>
    <xf numFmtId="2" fontId="22" fillId="32" borderId="0" xfId="0" applyNumberFormat="1" applyFont="1" applyFill="1" applyBorder="1" applyAlignment="1" applyProtection="1">
      <alignment horizontal="center"/>
      <protection/>
    </xf>
    <xf numFmtId="166" fontId="5" fillId="32" borderId="0" xfId="0" applyNumberFormat="1" applyFont="1" applyFill="1" applyBorder="1" applyAlignment="1" applyProtection="1">
      <alignment/>
      <protection hidden="1"/>
    </xf>
    <xf numFmtId="14" fontId="0" fillId="32" borderId="0" xfId="0" applyNumberFormat="1" applyFill="1" applyBorder="1" applyAlignment="1" applyProtection="1">
      <alignment horizontal="center"/>
      <protection hidden="1"/>
    </xf>
    <xf numFmtId="18" fontId="0" fillId="32" borderId="0" xfId="0" applyNumberFormat="1" applyFill="1" applyBorder="1" applyAlignment="1" applyProtection="1">
      <alignment horizontal="center"/>
      <protection hidden="1"/>
    </xf>
    <xf numFmtId="0" fontId="8" fillId="32" borderId="0" xfId="0" applyFont="1" applyFill="1" applyBorder="1" applyAlignment="1" applyProtection="1">
      <alignment horizontal="right"/>
      <protection hidden="1"/>
    </xf>
    <xf numFmtId="0" fontId="12" fillId="32" borderId="0" xfId="0" applyFont="1" applyFill="1" applyBorder="1" applyAlignment="1" applyProtection="1">
      <alignment horizontal="right"/>
      <protection hidden="1"/>
    </xf>
    <xf numFmtId="166" fontId="11" fillId="32" borderId="0" xfId="0" applyNumberFormat="1" applyFont="1" applyFill="1" applyBorder="1" applyAlignment="1" applyProtection="1">
      <alignment horizontal="left"/>
      <protection hidden="1"/>
    </xf>
    <xf numFmtId="2" fontId="5" fillId="32" borderId="0" xfId="0" applyNumberFormat="1" applyFont="1" applyFill="1" applyBorder="1" applyAlignment="1" applyProtection="1">
      <alignment horizontal="center"/>
      <protection hidden="1"/>
    </xf>
    <xf numFmtId="0" fontId="40" fillId="32" borderId="0" xfId="0" applyFont="1" applyFill="1" applyBorder="1" applyAlignment="1" applyProtection="1">
      <alignment horizontal="centerContinuous"/>
      <protection hidden="1"/>
    </xf>
    <xf numFmtId="0" fontId="6" fillId="32" borderId="0" xfId="0" applyFont="1" applyFill="1" applyBorder="1" applyAlignment="1" applyProtection="1">
      <alignment horizontal="right"/>
      <protection hidden="1"/>
    </xf>
    <xf numFmtId="0" fontId="26" fillId="32" borderId="0" xfId="0" applyFont="1" applyFill="1" applyBorder="1" applyAlignment="1" applyProtection="1">
      <alignment horizontal="centerContinuous"/>
      <protection locked="0"/>
    </xf>
    <xf numFmtId="170" fontId="5" fillId="32" borderId="0" xfId="0" applyNumberFormat="1" applyFont="1" applyFill="1" applyBorder="1" applyAlignment="1" applyProtection="1">
      <alignment/>
      <protection hidden="1"/>
    </xf>
    <xf numFmtId="1" fontId="5" fillId="33" borderId="21" xfId="0" applyNumberFormat="1" applyFont="1" applyFill="1" applyBorder="1" applyAlignment="1" applyProtection="1">
      <alignment horizontal="center"/>
      <protection locked="0"/>
    </xf>
    <xf numFmtId="166" fontId="5" fillId="33" borderId="19" xfId="0" applyNumberFormat="1" applyFont="1" applyFill="1" applyBorder="1" applyAlignment="1" applyProtection="1">
      <alignment horizontal="center"/>
      <protection locked="0"/>
    </xf>
    <xf numFmtId="0" fontId="6" fillId="32" borderId="0" xfId="0" applyFont="1" applyFill="1" applyBorder="1" applyAlignment="1" applyProtection="1">
      <alignment horizontal="centerContinuous"/>
      <protection hidden="1"/>
    </xf>
    <xf numFmtId="0" fontId="8" fillId="34" borderId="21" xfId="0" applyNumberFormat="1" applyFont="1" applyFill="1" applyBorder="1" applyAlignment="1" applyProtection="1">
      <alignment horizontal="center"/>
      <protection hidden="1"/>
    </xf>
    <xf numFmtId="0" fontId="8" fillId="34" borderId="20" xfId="0" applyNumberFormat="1" applyFont="1" applyFill="1" applyBorder="1" applyAlignment="1" applyProtection="1">
      <alignment horizontal="center"/>
      <protection hidden="1"/>
    </xf>
    <xf numFmtId="0" fontId="8" fillId="34" borderId="19" xfId="0" applyNumberFormat="1" applyFont="1" applyFill="1" applyBorder="1" applyAlignment="1" applyProtection="1">
      <alignment horizontal="center"/>
      <protection hidden="1"/>
    </xf>
    <xf numFmtId="0" fontId="8" fillId="34" borderId="21" xfId="0" applyFont="1" applyFill="1" applyBorder="1" applyAlignment="1" applyProtection="1">
      <alignment horizontal="center"/>
      <protection hidden="1"/>
    </xf>
    <xf numFmtId="0" fontId="8" fillId="34" borderId="19" xfId="0" applyFont="1" applyFill="1" applyBorder="1" applyAlignment="1" applyProtection="1">
      <alignment horizontal="center"/>
      <protection hidden="1"/>
    </xf>
    <xf numFmtId="0" fontId="8" fillId="34" borderId="20" xfId="0" applyFont="1" applyFill="1" applyBorder="1" applyAlignment="1" applyProtection="1">
      <alignment horizontal="center"/>
      <protection hidden="1"/>
    </xf>
    <xf numFmtId="0" fontId="5" fillId="32" borderId="9" xfId="0" applyFont="1" applyFill="1" applyBorder="1" applyAlignment="1" applyProtection="1">
      <alignment horizontal="center"/>
      <protection locked="0"/>
    </xf>
    <xf numFmtId="168" fontId="8" fillId="32" borderId="22" xfId="0" applyNumberFormat="1" applyFont="1" applyFill="1" applyBorder="1" applyAlignment="1" applyProtection="1">
      <alignment horizontal="center"/>
      <protection hidden="1"/>
    </xf>
    <xf numFmtId="0" fontId="8" fillId="32" borderId="9" xfId="0" applyFont="1" applyFill="1" applyBorder="1" applyAlignment="1" applyProtection="1">
      <alignment horizontal="center"/>
      <protection locked="0"/>
    </xf>
    <xf numFmtId="0" fontId="6" fillId="32" borderId="0" xfId="0" applyFont="1" applyFill="1" applyBorder="1" applyAlignment="1" applyProtection="1">
      <alignment horizontal="center"/>
      <protection locked="0"/>
    </xf>
    <xf numFmtId="168" fontId="5" fillId="32" borderId="9" xfId="0" applyNumberFormat="1" applyFont="1" applyFill="1" applyBorder="1" applyAlignment="1" applyProtection="1">
      <alignment horizontal="center"/>
      <protection locked="0"/>
    </xf>
    <xf numFmtId="0" fontId="11" fillId="32" borderId="9" xfId="0" applyFont="1" applyFill="1" applyBorder="1" applyAlignment="1" applyProtection="1">
      <alignment horizontal="centerContinuous"/>
      <protection hidden="1"/>
    </xf>
    <xf numFmtId="166" fontId="41" fillId="32" borderId="0" xfId="0" applyNumberFormat="1" applyFont="1" applyFill="1" applyBorder="1" applyAlignment="1" applyProtection="1">
      <alignment horizontal="centerContinuous"/>
      <protection hidden="1"/>
    </xf>
    <xf numFmtId="0" fontId="42" fillId="32" borderId="0" xfId="0" applyFont="1" applyFill="1" applyAlignment="1">
      <alignment horizontal="centerContinuous"/>
    </xf>
    <xf numFmtId="0" fontId="43" fillId="32" borderId="0" xfId="0" applyFont="1" applyFill="1" applyAlignment="1">
      <alignment horizontal="centerContinuous"/>
    </xf>
    <xf numFmtId="0" fontId="43" fillId="32" borderId="0" xfId="0" applyFont="1" applyFill="1" applyAlignment="1">
      <alignment/>
    </xf>
    <xf numFmtId="0" fontId="0" fillId="32" borderId="0" xfId="0" applyFill="1" applyAlignment="1">
      <alignment/>
    </xf>
    <xf numFmtId="0" fontId="9" fillId="32" borderId="0" xfId="0" applyFont="1" applyFill="1" applyAlignment="1">
      <alignment/>
    </xf>
    <xf numFmtId="0" fontId="2" fillId="32" borderId="16" xfId="0" applyFont="1" applyFill="1" applyBorder="1" applyAlignment="1">
      <alignment horizontal="centerContinuous"/>
    </xf>
    <xf numFmtId="0" fontId="44" fillId="32" borderId="17" xfId="0" applyFont="1" applyFill="1" applyBorder="1" applyAlignment="1">
      <alignment horizontal="centerContinuous"/>
    </xf>
    <xf numFmtId="0" fontId="44" fillId="32" borderId="18" xfId="0" applyFont="1" applyFill="1" applyBorder="1" applyAlignment="1">
      <alignment horizontal="centerContinuous"/>
    </xf>
    <xf numFmtId="0" fontId="0" fillId="32" borderId="17" xfId="0" applyFont="1" applyFill="1" applyBorder="1" applyAlignment="1">
      <alignment horizontal="centerContinuous"/>
    </xf>
    <xf numFmtId="0" fontId="0" fillId="32" borderId="18" xfId="0" applyFont="1" applyFill="1" applyBorder="1" applyAlignment="1">
      <alignment horizontal="centerContinuous"/>
    </xf>
    <xf numFmtId="0" fontId="43" fillId="0" borderId="10" xfId="0" applyFont="1" applyFill="1" applyBorder="1" applyAlignment="1">
      <alignment horizontal="centerContinuous"/>
    </xf>
    <xf numFmtId="0" fontId="43" fillId="0" borderId="11" xfId="0" applyFont="1" applyFill="1" applyBorder="1" applyAlignment="1">
      <alignment horizontal="centerContinuous"/>
    </xf>
    <xf numFmtId="0" fontId="43" fillId="0" borderId="22" xfId="0" applyFont="1" applyFill="1" applyBorder="1" applyAlignment="1">
      <alignment horizontal="centerContinuous"/>
    </xf>
    <xf numFmtId="0" fontId="43" fillId="0" borderId="12" xfId="0" applyFont="1" applyFill="1" applyBorder="1" applyAlignment="1">
      <alignment horizontal="centerContinuous"/>
    </xf>
    <xf numFmtId="0" fontId="43" fillId="0" borderId="13" xfId="0" applyFont="1" applyFill="1" applyBorder="1" applyAlignment="1">
      <alignment horizontal="centerContinuous"/>
    </xf>
    <xf numFmtId="0" fontId="43" fillId="0" borderId="14" xfId="0" applyFont="1" applyFill="1" applyBorder="1" applyAlignment="1">
      <alignment horizontal="centerContinuous"/>
    </xf>
    <xf numFmtId="0" fontId="43" fillId="32" borderId="0" xfId="0" applyFont="1" applyFill="1" applyBorder="1" applyAlignment="1">
      <alignment horizontal="centerContinuous"/>
    </xf>
    <xf numFmtId="0" fontId="45" fillId="32" borderId="0" xfId="0" applyFont="1" applyFill="1" applyAlignment="1">
      <alignment/>
    </xf>
    <xf numFmtId="0" fontId="43" fillId="0" borderId="8" xfId="0" applyFont="1" applyFill="1" applyBorder="1" applyAlignment="1">
      <alignment horizontal="centerContinuous"/>
    </xf>
    <xf numFmtId="0" fontId="43" fillId="0" borderId="0" xfId="0" applyFont="1" applyFill="1" applyBorder="1" applyAlignment="1">
      <alignment horizontal="centerContinuous"/>
    </xf>
    <xf numFmtId="0" fontId="43" fillId="0" borderId="9" xfId="0" applyFont="1" applyFill="1" applyBorder="1" applyAlignment="1">
      <alignment horizontal="centerContinuous"/>
    </xf>
    <xf numFmtId="0" fontId="2" fillId="32" borderId="17" xfId="0" applyFont="1" applyFill="1" applyBorder="1" applyAlignment="1">
      <alignment horizontal="centerContinuous"/>
    </xf>
    <xf numFmtId="2" fontId="22" fillId="32" borderId="25" xfId="0" applyNumberFormat="1" applyFont="1" applyFill="1" applyBorder="1" applyAlignment="1" applyProtection="1">
      <alignment horizontal="center"/>
      <protection hidden="1"/>
    </xf>
    <xf numFmtId="166" fontId="22" fillId="32" borderId="26" xfId="0" applyNumberFormat="1" applyFont="1" applyFill="1" applyBorder="1" applyAlignment="1" applyProtection="1">
      <alignment horizontal="center"/>
      <protection hidden="1"/>
    </xf>
    <xf numFmtId="2" fontId="22" fillId="32" borderId="26" xfId="0" applyNumberFormat="1" applyFont="1" applyFill="1" applyBorder="1" applyAlignment="1" applyProtection="1">
      <alignment horizontal="center"/>
      <protection hidden="1"/>
    </xf>
    <xf numFmtId="2" fontId="22" fillId="32" borderId="27" xfId="0" applyNumberFormat="1" applyFont="1" applyFill="1" applyBorder="1" applyAlignment="1" applyProtection="1">
      <alignment horizontal="center"/>
      <protection hidden="1"/>
    </xf>
    <xf numFmtId="166" fontId="22" fillId="32" borderId="28" xfId="0" applyNumberFormat="1" applyFont="1" applyFill="1" applyBorder="1" applyAlignment="1" applyProtection="1">
      <alignment horizontal="center"/>
      <protection hidden="1"/>
    </xf>
    <xf numFmtId="166" fontId="22" fillId="32" borderId="29" xfId="0" applyNumberFormat="1" applyFont="1" applyFill="1" applyBorder="1" applyAlignment="1" applyProtection="1">
      <alignment horizontal="center"/>
      <protection hidden="1"/>
    </xf>
    <xf numFmtId="166" fontId="22" fillId="32" borderId="30" xfId="0" applyNumberFormat="1" applyFont="1" applyFill="1" applyBorder="1" applyAlignment="1" applyProtection="1">
      <alignment horizontal="center"/>
      <protection hidden="1"/>
    </xf>
    <xf numFmtId="166" fontId="22" fillId="32" borderId="31" xfId="0" applyNumberFormat="1" applyFont="1" applyFill="1" applyBorder="1" applyAlignment="1" applyProtection="1">
      <alignment horizontal="center"/>
      <protection hidden="1"/>
    </xf>
    <xf numFmtId="166" fontId="22" fillId="32" borderId="32" xfId="0" applyNumberFormat="1" applyFont="1" applyFill="1" applyBorder="1" applyAlignment="1" applyProtection="1">
      <alignment horizontal="center"/>
      <protection hidden="1"/>
    </xf>
    <xf numFmtId="0" fontId="5" fillId="32" borderId="10" xfId="0" applyFont="1" applyFill="1" applyBorder="1" applyAlignment="1" applyProtection="1">
      <alignment horizontal="centerContinuous"/>
      <protection hidden="1"/>
    </xf>
    <xf numFmtId="0" fontId="5" fillId="32" borderId="11" xfId="0" applyFont="1" applyFill="1" applyBorder="1" applyAlignment="1" applyProtection="1">
      <alignment horizontal="centerContinuous"/>
      <protection hidden="1"/>
    </xf>
    <xf numFmtId="0" fontId="5" fillId="32" borderId="22" xfId="0" applyFont="1" applyFill="1" applyBorder="1" applyAlignment="1" applyProtection="1">
      <alignment horizontal="centerContinuous"/>
      <protection hidden="1"/>
    </xf>
    <xf numFmtId="0" fontId="5" fillId="32" borderId="15" xfId="0" applyFont="1" applyFill="1" applyBorder="1" applyAlignment="1">
      <alignment horizontal="center"/>
    </xf>
    <xf numFmtId="0" fontId="5" fillId="32" borderId="15" xfId="0" applyNumberFormat="1" applyFont="1" applyFill="1" applyBorder="1" applyAlignment="1">
      <alignment horizontal="center"/>
    </xf>
    <xf numFmtId="0" fontId="5" fillId="32" borderId="12" xfId="0" applyFont="1" applyFill="1" applyBorder="1" applyAlignment="1" applyProtection="1">
      <alignment horizontal="centerContinuous"/>
      <protection hidden="1"/>
    </xf>
    <xf numFmtId="0" fontId="5" fillId="32" borderId="13" xfId="0" applyFont="1" applyFill="1" applyBorder="1" applyAlignment="1" applyProtection="1">
      <alignment horizontal="centerContinuous"/>
      <protection hidden="1"/>
    </xf>
    <xf numFmtId="0" fontId="5" fillId="32" borderId="14" xfId="0" applyFont="1" applyFill="1" applyBorder="1" applyAlignment="1" applyProtection="1">
      <alignment horizontal="centerContinuous"/>
      <protection hidden="1"/>
    </xf>
    <xf numFmtId="0" fontId="0" fillId="34" borderId="22" xfId="0" applyFill="1" applyBorder="1" applyAlignment="1">
      <alignment horizontal="centerContinuous"/>
    </xf>
    <xf numFmtId="0" fontId="5" fillId="32" borderId="12" xfId="0" applyFont="1" applyFill="1" applyBorder="1" applyAlignment="1" applyProtection="1">
      <alignment horizontal="centerContinuous"/>
      <protection hidden="1"/>
    </xf>
    <xf numFmtId="0" fontId="5" fillId="32" borderId="13" xfId="0" applyFont="1" applyFill="1" applyBorder="1" applyAlignment="1" applyProtection="1">
      <alignment horizontal="centerContinuous"/>
      <protection hidden="1"/>
    </xf>
    <xf numFmtId="0" fontId="5" fillId="32" borderId="14" xfId="0" applyFont="1" applyFill="1" applyBorder="1" applyAlignment="1" applyProtection="1">
      <alignment horizontal="centerContinuous"/>
      <protection hidden="1"/>
    </xf>
    <xf numFmtId="0" fontId="5" fillId="32" borderId="24" xfId="0" applyFont="1" applyFill="1" applyBorder="1" applyAlignment="1">
      <alignment horizontal="center"/>
    </xf>
    <xf numFmtId="0" fontId="5" fillId="32" borderId="0" xfId="0" applyNumberFormat="1" applyFont="1" applyFill="1" applyBorder="1" applyAlignment="1">
      <alignment/>
    </xf>
    <xf numFmtId="0" fontId="22" fillId="32" borderId="33" xfId="0" applyFont="1" applyFill="1" applyBorder="1" applyAlignment="1">
      <alignment horizontal="center"/>
    </xf>
    <xf numFmtId="0" fontId="22" fillId="32" borderId="33" xfId="0" applyNumberFormat="1" applyFont="1" applyFill="1" applyBorder="1" applyAlignment="1">
      <alignment horizontal="center"/>
    </xf>
    <xf numFmtId="0" fontId="22" fillId="32" borderId="0" xfId="0" applyNumberFormat="1" applyFont="1" applyFill="1" applyBorder="1" applyAlignment="1">
      <alignment/>
    </xf>
    <xf numFmtId="0" fontId="22" fillId="32" borderId="19" xfId="0" applyFont="1" applyFill="1" applyBorder="1" applyAlignment="1">
      <alignment horizontal="center"/>
    </xf>
    <xf numFmtId="0" fontId="22" fillId="32" borderId="19" xfId="0" applyNumberFormat="1" applyFont="1" applyFill="1" applyBorder="1" applyAlignment="1">
      <alignment horizontal="center"/>
    </xf>
    <xf numFmtId="166" fontId="22" fillId="32" borderId="0" xfId="0" applyNumberFormat="1" applyFont="1" applyFill="1" applyBorder="1" applyAlignment="1">
      <alignment/>
    </xf>
    <xf numFmtId="0" fontId="5" fillId="32" borderId="0" xfId="0" applyFont="1" applyFill="1" applyAlignment="1">
      <alignment horizontal="center"/>
    </xf>
    <xf numFmtId="0" fontId="47" fillId="32" borderId="0" xfId="0" applyFont="1" applyFill="1" applyBorder="1" applyAlignment="1" applyProtection="1">
      <alignment/>
      <protection hidden="1"/>
    </xf>
    <xf numFmtId="0" fontId="46" fillId="32" borderId="0" xfId="0" applyFont="1" applyFill="1" applyBorder="1" applyAlignment="1" applyProtection="1">
      <alignment/>
      <protection hidden="1"/>
    </xf>
    <xf numFmtId="170" fontId="46" fillId="32" borderId="0" xfId="0" applyNumberFormat="1" applyFont="1" applyFill="1" applyBorder="1" applyAlignment="1" applyProtection="1">
      <alignment/>
      <protection hidden="1"/>
    </xf>
    <xf numFmtId="0" fontId="0" fillId="34" borderId="34" xfId="0" applyFont="1" applyFill="1" applyBorder="1" applyAlignment="1" applyProtection="1">
      <alignment horizontal="center"/>
      <protection hidden="1"/>
    </xf>
    <xf numFmtId="166" fontId="8" fillId="34" borderId="15" xfId="0" applyNumberFormat="1" applyFont="1" applyFill="1" applyBorder="1" applyAlignment="1" applyProtection="1">
      <alignment horizontal="center"/>
      <protection hidden="1"/>
    </xf>
    <xf numFmtId="0" fontId="5" fillId="33" borderId="17" xfId="0" applyFont="1" applyFill="1" applyBorder="1" applyAlignment="1" applyProtection="1">
      <alignment horizontal="center"/>
      <protection locked="0"/>
    </xf>
    <xf numFmtId="2" fontId="22" fillId="32" borderId="0" xfId="0" applyNumberFormat="1" applyFont="1" applyFill="1" applyBorder="1" applyAlignment="1">
      <alignment/>
    </xf>
    <xf numFmtId="0" fontId="22" fillId="32" borderId="20" xfId="0" applyFont="1" applyFill="1" applyBorder="1" applyAlignment="1">
      <alignment horizontal="center"/>
    </xf>
    <xf numFmtId="0" fontId="22" fillId="32" borderId="20" xfId="0" applyNumberFormat="1" applyFont="1" applyFill="1" applyBorder="1" applyAlignment="1">
      <alignment horizontal="center"/>
    </xf>
    <xf numFmtId="0" fontId="0" fillId="34" borderId="34" xfId="0" applyFill="1" applyBorder="1" applyAlignment="1" applyProtection="1">
      <alignment horizontal="center"/>
      <protection hidden="1"/>
    </xf>
    <xf numFmtId="0" fontId="0" fillId="34" borderId="10" xfId="0" applyFill="1" applyBorder="1" applyAlignment="1" applyProtection="1">
      <alignment horizontal="centerContinuous"/>
      <protection hidden="1"/>
    </xf>
    <xf numFmtId="0" fontId="0" fillId="32" borderId="0" xfId="0" applyFill="1" applyBorder="1" applyAlignment="1">
      <alignment/>
    </xf>
    <xf numFmtId="2" fontId="20" fillId="32" borderId="0" xfId="0" applyNumberFormat="1" applyFont="1" applyFill="1" applyAlignment="1" applyProtection="1">
      <alignment horizontal="center"/>
      <protection hidden="1"/>
    </xf>
    <xf numFmtId="0" fontId="29" fillId="32" borderId="0" xfId="0" applyFont="1" applyFill="1" applyBorder="1" applyAlignment="1" applyProtection="1">
      <alignment/>
      <protection hidden="1"/>
    </xf>
    <xf numFmtId="165" fontId="5" fillId="32" borderId="21" xfId="0" applyNumberFormat="1" applyFont="1" applyFill="1" applyBorder="1" applyAlignment="1" applyProtection="1">
      <alignment horizontal="center"/>
      <protection hidden="1"/>
    </xf>
    <xf numFmtId="165" fontId="20" fillId="32" borderId="0" xfId="0" applyNumberFormat="1" applyFont="1" applyFill="1" applyAlignment="1" applyProtection="1">
      <alignment horizontal="center"/>
      <protection hidden="1"/>
    </xf>
    <xf numFmtId="0" fontId="20" fillId="32" borderId="0" xfId="0" applyFont="1" applyFill="1" applyAlignment="1" applyProtection="1">
      <alignment horizontal="right"/>
      <protection hidden="1"/>
    </xf>
    <xf numFmtId="0" fontId="20" fillId="32" borderId="0" xfId="0" applyFont="1" applyFill="1" applyAlignment="1" applyProtection="1">
      <alignment/>
      <protection hidden="1"/>
    </xf>
    <xf numFmtId="0" fontId="20" fillId="32" borderId="0" xfId="0" applyFont="1" applyFill="1" applyAlignment="1" applyProtection="1">
      <alignment horizontal="center"/>
      <protection hidden="1"/>
    </xf>
    <xf numFmtId="0" fontId="20" fillId="32" borderId="0" xfId="0" applyFont="1" applyFill="1" applyAlignment="1" applyProtection="1">
      <alignment horizontal="left"/>
      <protection hidden="1"/>
    </xf>
    <xf numFmtId="0" fontId="48" fillId="32" borderId="0" xfId="0" applyFont="1" applyFill="1" applyAlignment="1" applyProtection="1">
      <alignment/>
      <protection hidden="1"/>
    </xf>
    <xf numFmtId="0" fontId="20" fillId="32" borderId="0" xfId="0" applyFont="1" applyFill="1" applyAlignment="1" applyProtection="1">
      <alignment/>
      <protection hidden="1"/>
    </xf>
    <xf numFmtId="0" fontId="48" fillId="32" borderId="0" xfId="0" applyFont="1" applyFill="1" applyAlignment="1" applyProtection="1">
      <alignment horizontal="right"/>
      <protection hidden="1"/>
    </xf>
    <xf numFmtId="0" fontId="7" fillId="32" borderId="0" xfId="0" applyFont="1" applyFill="1" applyBorder="1" applyAlignment="1" applyProtection="1">
      <alignment horizontal="left"/>
      <protection hidden="1"/>
    </xf>
    <xf numFmtId="0" fontId="8" fillId="32" borderId="23" xfId="0" applyFont="1" applyFill="1" applyBorder="1" applyAlignment="1" applyProtection="1">
      <alignment horizontal="right"/>
      <protection hidden="1"/>
    </xf>
    <xf numFmtId="0" fontId="1" fillId="32" borderId="10" xfId="0" applyFont="1" applyFill="1" applyBorder="1" applyAlignment="1" applyProtection="1">
      <alignment horizontal="centerContinuous"/>
      <protection hidden="1"/>
    </xf>
    <xf numFmtId="0" fontId="0" fillId="32" borderId="11" xfId="0" applyFill="1" applyBorder="1" applyAlignment="1" applyProtection="1">
      <alignment horizontal="centerContinuous"/>
      <protection hidden="1"/>
    </xf>
    <xf numFmtId="0" fontId="2" fillId="32" borderId="11" xfId="0" applyFont="1" applyFill="1" applyBorder="1" applyAlignment="1" applyProtection="1">
      <alignment horizontal="centerContinuous"/>
      <protection hidden="1"/>
    </xf>
    <xf numFmtId="0" fontId="0" fillId="32" borderId="22" xfId="0" applyFill="1" applyBorder="1" applyAlignment="1" applyProtection="1">
      <alignment horizontal="centerContinuous"/>
      <protection hidden="1"/>
    </xf>
    <xf numFmtId="0" fontId="4" fillId="32" borderId="0" xfId="0" applyFont="1" applyFill="1" applyBorder="1" applyAlignment="1" applyProtection="1">
      <alignment horizontal="centerContinuous"/>
      <protection hidden="1"/>
    </xf>
    <xf numFmtId="0" fontId="4" fillId="32" borderId="9" xfId="0" applyFont="1" applyFill="1" applyBorder="1" applyAlignment="1" applyProtection="1">
      <alignment horizontal="centerContinuous"/>
      <protection hidden="1"/>
    </xf>
    <xf numFmtId="0" fontId="6" fillId="32" borderId="8" xfId="0" applyFont="1" applyFill="1" applyBorder="1" applyAlignment="1" applyProtection="1">
      <alignment horizontal="centerContinuous"/>
      <protection hidden="1"/>
    </xf>
    <xf numFmtId="0" fontId="6" fillId="32" borderId="12" xfId="0" applyFont="1" applyFill="1" applyBorder="1" applyAlignment="1" applyProtection="1">
      <alignment horizontal="centerContinuous"/>
      <protection hidden="1"/>
    </xf>
    <xf numFmtId="0" fontId="0" fillId="32" borderId="24" xfId="0" applyFill="1" applyBorder="1" applyAlignment="1" applyProtection="1">
      <alignment horizontal="center"/>
      <protection hidden="1"/>
    </xf>
    <xf numFmtId="0" fontId="5" fillId="33" borderId="16" xfId="0" applyFont="1" applyFill="1" applyBorder="1" applyAlignment="1" applyProtection="1">
      <alignment/>
      <protection locked="0"/>
    </xf>
    <xf numFmtId="0" fontId="5" fillId="33" borderId="17" xfId="0" applyFont="1" applyFill="1" applyBorder="1" applyAlignment="1" applyProtection="1">
      <alignment/>
      <protection hidden="1"/>
    </xf>
    <xf numFmtId="49" fontId="5" fillId="33" borderId="16" xfId="0" applyNumberFormat="1" applyFont="1" applyFill="1" applyBorder="1" applyAlignment="1" applyProtection="1">
      <alignment/>
      <protection locked="0"/>
    </xf>
    <xf numFmtId="49" fontId="5" fillId="33" borderId="17" xfId="0" applyNumberFormat="1" applyFont="1" applyFill="1" applyBorder="1" applyAlignment="1" applyProtection="1">
      <alignment/>
      <protection hidden="1"/>
    </xf>
    <xf numFmtId="49" fontId="5" fillId="33" borderId="18" xfId="0" applyNumberFormat="1" applyFont="1" applyFill="1" applyBorder="1" applyAlignment="1" applyProtection="1">
      <alignment/>
      <protection hidden="1"/>
    </xf>
    <xf numFmtId="0" fontId="5" fillId="33" borderId="18" xfId="0" applyFont="1" applyFill="1" applyBorder="1" applyAlignment="1" applyProtection="1">
      <alignment/>
      <protection hidden="1"/>
    </xf>
    <xf numFmtId="14" fontId="5" fillId="33" borderId="15" xfId="0" applyNumberFormat="1" applyFont="1" applyFill="1" applyBorder="1" applyAlignment="1" applyProtection="1">
      <alignment horizontal="centerContinuous"/>
      <protection locked="0"/>
    </xf>
    <xf numFmtId="0" fontId="5" fillId="32" borderId="9" xfId="0" applyFont="1" applyFill="1" applyBorder="1" applyAlignment="1" applyProtection="1">
      <alignment horizontal="right"/>
      <protection hidden="1"/>
    </xf>
    <xf numFmtId="0" fontId="0" fillId="32" borderId="0" xfId="0" applyFont="1" applyFill="1" applyAlignment="1" applyProtection="1">
      <alignment/>
      <protection hidden="1"/>
    </xf>
    <xf numFmtId="0" fontId="4" fillId="32" borderId="13" xfId="0" applyFont="1" applyFill="1" applyBorder="1" applyAlignment="1" applyProtection="1">
      <alignment horizontal="centerContinuous"/>
      <protection hidden="1"/>
    </xf>
    <xf numFmtId="0" fontId="0" fillId="32" borderId="14" xfId="0" applyFill="1" applyBorder="1" applyAlignment="1" applyProtection="1">
      <alignment horizontal="centerContinuous"/>
      <protection hidden="1"/>
    </xf>
    <xf numFmtId="49" fontId="5" fillId="33" borderId="17" xfId="0" applyNumberFormat="1" applyFont="1" applyFill="1" applyBorder="1" applyAlignment="1" applyProtection="1">
      <alignment/>
      <protection locked="0"/>
    </xf>
    <xf numFmtId="0" fontId="45" fillId="32" borderId="0" xfId="0" applyFont="1" applyFill="1" applyAlignment="1">
      <alignment horizontal="right"/>
    </xf>
    <xf numFmtId="13" fontId="5" fillId="32" borderId="0" xfId="0" applyNumberFormat="1" applyFont="1" applyFill="1" applyAlignment="1" applyProtection="1">
      <alignment horizontal="center"/>
      <protection hidden="1"/>
    </xf>
    <xf numFmtId="0" fontId="5" fillId="32" borderId="0" xfId="0" applyNumberFormat="1" applyFont="1" applyFill="1" applyAlignment="1" applyProtection="1">
      <alignment/>
      <protection hidden="1"/>
    </xf>
    <xf numFmtId="166" fontId="20" fillId="32" borderId="0" xfId="0" applyNumberFormat="1" applyFont="1" applyFill="1" applyAlignment="1" applyProtection="1">
      <alignment horizontal="center"/>
      <protection hidden="1"/>
    </xf>
    <xf numFmtId="0" fontId="8" fillId="32" borderId="0" xfId="0" applyFont="1" applyFill="1" applyAlignment="1" applyProtection="1">
      <alignment/>
      <protection hidden="1"/>
    </xf>
    <xf numFmtId="166" fontId="18" fillId="32" borderId="0" xfId="0" applyNumberFormat="1" applyFont="1" applyFill="1" applyAlignment="1" applyProtection="1">
      <alignment horizontal="center"/>
      <protection hidden="1"/>
    </xf>
    <xf numFmtId="0" fontId="22" fillId="32" borderId="21" xfId="0" applyNumberFormat="1" applyFont="1" applyFill="1" applyBorder="1" applyAlignment="1">
      <alignment horizontal="center"/>
    </xf>
    <xf numFmtId="164" fontId="22" fillId="32" borderId="35" xfId="0" applyNumberFormat="1" applyFont="1" applyFill="1" applyBorder="1" applyAlignment="1">
      <alignment horizontal="center"/>
    </xf>
    <xf numFmtId="164" fontId="22" fillId="32" borderId="25" xfId="0" applyNumberFormat="1" applyFont="1" applyFill="1" applyBorder="1" applyAlignment="1">
      <alignment horizontal="center"/>
    </xf>
    <xf numFmtId="2" fontId="22" fillId="32" borderId="25" xfId="0" applyNumberFormat="1" applyFont="1" applyFill="1" applyBorder="1" applyAlignment="1">
      <alignment horizontal="center"/>
    </xf>
    <xf numFmtId="2" fontId="22" fillId="32" borderId="36" xfId="0" applyNumberFormat="1" applyFont="1" applyFill="1" applyBorder="1" applyAlignment="1" applyProtection="1">
      <alignment horizontal="center"/>
      <protection locked="0"/>
    </xf>
    <xf numFmtId="0" fontId="22" fillId="32" borderId="19" xfId="0" applyNumberFormat="1" applyFont="1" applyFill="1" applyBorder="1" applyAlignment="1">
      <alignment horizontal="center"/>
    </xf>
    <xf numFmtId="164" fontId="22" fillId="32" borderId="30" xfId="0" applyNumberFormat="1" applyFont="1" applyFill="1" applyBorder="1" applyAlignment="1">
      <alignment horizontal="center"/>
    </xf>
    <xf numFmtId="164" fontId="22" fillId="32" borderId="26" xfId="0" applyNumberFormat="1" applyFont="1" applyFill="1" applyBorder="1" applyAlignment="1">
      <alignment horizontal="center"/>
    </xf>
    <xf numFmtId="166" fontId="22" fillId="32" borderId="26" xfId="0" applyNumberFormat="1" applyFont="1" applyFill="1" applyBorder="1" applyAlignment="1">
      <alignment horizontal="center"/>
    </xf>
    <xf numFmtId="2" fontId="22" fillId="32" borderId="26" xfId="0" applyNumberFormat="1" applyFont="1" applyFill="1" applyBorder="1" applyAlignment="1">
      <alignment horizontal="center"/>
    </xf>
    <xf numFmtId="2" fontId="22" fillId="32" borderId="27" xfId="0" applyNumberFormat="1" applyFont="1" applyFill="1" applyBorder="1" applyAlignment="1" applyProtection="1">
      <alignment horizontal="center"/>
      <protection locked="0"/>
    </xf>
    <xf numFmtId="0" fontId="22" fillId="32" borderId="30" xfId="0" applyNumberFormat="1" applyFont="1" applyFill="1" applyBorder="1" applyAlignment="1">
      <alignment horizontal="center"/>
    </xf>
    <xf numFmtId="166" fontId="22" fillId="32" borderId="27" xfId="0" applyNumberFormat="1" applyFont="1" applyFill="1" applyBorder="1" applyAlignment="1" applyProtection="1">
      <alignment horizontal="center"/>
      <protection locked="0"/>
    </xf>
    <xf numFmtId="2" fontId="22" fillId="32" borderId="30" xfId="0" applyNumberFormat="1" applyFont="1" applyFill="1" applyBorder="1" applyAlignment="1">
      <alignment horizontal="center"/>
    </xf>
    <xf numFmtId="0" fontId="22" fillId="32" borderId="20" xfId="0" applyNumberFormat="1" applyFont="1" applyFill="1" applyBorder="1" applyAlignment="1">
      <alignment horizontal="center"/>
    </xf>
    <xf numFmtId="2" fontId="22" fillId="32" borderId="31" xfId="0" applyNumberFormat="1" applyFont="1" applyFill="1" applyBorder="1" applyAlignment="1">
      <alignment horizontal="center"/>
    </xf>
    <xf numFmtId="2" fontId="22" fillId="32" borderId="28" xfId="0" applyNumberFormat="1" applyFont="1" applyFill="1" applyBorder="1" applyAlignment="1">
      <alignment horizontal="center"/>
    </xf>
    <xf numFmtId="166" fontId="22" fillId="32" borderId="28" xfId="0" applyNumberFormat="1" applyFont="1" applyFill="1" applyBorder="1" applyAlignment="1">
      <alignment horizontal="center"/>
    </xf>
    <xf numFmtId="166" fontId="22" fillId="32" borderId="29" xfId="0" applyNumberFormat="1" applyFont="1" applyFill="1" applyBorder="1" applyAlignment="1" applyProtection="1">
      <alignment horizontal="center"/>
      <protection locked="0"/>
    </xf>
    <xf numFmtId="0" fontId="22" fillId="32" borderId="33" xfId="0" applyNumberFormat="1" applyFont="1" applyFill="1" applyBorder="1" applyAlignment="1">
      <alignment horizontal="center"/>
    </xf>
    <xf numFmtId="2" fontId="22" fillId="32" borderId="37" xfId="0" applyNumberFormat="1" applyFont="1" applyFill="1" applyBorder="1" applyAlignment="1">
      <alignment horizontal="center"/>
    </xf>
    <xf numFmtId="164" fontId="22" fillId="32" borderId="32" xfId="0" applyNumberFormat="1" applyFont="1" applyFill="1" applyBorder="1" applyAlignment="1">
      <alignment horizontal="center"/>
    </xf>
    <xf numFmtId="166" fontId="22" fillId="32" borderId="32" xfId="0" applyNumberFormat="1" applyFont="1" applyFill="1" applyBorder="1" applyAlignment="1">
      <alignment horizontal="center"/>
    </xf>
    <xf numFmtId="2" fontId="22" fillId="32" borderId="32" xfId="0" applyNumberFormat="1" applyFont="1" applyFill="1" applyBorder="1" applyAlignment="1">
      <alignment horizontal="center"/>
    </xf>
    <xf numFmtId="166" fontId="22" fillId="32" borderId="38" xfId="0" applyNumberFormat="1" applyFont="1" applyFill="1" applyBorder="1" applyAlignment="1">
      <alignment horizontal="center"/>
    </xf>
    <xf numFmtId="166" fontId="22" fillId="32" borderId="27" xfId="0" applyNumberFormat="1" applyFont="1" applyFill="1" applyBorder="1" applyAlignment="1">
      <alignment horizontal="center"/>
    </xf>
    <xf numFmtId="165" fontId="22" fillId="32" borderId="26" xfId="0" applyNumberFormat="1" applyFont="1" applyFill="1" applyBorder="1" applyAlignment="1">
      <alignment horizontal="center"/>
    </xf>
    <xf numFmtId="166" fontId="22" fillId="32" borderId="31" xfId="0" applyNumberFormat="1" applyFont="1" applyFill="1" applyBorder="1" applyAlignment="1">
      <alignment horizontal="center"/>
    </xf>
    <xf numFmtId="165" fontId="22" fillId="32" borderId="28" xfId="0" applyNumberFormat="1" applyFont="1" applyFill="1" applyBorder="1" applyAlignment="1">
      <alignment horizontal="center"/>
    </xf>
    <xf numFmtId="166" fontId="22" fillId="32" borderId="29" xfId="0" applyNumberFormat="1" applyFont="1" applyFill="1" applyBorder="1" applyAlignment="1">
      <alignment horizontal="center"/>
    </xf>
    <xf numFmtId="164" fontId="22" fillId="32" borderId="37" xfId="0" applyNumberFormat="1" applyFont="1" applyFill="1" applyBorder="1" applyAlignment="1">
      <alignment horizontal="center"/>
    </xf>
    <xf numFmtId="2" fontId="22" fillId="32" borderId="38" xfId="0" applyNumberFormat="1" applyFont="1" applyFill="1" applyBorder="1" applyAlignment="1">
      <alignment horizontal="center"/>
    </xf>
    <xf numFmtId="2" fontId="22" fillId="32" borderId="27" xfId="0" applyNumberFormat="1" applyFont="1" applyFill="1" applyBorder="1" applyAlignment="1">
      <alignment horizontal="center"/>
    </xf>
    <xf numFmtId="164" fontId="22" fillId="32" borderId="31" xfId="0" applyNumberFormat="1" applyFont="1" applyFill="1" applyBorder="1" applyAlignment="1">
      <alignment horizontal="center"/>
    </xf>
    <xf numFmtId="2" fontId="22" fillId="32" borderId="29" xfId="0" applyNumberFormat="1" applyFont="1" applyFill="1" applyBorder="1" applyAlignment="1">
      <alignment horizontal="center"/>
    </xf>
    <xf numFmtId="166" fontId="5" fillId="32" borderId="33" xfId="0" applyNumberFormat="1" applyFont="1" applyFill="1" applyBorder="1" applyAlignment="1" applyProtection="1">
      <alignment horizontal="center"/>
      <protection hidden="1"/>
    </xf>
    <xf numFmtId="166" fontId="5" fillId="32" borderId="20" xfId="0" applyNumberFormat="1" applyFont="1" applyFill="1" applyBorder="1" applyAlignment="1" applyProtection="1">
      <alignment horizontal="center"/>
      <protection hidden="1"/>
    </xf>
    <xf numFmtId="13" fontId="5" fillId="32" borderId="19" xfId="0" applyNumberFormat="1" applyFont="1" applyFill="1" applyBorder="1" applyAlignment="1" applyProtection="1">
      <alignment horizontal="center"/>
      <protection hidden="1"/>
    </xf>
    <xf numFmtId="0" fontId="13" fillId="32" borderId="0" xfId="0" applyFont="1" applyFill="1" applyBorder="1" applyAlignment="1" applyProtection="1">
      <alignment/>
      <protection hidden="1"/>
    </xf>
    <xf numFmtId="0" fontId="13" fillId="32" borderId="8" xfId="0" applyFont="1" applyFill="1" applyBorder="1" applyAlignment="1" applyProtection="1">
      <alignment horizontal="right"/>
      <protection hidden="1"/>
    </xf>
    <xf numFmtId="166" fontId="0" fillId="32" borderId="0" xfId="0" applyNumberFormat="1" applyFont="1" applyFill="1" applyBorder="1" applyAlignment="1" applyProtection="1">
      <alignment horizontal="left"/>
      <protection hidden="1"/>
    </xf>
    <xf numFmtId="2" fontId="0" fillId="32" borderId="0" xfId="0" applyNumberFormat="1" applyFont="1" applyFill="1" applyBorder="1" applyAlignment="1" applyProtection="1">
      <alignment horizontal="left"/>
      <protection hidden="1"/>
    </xf>
    <xf numFmtId="0" fontId="0" fillId="32" borderId="8" xfId="0" applyFont="1" applyFill="1" applyBorder="1" applyAlignment="1" applyProtection="1">
      <alignment horizontal="left"/>
      <protection hidden="1"/>
    </xf>
    <xf numFmtId="0" fontId="0" fillId="32" borderId="8" xfId="0" applyFont="1" applyFill="1" applyBorder="1" applyAlignment="1" applyProtection="1">
      <alignment horizontal="right"/>
      <protection hidden="1"/>
    </xf>
    <xf numFmtId="165" fontId="8" fillId="32" borderId="0" xfId="0" applyNumberFormat="1" applyFont="1" applyFill="1" applyBorder="1" applyAlignment="1" applyProtection="1">
      <alignment/>
      <protection hidden="1"/>
    </xf>
    <xf numFmtId="0" fontId="5" fillId="32" borderId="0" xfId="0" applyFont="1" applyFill="1" applyBorder="1" applyAlignment="1" applyProtection="1">
      <alignment horizontal="right"/>
      <protection hidden="1"/>
    </xf>
    <xf numFmtId="0" fontId="0" fillId="32" borderId="0" xfId="0" applyFont="1" applyFill="1" applyAlignment="1" applyProtection="1">
      <alignment/>
      <protection hidden="1"/>
    </xf>
    <xf numFmtId="0" fontId="43" fillId="32" borderId="0" xfId="0" applyFont="1" applyFill="1" applyBorder="1" applyAlignment="1" applyProtection="1">
      <alignment horizontal="left"/>
      <protection hidden="1"/>
    </xf>
    <xf numFmtId="0" fontId="0" fillId="32" borderId="0" xfId="0" applyFont="1" applyFill="1" applyBorder="1" applyAlignment="1" applyProtection="1">
      <alignment horizontal="left"/>
      <protection hidden="1"/>
    </xf>
    <xf numFmtId="2" fontId="43" fillId="32" borderId="0" xfId="0" applyNumberFormat="1" applyFont="1" applyFill="1" applyBorder="1" applyAlignment="1" applyProtection="1">
      <alignment horizontal="left"/>
      <protection hidden="1"/>
    </xf>
    <xf numFmtId="166" fontId="5" fillId="32" borderId="21" xfId="0" applyNumberFormat="1" applyFont="1" applyFill="1" applyBorder="1" applyAlignment="1" applyProtection="1">
      <alignment horizontal="center"/>
      <protection hidden="1"/>
    </xf>
    <xf numFmtId="166" fontId="5" fillId="32" borderId="19" xfId="0" applyNumberFormat="1" applyFont="1" applyFill="1" applyBorder="1" applyAlignment="1" applyProtection="1">
      <alignment horizontal="center"/>
      <protection hidden="1"/>
    </xf>
    <xf numFmtId="0" fontId="11" fillId="32" borderId="0" xfId="0" applyFont="1" applyFill="1" applyBorder="1" applyAlignment="1" applyProtection="1">
      <alignment/>
      <protection hidden="1"/>
    </xf>
    <xf numFmtId="0" fontId="5" fillId="32" borderId="14" xfId="0" applyFont="1" applyFill="1" applyBorder="1" applyAlignment="1" applyProtection="1">
      <alignment horizontal="right"/>
      <protection hidden="1"/>
    </xf>
    <xf numFmtId="13" fontId="5" fillId="32" borderId="21" xfId="0" applyNumberFormat="1" applyFont="1" applyFill="1" applyBorder="1" applyAlignment="1" applyProtection="1">
      <alignment horizontal="center"/>
      <protection hidden="1"/>
    </xf>
    <xf numFmtId="0" fontId="0" fillId="32" borderId="0" xfId="0" applyFont="1" applyFill="1" applyBorder="1" applyAlignment="1" applyProtection="1">
      <alignment horizontal="left"/>
      <protection hidden="1"/>
    </xf>
    <xf numFmtId="0" fontId="29" fillId="32" borderId="0" xfId="0" applyFont="1" applyFill="1" applyBorder="1" applyAlignment="1" applyProtection="1">
      <alignment horizontal="left"/>
      <protection hidden="1"/>
    </xf>
    <xf numFmtId="0" fontId="0" fillId="32" borderId="8" xfId="0" applyFont="1" applyFill="1" applyBorder="1" applyAlignment="1" applyProtection="1">
      <alignment horizontal="right"/>
      <protection hidden="1"/>
    </xf>
    <xf numFmtId="0" fontId="5" fillId="33" borderId="24" xfId="0" applyFont="1" applyFill="1" applyBorder="1" applyAlignment="1" applyProtection="1">
      <alignment horizontal="center"/>
      <protection locked="0"/>
    </xf>
    <xf numFmtId="0" fontId="0" fillId="32" borderId="0" xfId="0" applyFont="1" applyFill="1" applyBorder="1" applyAlignment="1" applyProtection="1">
      <alignment/>
      <protection hidden="1"/>
    </xf>
    <xf numFmtId="0" fontId="29" fillId="32" borderId="15" xfId="0" applyFont="1" applyFill="1" applyBorder="1" applyAlignment="1" applyProtection="1">
      <alignment horizontal="center"/>
      <protection hidden="1"/>
    </xf>
    <xf numFmtId="0" fontId="22" fillId="32" borderId="15" xfId="0" applyFont="1" applyFill="1" applyBorder="1" applyAlignment="1" applyProtection="1">
      <alignment horizontal="center"/>
      <protection hidden="1"/>
    </xf>
    <xf numFmtId="0" fontId="22" fillId="32" borderId="17" xfId="0" applyFont="1" applyFill="1" applyBorder="1" applyAlignment="1" applyProtection="1">
      <alignment horizontal="center"/>
      <protection hidden="1"/>
    </xf>
    <xf numFmtId="0" fontId="7" fillId="32" borderId="11" xfId="0" applyFont="1" applyFill="1" applyBorder="1" applyAlignment="1" applyProtection="1">
      <alignment horizontal="centerContinuous"/>
      <protection hidden="1"/>
    </xf>
    <xf numFmtId="0" fontId="31" fillId="32" borderId="34" xfId="0" applyFont="1" applyFill="1" applyBorder="1" applyAlignment="1" applyProtection="1">
      <alignment horizontal="center"/>
      <protection hidden="1"/>
    </xf>
    <xf numFmtId="0" fontId="31" fillId="32" borderId="17" xfId="0" applyFont="1" applyFill="1" applyBorder="1" applyAlignment="1" applyProtection="1">
      <alignment horizontal="centerContinuous"/>
      <protection hidden="1"/>
    </xf>
    <xf numFmtId="0" fontId="5" fillId="32" borderId="13" xfId="0" applyFont="1" applyFill="1" applyBorder="1" applyAlignment="1" applyProtection="1">
      <alignment horizontal="center"/>
      <protection hidden="1"/>
    </xf>
    <xf numFmtId="0" fontId="31" fillId="32" borderId="24" xfId="0" applyNumberFormat="1" applyFont="1" applyFill="1" applyBorder="1" applyAlignment="1" applyProtection="1">
      <alignment horizontal="center"/>
      <protection hidden="1"/>
    </xf>
    <xf numFmtId="0" fontId="7" fillId="32" borderId="24" xfId="0" applyNumberFormat="1" applyFont="1" applyFill="1" applyBorder="1" applyAlignment="1" applyProtection="1">
      <alignment horizontal="center"/>
      <protection hidden="1"/>
    </xf>
    <xf numFmtId="0" fontId="7" fillId="32" borderId="17" xfId="0" applyNumberFormat="1" applyFont="1" applyFill="1" applyBorder="1" applyAlignment="1" applyProtection="1">
      <alignment horizontal="center"/>
      <protection hidden="1"/>
    </xf>
    <xf numFmtId="219" fontId="29" fillId="32" borderId="15" xfId="0" applyNumberFormat="1" applyFont="1" applyFill="1" applyBorder="1" applyAlignment="1" applyProtection="1">
      <alignment horizontal="center"/>
      <protection hidden="1"/>
    </xf>
    <xf numFmtId="2" fontId="22" fillId="32" borderId="39" xfId="0" applyNumberFormat="1" applyFont="1" applyFill="1" applyBorder="1" applyAlignment="1" applyProtection="1">
      <alignment horizontal="center"/>
      <protection hidden="1"/>
    </xf>
    <xf numFmtId="0" fontId="22" fillId="32" borderId="40" xfId="0" applyNumberFormat="1" applyFont="1" applyFill="1" applyBorder="1" applyAlignment="1" applyProtection="1">
      <alignment horizontal="center"/>
      <protection hidden="1"/>
    </xf>
    <xf numFmtId="0" fontId="22" fillId="32" borderId="35" xfId="0" applyNumberFormat="1" applyFont="1" applyFill="1" applyBorder="1" applyAlignment="1" applyProtection="1">
      <alignment horizontal="center"/>
      <protection hidden="1"/>
    </xf>
    <xf numFmtId="0" fontId="22" fillId="32" borderId="25" xfId="0" applyNumberFormat="1" applyFont="1" applyFill="1" applyBorder="1" applyAlignment="1" applyProtection="1">
      <alignment horizontal="center"/>
      <protection hidden="1"/>
    </xf>
    <xf numFmtId="0" fontId="22" fillId="32" borderId="41" xfId="0" applyNumberFormat="1" applyFont="1" applyFill="1" applyBorder="1" applyAlignment="1" applyProtection="1">
      <alignment horizontal="center"/>
      <protection hidden="1"/>
    </xf>
    <xf numFmtId="0" fontId="22" fillId="32" borderId="36" xfId="0" applyNumberFormat="1" applyFont="1" applyFill="1" applyBorder="1" applyAlignment="1" applyProtection="1">
      <alignment horizontal="center"/>
      <protection hidden="1"/>
    </xf>
    <xf numFmtId="166" fontId="22" fillId="32" borderId="42" xfId="0" applyNumberFormat="1" applyFont="1" applyFill="1" applyBorder="1" applyAlignment="1" applyProtection="1">
      <alignment horizontal="center"/>
      <protection hidden="1"/>
    </xf>
    <xf numFmtId="0" fontId="22" fillId="32" borderId="43" xfId="0" applyNumberFormat="1" applyFont="1" applyFill="1" applyBorder="1" applyAlignment="1" applyProtection="1">
      <alignment horizontal="center"/>
      <protection hidden="1"/>
    </xf>
    <xf numFmtId="0" fontId="22" fillId="32" borderId="30" xfId="0" applyNumberFormat="1" applyFont="1" applyFill="1" applyBorder="1" applyAlignment="1" applyProtection="1">
      <alignment horizontal="center"/>
      <protection hidden="1"/>
    </xf>
    <xf numFmtId="0" fontId="22" fillId="32" borderId="26" xfId="0" applyNumberFormat="1" applyFont="1" applyFill="1" applyBorder="1" applyAlignment="1" applyProtection="1">
      <alignment horizontal="center"/>
      <protection hidden="1"/>
    </xf>
    <xf numFmtId="0" fontId="22" fillId="32" borderId="44" xfId="0" applyNumberFormat="1" applyFont="1" applyFill="1" applyBorder="1" applyAlignment="1" applyProtection="1">
      <alignment horizontal="center"/>
      <protection hidden="1"/>
    </xf>
    <xf numFmtId="0" fontId="22" fillId="32" borderId="27" xfId="0" applyNumberFormat="1" applyFont="1" applyFill="1" applyBorder="1" applyAlignment="1" applyProtection="1">
      <alignment horizontal="center"/>
      <protection hidden="1"/>
    </xf>
    <xf numFmtId="166" fontId="22" fillId="32" borderId="45" xfId="0" applyNumberFormat="1" applyFont="1" applyFill="1" applyBorder="1" applyAlignment="1" applyProtection="1">
      <alignment horizontal="center"/>
      <protection hidden="1"/>
    </xf>
    <xf numFmtId="164" fontId="22" fillId="32" borderId="27" xfId="0" applyNumberFormat="1" applyFont="1" applyFill="1" applyBorder="1" applyAlignment="1" applyProtection="1">
      <alignment horizontal="center"/>
      <protection hidden="1"/>
    </xf>
    <xf numFmtId="2" fontId="22" fillId="32" borderId="44" xfId="0" applyNumberFormat="1" applyFont="1" applyFill="1" applyBorder="1" applyAlignment="1" applyProtection="1">
      <alignment horizontal="center"/>
      <protection hidden="1"/>
    </xf>
    <xf numFmtId="164" fontId="22" fillId="32" borderId="26" xfId="0" applyNumberFormat="1" applyFont="1" applyFill="1" applyBorder="1" applyAlignment="1" applyProtection="1">
      <alignment horizontal="center"/>
      <protection hidden="1"/>
    </xf>
    <xf numFmtId="2" fontId="22" fillId="32" borderId="45" xfId="0" applyNumberFormat="1" applyFont="1" applyFill="1" applyBorder="1" applyAlignment="1" applyProtection="1">
      <alignment horizontal="center"/>
      <protection hidden="1"/>
    </xf>
    <xf numFmtId="0" fontId="22" fillId="32" borderId="46" xfId="0" applyNumberFormat="1" applyFont="1" applyFill="1" applyBorder="1" applyAlignment="1" applyProtection="1">
      <alignment horizontal="center"/>
      <protection hidden="1"/>
    </xf>
    <xf numFmtId="0" fontId="22" fillId="32" borderId="47" xfId="0" applyNumberFormat="1" applyFont="1" applyFill="1" applyBorder="1" applyAlignment="1" applyProtection="1">
      <alignment horizontal="center"/>
      <protection hidden="1"/>
    </xf>
    <xf numFmtId="0" fontId="22" fillId="32" borderId="48" xfId="0" applyNumberFormat="1" applyFont="1" applyFill="1" applyBorder="1" applyAlignment="1" applyProtection="1">
      <alignment horizontal="center"/>
      <protection hidden="1"/>
    </xf>
    <xf numFmtId="0" fontId="22" fillId="32" borderId="49" xfId="0" applyNumberFormat="1" applyFont="1" applyFill="1" applyBorder="1" applyAlignment="1" applyProtection="1">
      <alignment horizontal="center"/>
      <protection hidden="1"/>
    </xf>
    <xf numFmtId="0" fontId="22" fillId="32" borderId="43" xfId="0" applyNumberFormat="1" applyFont="1" applyFill="1" applyBorder="1" applyAlignment="1" applyProtection="1">
      <alignment horizontal="center"/>
      <protection hidden="1"/>
    </xf>
    <xf numFmtId="0" fontId="22" fillId="32" borderId="37" xfId="0" applyNumberFormat="1" applyFont="1" applyFill="1" applyBorder="1" applyAlignment="1" applyProtection="1">
      <alignment horizontal="center"/>
      <protection hidden="1"/>
    </xf>
    <xf numFmtId="0" fontId="22" fillId="32" borderId="32" xfId="0" applyNumberFormat="1" applyFont="1" applyFill="1" applyBorder="1" applyAlignment="1" applyProtection="1">
      <alignment horizontal="center"/>
      <protection hidden="1"/>
    </xf>
    <xf numFmtId="2" fontId="22" fillId="32" borderId="32" xfId="0" applyNumberFormat="1" applyFont="1" applyFill="1" applyBorder="1" applyAlignment="1" applyProtection="1">
      <alignment horizontal="center"/>
      <protection hidden="1"/>
    </xf>
    <xf numFmtId="0" fontId="22" fillId="32" borderId="50" xfId="0" applyNumberFormat="1" applyFont="1" applyFill="1" applyBorder="1" applyAlignment="1" applyProtection="1">
      <alignment horizontal="center"/>
      <protection hidden="1"/>
    </xf>
    <xf numFmtId="0" fontId="22" fillId="32" borderId="38" xfId="0" applyNumberFormat="1" applyFont="1" applyFill="1" applyBorder="1" applyAlignment="1" applyProtection="1">
      <alignment horizontal="center"/>
      <protection hidden="1"/>
    </xf>
    <xf numFmtId="2" fontId="22" fillId="32" borderId="51" xfId="0" applyNumberFormat="1" applyFont="1" applyFill="1" applyBorder="1" applyAlignment="1" applyProtection="1">
      <alignment horizontal="center"/>
      <protection hidden="1"/>
    </xf>
    <xf numFmtId="0" fontId="22" fillId="32" borderId="52" xfId="0" applyNumberFormat="1" applyFont="1" applyFill="1" applyBorder="1" applyAlignment="1" applyProtection="1">
      <alignment horizontal="center"/>
      <protection hidden="1"/>
    </xf>
    <xf numFmtId="0" fontId="22" fillId="32" borderId="31" xfId="0" applyNumberFormat="1" applyFont="1" applyFill="1" applyBorder="1" applyAlignment="1" applyProtection="1">
      <alignment horizontal="center"/>
      <protection hidden="1"/>
    </xf>
    <xf numFmtId="0" fontId="22" fillId="32" borderId="28" xfId="0" applyNumberFormat="1" applyFont="1" applyFill="1" applyBorder="1" applyAlignment="1" applyProtection="1">
      <alignment horizontal="center"/>
      <protection hidden="1"/>
    </xf>
    <xf numFmtId="0" fontId="22" fillId="32" borderId="53" xfId="0" applyNumberFormat="1" applyFont="1" applyFill="1" applyBorder="1" applyAlignment="1" applyProtection="1">
      <alignment horizontal="center"/>
      <protection hidden="1"/>
    </xf>
    <xf numFmtId="0" fontId="22" fillId="32" borderId="29" xfId="0" applyNumberFormat="1" applyFont="1" applyFill="1" applyBorder="1" applyAlignment="1" applyProtection="1">
      <alignment horizontal="center"/>
      <protection hidden="1"/>
    </xf>
    <xf numFmtId="2" fontId="49" fillId="32" borderId="51" xfId="0" applyNumberFormat="1" applyFont="1" applyFill="1" applyBorder="1" applyAlignment="1" applyProtection="1">
      <alignment horizontal="center"/>
      <protection hidden="1"/>
    </xf>
    <xf numFmtId="166" fontId="22" fillId="32" borderId="52" xfId="0" applyNumberFormat="1" applyFont="1" applyFill="1" applyBorder="1" applyAlignment="1" applyProtection="1">
      <alignment horizontal="center"/>
      <protection hidden="1"/>
    </xf>
    <xf numFmtId="166" fontId="22" fillId="32" borderId="53" xfId="0" applyNumberFormat="1" applyFont="1" applyFill="1" applyBorder="1" applyAlignment="1" applyProtection="1">
      <alignment horizontal="center"/>
      <protection hidden="1"/>
    </xf>
    <xf numFmtId="165" fontId="22" fillId="0" borderId="15" xfId="0" applyNumberFormat="1" applyFont="1" applyBorder="1" applyAlignment="1">
      <alignment horizontal="center"/>
    </xf>
    <xf numFmtId="0" fontId="22" fillId="32" borderId="0" xfId="0" applyNumberFormat="1" applyFont="1" applyFill="1" applyBorder="1" applyAlignment="1">
      <alignment horizontal="center"/>
    </xf>
    <xf numFmtId="219" fontId="22" fillId="32" borderId="15" xfId="0" applyNumberFormat="1" applyFont="1" applyFill="1" applyBorder="1" applyAlignment="1" applyProtection="1">
      <alignment horizontal="center"/>
      <protection hidden="1"/>
    </xf>
    <xf numFmtId="166" fontId="31" fillId="32" borderId="0" xfId="0" applyNumberFormat="1" applyFont="1" applyFill="1" applyBorder="1" applyAlignment="1" applyProtection="1">
      <alignment horizontal="center"/>
      <protection hidden="1"/>
    </xf>
    <xf numFmtId="166" fontId="22" fillId="0" borderId="15" xfId="0" applyNumberFormat="1" applyFont="1" applyFill="1" applyBorder="1" applyAlignment="1">
      <alignment horizontal="center"/>
    </xf>
    <xf numFmtId="166" fontId="22" fillId="0" borderId="21" xfId="0" applyNumberFormat="1" applyFont="1" applyBorder="1" applyAlignment="1">
      <alignment horizontal="center"/>
    </xf>
    <xf numFmtId="166" fontId="22" fillId="0" borderId="19" xfId="0" applyNumberFormat="1" applyFont="1" applyBorder="1" applyAlignment="1">
      <alignment horizontal="center"/>
    </xf>
    <xf numFmtId="166" fontId="22" fillId="0" borderId="20" xfId="0" applyNumberFormat="1" applyFont="1" applyBorder="1" applyAlignment="1">
      <alignment horizontal="center"/>
    </xf>
    <xf numFmtId="2" fontId="22" fillId="32" borderId="40" xfId="0" applyNumberFormat="1" applyFont="1" applyFill="1" applyBorder="1" applyAlignment="1" applyProtection="1">
      <alignment horizontal="center"/>
      <protection hidden="1"/>
    </xf>
    <xf numFmtId="2" fontId="22" fillId="32" borderId="43" xfId="0" applyNumberFormat="1" applyFont="1" applyFill="1" applyBorder="1" applyAlignment="1" applyProtection="1">
      <alignment horizontal="center"/>
      <protection hidden="1"/>
    </xf>
    <xf numFmtId="2" fontId="22" fillId="32" borderId="54" xfId="0" applyNumberFormat="1" applyFont="1" applyFill="1" applyBorder="1" applyAlignment="1" applyProtection="1">
      <alignment horizontal="center"/>
      <protection hidden="1"/>
    </xf>
    <xf numFmtId="166" fontId="22" fillId="32" borderId="43" xfId="0" applyNumberFormat="1" applyFont="1" applyFill="1" applyBorder="1" applyAlignment="1" applyProtection="1">
      <alignment horizontal="center"/>
      <protection hidden="1"/>
    </xf>
    <xf numFmtId="166" fontId="22" fillId="32" borderId="55" xfId="0" applyNumberFormat="1" applyFont="1" applyFill="1" applyBorder="1" applyAlignment="1" applyProtection="1">
      <alignment horizontal="center"/>
      <protection hidden="1"/>
    </xf>
    <xf numFmtId="166" fontId="22" fillId="32" borderId="56" xfId="0" applyNumberFormat="1" applyFont="1" applyFill="1" applyBorder="1" applyAlignment="1" applyProtection="1">
      <alignment horizontal="center"/>
      <protection hidden="1"/>
    </xf>
    <xf numFmtId="166" fontId="22" fillId="32" borderId="57" xfId="0" applyNumberFormat="1" applyFont="1" applyFill="1" applyBorder="1" applyAlignment="1" applyProtection="1">
      <alignment horizontal="center"/>
      <protection hidden="1"/>
    </xf>
    <xf numFmtId="166" fontId="22" fillId="32" borderId="44" xfId="0" applyNumberFormat="1" applyFont="1" applyFill="1" applyBorder="1" applyAlignment="1" applyProtection="1">
      <alignment horizontal="center"/>
      <protection hidden="1"/>
    </xf>
    <xf numFmtId="2" fontId="22" fillId="32" borderId="37" xfId="0" applyNumberFormat="1" applyFont="1" applyFill="1" applyBorder="1" applyAlignment="1" applyProtection="1">
      <alignment horizontal="center"/>
      <protection hidden="1"/>
    </xf>
    <xf numFmtId="165" fontId="0" fillId="32" borderId="0" xfId="0" applyNumberFormat="1" applyFont="1" applyFill="1" applyBorder="1" applyAlignment="1" applyProtection="1">
      <alignment horizontal="left"/>
      <protection hidden="1"/>
    </xf>
    <xf numFmtId="0" fontId="50" fillId="32" borderId="8" xfId="0" applyFont="1" applyFill="1" applyBorder="1" applyAlignment="1" applyProtection="1">
      <alignment horizontal="right"/>
      <protection hidden="1"/>
    </xf>
    <xf numFmtId="0" fontId="13" fillId="32" borderId="0" xfId="0" applyFont="1" applyFill="1" applyBorder="1" applyAlignment="1" applyProtection="1">
      <alignment horizontal="left"/>
      <protection hidden="1"/>
    </xf>
    <xf numFmtId="0" fontId="5" fillId="32" borderId="8" xfId="0" applyFont="1" applyFill="1" applyBorder="1" applyAlignment="1" applyProtection="1">
      <alignment/>
      <protection hidden="1"/>
    </xf>
    <xf numFmtId="0" fontId="0" fillId="32" borderId="22" xfId="0" applyFill="1" applyBorder="1" applyAlignment="1" applyProtection="1">
      <alignment/>
      <protection hidden="1"/>
    </xf>
    <xf numFmtId="166" fontId="51" fillId="32" borderId="0" xfId="0" applyNumberFormat="1" applyFont="1" applyFill="1" applyBorder="1" applyAlignment="1" applyProtection="1">
      <alignment horizontal="left"/>
      <protection hidden="1"/>
    </xf>
    <xf numFmtId="0" fontId="11" fillId="32" borderId="0" xfId="0" applyFont="1" applyFill="1" applyBorder="1" applyAlignment="1" applyProtection="1">
      <alignment horizontal="left"/>
      <protection hidden="1"/>
    </xf>
    <xf numFmtId="0" fontId="8" fillId="32" borderId="9" xfId="0" applyFont="1" applyFill="1" applyBorder="1" applyAlignment="1" applyProtection="1">
      <alignment/>
      <protection hidden="1"/>
    </xf>
    <xf numFmtId="166" fontId="27" fillId="32" borderId="8" xfId="0" applyNumberFormat="1" applyFont="1" applyFill="1" applyBorder="1" applyAlignment="1" applyProtection="1">
      <alignment/>
      <protection hidden="1"/>
    </xf>
    <xf numFmtId="0" fontId="0" fillId="32" borderId="14" xfId="0" applyFill="1" applyBorder="1" applyAlignment="1" applyProtection="1">
      <alignment/>
      <protection hidden="1"/>
    </xf>
    <xf numFmtId="14" fontId="5" fillId="33" borderId="18" xfId="0" applyNumberFormat="1" applyFont="1" applyFill="1" applyBorder="1" applyAlignment="1" applyProtection="1">
      <alignment horizontal="centerContinuous"/>
      <protection locked="0"/>
    </xf>
    <xf numFmtId="14" fontId="5" fillId="33" borderId="16" xfId="0" applyNumberFormat="1" applyFont="1" applyFill="1" applyBorder="1" applyAlignment="1" applyProtection="1">
      <alignment horizontal="centerContinuous"/>
      <protection locked="0"/>
    </xf>
    <xf numFmtId="13" fontId="5" fillId="33" borderId="19" xfId="0" applyNumberFormat="1" applyFont="1" applyFill="1" applyBorder="1" applyAlignment="1" applyProtection="1">
      <alignment horizontal="center"/>
      <protection locked="0"/>
    </xf>
    <xf numFmtId="166" fontId="5" fillId="32" borderId="0" xfId="0" applyNumberFormat="1" applyFont="1" applyFill="1" applyBorder="1" applyAlignment="1" applyProtection="1">
      <alignment horizontal="center"/>
      <protection/>
    </xf>
    <xf numFmtId="166" fontId="5" fillId="32" borderId="0" xfId="0" applyNumberFormat="1" applyFont="1" applyFill="1" applyBorder="1" applyAlignment="1" applyProtection="1">
      <alignment horizontal="center" vertical="center"/>
      <protection/>
    </xf>
    <xf numFmtId="0" fontId="0" fillId="34" borderId="17" xfId="0" applyFill="1" applyBorder="1" applyAlignment="1" applyProtection="1">
      <alignment horizontal="centerContinuous"/>
      <protection hidden="1"/>
    </xf>
    <xf numFmtId="166" fontId="22" fillId="0" borderId="58" xfId="0" applyNumberFormat="1" applyFont="1" applyBorder="1" applyAlignment="1">
      <alignment horizontal="center"/>
    </xf>
    <xf numFmtId="166" fontId="22" fillId="0" borderId="15" xfId="0" applyNumberFormat="1" applyFont="1" applyBorder="1" applyAlignment="1">
      <alignment horizontal="center"/>
    </xf>
    <xf numFmtId="166" fontId="22" fillId="0" borderId="34" xfId="0" applyNumberFormat="1" applyFont="1" applyBorder="1" applyAlignment="1">
      <alignment horizontal="center"/>
    </xf>
    <xf numFmtId="0" fontId="31" fillId="32" borderId="15" xfId="0" applyNumberFormat="1" applyFont="1" applyFill="1" applyBorder="1" applyAlignment="1" applyProtection="1">
      <alignment horizontal="center"/>
      <protection hidden="1"/>
    </xf>
    <xf numFmtId="0" fontId="5" fillId="32" borderId="0" xfId="0" applyFont="1" applyFill="1" applyBorder="1" applyAlignment="1" applyProtection="1">
      <alignment horizontal="center"/>
      <protection hidden="1"/>
    </xf>
    <xf numFmtId="0" fontId="5" fillId="32" borderId="21" xfId="0" applyFont="1" applyFill="1" applyBorder="1" applyAlignment="1" applyProtection="1">
      <alignment horizontal="center"/>
      <protection hidden="1"/>
    </xf>
    <xf numFmtId="0" fontId="5" fillId="32" borderId="19" xfId="0" applyFont="1" applyFill="1" applyBorder="1" applyAlignment="1" applyProtection="1">
      <alignment horizontal="center"/>
      <protection hidden="1"/>
    </xf>
    <xf numFmtId="0" fontId="5" fillId="32" borderId="20" xfId="0" applyFont="1" applyFill="1" applyBorder="1" applyAlignment="1" applyProtection="1">
      <alignment horizontal="center"/>
      <protection hidden="1"/>
    </xf>
    <xf numFmtId="166" fontId="5" fillId="32" borderId="20" xfId="0" applyNumberFormat="1" applyFont="1" applyFill="1" applyBorder="1" applyAlignment="1" applyProtection="1">
      <alignment horizontal="center"/>
      <protection hidden="1"/>
    </xf>
    <xf numFmtId="166" fontId="22" fillId="0" borderId="11" xfId="0" applyNumberFormat="1" applyFont="1" applyBorder="1" applyAlignment="1">
      <alignment horizontal="center"/>
    </xf>
    <xf numFmtId="166" fontId="22" fillId="32" borderId="15" xfId="0" applyNumberFormat="1" applyFont="1" applyFill="1" applyBorder="1" applyAlignment="1">
      <alignment horizontal="center"/>
    </xf>
    <xf numFmtId="0" fontId="31" fillId="32" borderId="0" xfId="0" applyFont="1" applyFill="1" applyBorder="1" applyAlignment="1" applyProtection="1">
      <alignment horizontal="centerContinuous"/>
      <protection hidden="1"/>
    </xf>
    <xf numFmtId="2" fontId="7" fillId="32" borderId="0" xfId="0" applyNumberFormat="1" applyFont="1" applyFill="1" applyBorder="1" applyAlignment="1" applyProtection="1">
      <alignment horizontal="centerContinuous"/>
      <protection hidden="1"/>
    </xf>
    <xf numFmtId="166" fontId="10" fillId="32" borderId="0" xfId="0" applyNumberFormat="1" applyFont="1" applyFill="1" applyBorder="1" applyAlignment="1" applyProtection="1">
      <alignment horizontal="centerContinuous"/>
      <protection hidden="1"/>
    </xf>
    <xf numFmtId="2" fontId="31" fillId="32" borderId="0" xfId="0" applyNumberFormat="1" applyFont="1" applyFill="1" applyBorder="1" applyAlignment="1" applyProtection="1">
      <alignment horizontal="centerContinuous"/>
      <protection hidden="1"/>
    </xf>
    <xf numFmtId="2" fontId="8" fillId="32" borderId="0" xfId="0" applyNumberFormat="1" applyFont="1" applyFill="1" applyBorder="1" applyAlignment="1" applyProtection="1">
      <alignment horizontal="centerContinuous"/>
      <protection hidden="1"/>
    </xf>
    <xf numFmtId="0" fontId="31" fillId="32" borderId="0" xfId="0" applyFont="1" applyFill="1" applyBorder="1" applyAlignment="1" applyProtection="1">
      <alignment horizontal="center"/>
      <protection hidden="1"/>
    </xf>
    <xf numFmtId="0" fontId="5" fillId="32" borderId="0" xfId="0" applyFont="1" applyFill="1" applyBorder="1" applyAlignment="1" applyProtection="1">
      <alignment/>
      <protection/>
    </xf>
    <xf numFmtId="1" fontId="32" fillId="32" borderId="0" xfId="0" applyNumberFormat="1" applyFont="1" applyFill="1" applyBorder="1" applyAlignment="1" applyProtection="1">
      <alignment horizontal="center"/>
      <protection/>
    </xf>
    <xf numFmtId="0" fontId="7" fillId="32" borderId="0" xfId="0" applyFont="1" applyFill="1" applyBorder="1" applyAlignment="1" applyProtection="1">
      <alignment horizontal="center"/>
      <protection/>
    </xf>
    <xf numFmtId="0" fontId="5" fillId="32" borderId="0" xfId="0" applyFont="1" applyFill="1" applyBorder="1" applyAlignment="1" applyProtection="1">
      <alignment horizontal="left"/>
      <protection/>
    </xf>
    <xf numFmtId="166" fontId="6" fillId="32" borderId="0" xfId="0" applyNumberFormat="1" applyFont="1" applyFill="1" applyBorder="1" applyAlignment="1" applyProtection="1">
      <alignment horizontal="centerContinuous"/>
      <protection hidden="1"/>
    </xf>
    <xf numFmtId="166" fontId="21" fillId="32" borderId="0" xfId="0" applyNumberFormat="1" applyFont="1" applyFill="1" applyBorder="1" applyAlignment="1" applyProtection="1">
      <alignment horizontal="centerContinuous"/>
      <protection hidden="1"/>
    </xf>
    <xf numFmtId="166" fontId="7" fillId="32" borderId="0" xfId="0" applyNumberFormat="1" applyFont="1" applyFill="1" applyBorder="1" applyAlignment="1" applyProtection="1">
      <alignment horizontal="center"/>
      <protection/>
    </xf>
    <xf numFmtId="2" fontId="7" fillId="32" borderId="0" xfId="0" applyNumberFormat="1" applyFont="1" applyFill="1" applyBorder="1" applyAlignment="1" applyProtection="1">
      <alignment horizontal="center"/>
      <protection/>
    </xf>
    <xf numFmtId="166" fontId="5" fillId="32" borderId="11" xfId="0" applyNumberFormat="1" applyFont="1" applyFill="1" applyBorder="1" applyAlignment="1" applyProtection="1">
      <alignment/>
      <protection hidden="1"/>
    </xf>
    <xf numFmtId="0" fontId="0" fillId="32" borderId="0" xfId="0" applyFont="1" applyFill="1" applyBorder="1" applyAlignment="1" applyProtection="1">
      <alignment horizontal="left"/>
      <protection hidden="1"/>
    </xf>
    <xf numFmtId="0" fontId="8" fillId="32" borderId="8" xfId="0" applyFont="1" applyFill="1" applyBorder="1" applyAlignment="1" applyProtection="1">
      <alignment horizontal="left"/>
      <protection hidden="1"/>
    </xf>
    <xf numFmtId="166" fontId="8" fillId="32" borderId="9" xfId="0" applyNumberFormat="1" applyFont="1" applyFill="1" applyBorder="1" applyAlignment="1" applyProtection="1">
      <alignment horizontal="center"/>
      <protection hidden="1"/>
    </xf>
    <xf numFmtId="0" fontId="7" fillId="32" borderId="9" xfId="0" applyFont="1" applyFill="1" applyBorder="1" applyAlignment="1" applyProtection="1">
      <alignment horizontal="right"/>
      <protection hidden="1"/>
    </xf>
    <xf numFmtId="14" fontId="8" fillId="32" borderId="9" xfId="0" applyNumberFormat="1" applyFont="1" applyFill="1" applyBorder="1" applyAlignment="1" applyProtection="1">
      <alignment horizontal="center"/>
      <protection hidden="1"/>
    </xf>
    <xf numFmtId="18" fontId="8" fillId="32" borderId="9" xfId="0" applyNumberFormat="1" applyFont="1" applyFill="1" applyBorder="1" applyAlignment="1" applyProtection="1">
      <alignment horizontal="center"/>
      <protection hidden="1"/>
    </xf>
    <xf numFmtId="0" fontId="36" fillId="32" borderId="8" xfId="0" applyFont="1" applyFill="1" applyBorder="1" applyAlignment="1" applyProtection="1">
      <alignment horizontal="left"/>
      <protection hidden="1"/>
    </xf>
    <xf numFmtId="0" fontId="8" fillId="32" borderId="13" xfId="0" applyFont="1" applyFill="1" applyBorder="1" applyAlignment="1" applyProtection="1">
      <alignment/>
      <protection locked="0"/>
    </xf>
    <xf numFmtId="0" fontId="8" fillId="32" borderId="14" xfId="0" applyFont="1" applyFill="1" applyBorder="1" applyAlignment="1" applyProtection="1">
      <alignment/>
      <protection hidden="1"/>
    </xf>
    <xf numFmtId="0" fontId="5" fillId="32" borderId="0" xfId="0" applyNumberFormat="1" applyFont="1" applyFill="1" applyAlignment="1" applyProtection="1">
      <alignment horizontal="center"/>
      <protection hidden="1"/>
    </xf>
    <xf numFmtId="13" fontId="22" fillId="32" borderId="0" xfId="0" applyNumberFormat="1" applyFont="1" applyFill="1" applyBorder="1" applyAlignment="1" applyProtection="1">
      <alignment horizontal="center"/>
      <protection hidden="1"/>
    </xf>
    <xf numFmtId="0" fontId="22" fillId="32" borderId="0" xfId="0" applyFont="1" applyFill="1" applyBorder="1" applyAlignment="1" applyProtection="1">
      <alignment horizontal="center"/>
      <protection hidden="1"/>
    </xf>
    <xf numFmtId="0" fontId="49" fillId="32" borderId="0" xfId="0" applyFont="1" applyFill="1" applyBorder="1" applyAlignment="1" applyProtection="1">
      <alignment horizontal="centerContinuous"/>
      <protection hidden="1"/>
    </xf>
    <xf numFmtId="0" fontId="49" fillId="32" borderId="0" xfId="0" applyFont="1" applyFill="1" applyBorder="1" applyAlignment="1" applyProtection="1">
      <alignment horizontal="center"/>
      <protection hidden="1"/>
    </xf>
    <xf numFmtId="166" fontId="5" fillId="32" borderId="0" xfId="0" applyNumberFormat="1" applyFont="1" applyFill="1" applyBorder="1" applyAlignment="1" applyProtection="1">
      <alignment horizontal="center"/>
      <protection hidden="1"/>
    </xf>
    <xf numFmtId="164" fontId="5" fillId="32" borderId="21" xfId="0" applyNumberFormat="1" applyFont="1" applyFill="1" applyBorder="1" applyAlignment="1" applyProtection="1">
      <alignment horizontal="center"/>
      <protection hidden="1"/>
    </xf>
    <xf numFmtId="166" fontId="11" fillId="32" borderId="0" xfId="0" applyNumberFormat="1" applyFont="1" applyFill="1" applyBorder="1" applyAlignment="1" applyProtection="1">
      <alignment/>
      <protection hidden="1"/>
    </xf>
    <xf numFmtId="0" fontId="29" fillId="32" borderId="8" xfId="0" applyFont="1" applyFill="1" applyBorder="1" applyAlignment="1" applyProtection="1">
      <alignment/>
      <protection hidden="1"/>
    </xf>
    <xf numFmtId="13" fontId="5" fillId="32" borderId="0" xfId="0" applyNumberFormat="1" applyFont="1" applyFill="1" applyBorder="1" applyAlignment="1" applyProtection="1">
      <alignment horizontal="center"/>
      <protection locked="0"/>
    </xf>
    <xf numFmtId="1" fontId="5" fillId="32" borderId="0" xfId="0" applyNumberFormat="1" applyFont="1" applyFill="1" applyBorder="1" applyAlignment="1" applyProtection="1">
      <alignment horizontal="center"/>
      <protection locked="0"/>
    </xf>
    <xf numFmtId="165" fontId="5" fillId="32" borderId="0" xfId="0" applyNumberFormat="1" applyFont="1" applyFill="1" applyBorder="1" applyAlignment="1" applyProtection="1">
      <alignment horizontal="center"/>
      <protection locked="0"/>
    </xf>
    <xf numFmtId="166" fontId="5" fillId="32" borderId="0" xfId="0" applyNumberFormat="1" applyFont="1" applyFill="1" applyBorder="1" applyAlignment="1" applyProtection="1">
      <alignment horizontal="center"/>
      <protection locked="0"/>
    </xf>
    <xf numFmtId="0" fontId="0" fillId="32" borderId="12" xfId="0" applyFont="1" applyFill="1" applyBorder="1" applyAlignment="1" applyProtection="1">
      <alignment horizontal="right"/>
      <protection hidden="1"/>
    </xf>
    <xf numFmtId="166" fontId="0" fillId="32" borderId="13" xfId="0" applyNumberFormat="1" applyFont="1" applyFill="1" applyBorder="1" applyAlignment="1" applyProtection="1">
      <alignment horizontal="left"/>
      <protection hidden="1"/>
    </xf>
    <xf numFmtId="0" fontId="5" fillId="32" borderId="13" xfId="0" applyFont="1" applyFill="1" applyBorder="1" applyAlignment="1" applyProtection="1">
      <alignment/>
      <protection hidden="1"/>
    </xf>
    <xf numFmtId="0" fontId="5" fillId="32" borderId="11" xfId="0" applyFont="1" applyFill="1" applyBorder="1" applyAlignment="1" applyProtection="1">
      <alignment horizontal="right"/>
      <protection hidden="1"/>
    </xf>
    <xf numFmtId="0" fontId="0" fillId="32" borderId="0" xfId="0" applyFont="1" applyFill="1" applyBorder="1" applyAlignment="1" applyProtection="1">
      <alignment horizontal="right"/>
      <protection hidden="1"/>
    </xf>
    <xf numFmtId="0" fontId="5" fillId="32" borderId="21" xfId="0" applyNumberFormat="1" applyFont="1" applyFill="1" applyBorder="1" applyAlignment="1" applyProtection="1">
      <alignment horizontal="center"/>
      <protection hidden="1"/>
    </xf>
    <xf numFmtId="0" fontId="5" fillId="32" borderId="0" xfId="0" applyNumberFormat="1" applyFont="1" applyFill="1" applyBorder="1" applyAlignment="1" applyProtection="1">
      <alignment horizontal="center"/>
      <protection hidden="1"/>
    </xf>
    <xf numFmtId="166" fontId="22" fillId="0" borderId="24" xfId="0" applyNumberFormat="1" applyFont="1" applyBorder="1" applyAlignment="1">
      <alignment horizontal="center"/>
    </xf>
    <xf numFmtId="166" fontId="22" fillId="32" borderId="34" xfId="0" applyNumberFormat="1" applyFont="1" applyFill="1" applyBorder="1" applyAlignment="1">
      <alignment horizontal="center"/>
    </xf>
    <xf numFmtId="166" fontId="22" fillId="32" borderId="19" xfId="0" applyNumberFormat="1" applyFont="1" applyFill="1" applyBorder="1" applyAlignment="1">
      <alignment horizontal="center"/>
    </xf>
    <xf numFmtId="166" fontId="22" fillId="32" borderId="58" xfId="0" applyNumberFormat="1" applyFont="1" applyFill="1" applyBorder="1" applyAlignment="1">
      <alignment horizontal="center"/>
    </xf>
    <xf numFmtId="166" fontId="22" fillId="32" borderId="11" xfId="0" applyNumberFormat="1" applyFont="1" applyFill="1" applyBorder="1" applyAlignment="1">
      <alignment horizontal="center"/>
    </xf>
    <xf numFmtId="166" fontId="22" fillId="32" borderId="21" xfId="0" applyNumberFormat="1" applyFont="1" applyFill="1" applyBorder="1" applyAlignment="1">
      <alignment horizontal="center"/>
    </xf>
    <xf numFmtId="2" fontId="5" fillId="32" borderId="0" xfId="0" applyNumberFormat="1" applyFont="1" applyFill="1" applyBorder="1" applyAlignment="1" applyProtection="1">
      <alignment horizontal="left"/>
      <protection hidden="1"/>
    </xf>
    <xf numFmtId="166" fontId="5" fillId="32" borderId="23" xfId="0" applyNumberFormat="1" applyFont="1" applyFill="1" applyBorder="1" applyAlignment="1" applyProtection="1">
      <alignment horizontal="center"/>
      <protection/>
    </xf>
    <xf numFmtId="166" fontId="5" fillId="32" borderId="20" xfId="0" applyNumberFormat="1" applyFont="1" applyFill="1" applyBorder="1" applyAlignment="1" applyProtection="1">
      <alignment horizontal="center"/>
      <protection/>
    </xf>
    <xf numFmtId="13" fontId="5" fillId="32" borderId="33" xfId="0" applyNumberFormat="1" applyFont="1" applyFill="1" applyBorder="1" applyAlignment="1" applyProtection="1">
      <alignment horizontal="center"/>
      <protection hidden="1"/>
    </xf>
    <xf numFmtId="0" fontId="5" fillId="32" borderId="8" xfId="0" applyFont="1" applyFill="1" applyBorder="1" applyAlignment="1" applyProtection="1">
      <alignment horizontal="center"/>
      <protection hidden="1"/>
    </xf>
    <xf numFmtId="0" fontId="5" fillId="32" borderId="12" xfId="0" applyFont="1" applyFill="1" applyBorder="1" applyAlignment="1" applyProtection="1">
      <alignment horizontal="center"/>
      <protection hidden="1"/>
    </xf>
    <xf numFmtId="2" fontId="5" fillId="32" borderId="21" xfId="0" applyNumberFormat="1" applyFont="1" applyFill="1" applyBorder="1" applyAlignment="1" applyProtection="1">
      <alignment horizontal="center"/>
      <protection hidden="1"/>
    </xf>
    <xf numFmtId="0" fontId="12" fillId="32" borderId="12" xfId="0" applyFont="1" applyFill="1" applyBorder="1" applyAlignment="1" applyProtection="1">
      <alignment horizontal="right"/>
      <protection hidden="1"/>
    </xf>
    <xf numFmtId="166" fontId="8" fillId="32" borderId="13" xfId="0" applyNumberFormat="1" applyFont="1" applyFill="1" applyBorder="1" applyAlignment="1" applyProtection="1">
      <alignment horizontal="center"/>
      <protection hidden="1"/>
    </xf>
    <xf numFmtId="0" fontId="12" fillId="32" borderId="13" xfId="0" applyFont="1" applyFill="1" applyBorder="1" applyAlignment="1" applyProtection="1">
      <alignment horizontal="left"/>
      <protection hidden="1"/>
    </xf>
    <xf numFmtId="0" fontId="8" fillId="32" borderId="13" xfId="0" applyFont="1" applyFill="1" applyBorder="1" applyAlignment="1" applyProtection="1">
      <alignment horizontal="left"/>
      <protection hidden="1"/>
    </xf>
    <xf numFmtId="0" fontId="4" fillId="32" borderId="13" xfId="0" applyFont="1" applyFill="1" applyBorder="1" applyAlignment="1" applyProtection="1">
      <alignment/>
      <protection hidden="1"/>
    </xf>
    <xf numFmtId="166" fontId="22" fillId="32" borderId="21" xfId="0" applyNumberFormat="1" applyFont="1" applyFill="1" applyBorder="1" applyAlignment="1">
      <alignment horizontal="center"/>
    </xf>
    <xf numFmtId="166" fontId="22" fillId="32" borderId="19" xfId="0" applyNumberFormat="1" applyFont="1" applyFill="1" applyBorder="1" applyAlignment="1">
      <alignment horizontal="center"/>
    </xf>
    <xf numFmtId="166" fontId="22" fillId="32" borderId="20" xfId="0" applyNumberFormat="1" applyFont="1" applyFill="1" applyBorder="1" applyAlignment="1">
      <alignment horizontal="center"/>
    </xf>
    <xf numFmtId="164" fontId="5" fillId="0" borderId="51" xfId="0" applyNumberFormat="1" applyFont="1" applyFill="1" applyBorder="1" applyAlignment="1" applyProtection="1">
      <alignment horizontal="center"/>
      <protection hidden="1"/>
    </xf>
    <xf numFmtId="164" fontId="0" fillId="0" borderId="59" xfId="0" applyNumberFormat="1" applyBorder="1" applyAlignment="1">
      <alignment/>
    </xf>
    <xf numFmtId="164" fontId="0" fillId="0" borderId="59" xfId="0" applyNumberFormat="1" applyBorder="1" applyAlignment="1">
      <alignment horizontal="center"/>
    </xf>
    <xf numFmtId="164" fontId="5" fillId="0" borderId="39" xfId="0" applyNumberFormat="1" applyFont="1" applyFill="1" applyBorder="1" applyAlignment="1" applyProtection="1">
      <alignment horizontal="center"/>
      <protection hidden="1"/>
    </xf>
    <xf numFmtId="164" fontId="5" fillId="0" borderId="60" xfId="0" applyNumberFormat="1" applyFont="1" applyBorder="1" applyAlignment="1">
      <alignment/>
    </xf>
    <xf numFmtId="164" fontId="5" fillId="0" borderId="60" xfId="0" applyNumberFormat="1" applyFont="1" applyBorder="1" applyAlignment="1">
      <alignment horizontal="center"/>
    </xf>
    <xf numFmtId="164" fontId="5" fillId="0" borderId="45" xfId="0" applyNumberFormat="1" applyFont="1" applyFill="1" applyBorder="1" applyAlignment="1" applyProtection="1">
      <alignment horizontal="center"/>
      <protection hidden="1"/>
    </xf>
    <xf numFmtId="164" fontId="5" fillId="0" borderId="61" xfId="0" applyNumberFormat="1" applyFont="1" applyBorder="1" applyAlignment="1">
      <alignment/>
    </xf>
    <xf numFmtId="164" fontId="5" fillId="0" borderId="61" xfId="0" applyNumberFormat="1" applyFont="1" applyBorder="1" applyAlignment="1">
      <alignment horizontal="center"/>
    </xf>
    <xf numFmtId="164" fontId="5" fillId="0" borderId="16" xfId="0" applyNumberFormat="1" applyFont="1" applyFill="1" applyBorder="1" applyAlignment="1" applyProtection="1">
      <alignment horizontal="center"/>
      <protection hidden="1"/>
    </xf>
    <xf numFmtId="164" fontId="0" fillId="0" borderId="18" xfId="0" applyNumberFormat="1" applyBorder="1" applyAlignment="1">
      <alignment/>
    </xf>
    <xf numFmtId="164" fontId="5" fillId="0" borderId="39" xfId="0" applyNumberFormat="1" applyFont="1" applyFill="1" applyBorder="1" applyAlignment="1" applyProtection="1">
      <alignment horizontal="center"/>
      <protection hidden="1"/>
    </xf>
    <xf numFmtId="164" fontId="0" fillId="0" borderId="60" xfId="0" applyNumberFormat="1" applyFill="1" applyBorder="1" applyAlignment="1">
      <alignment/>
    </xf>
    <xf numFmtId="164" fontId="0" fillId="0" borderId="60" xfId="0" applyNumberFormat="1" applyBorder="1" applyAlignment="1">
      <alignment/>
    </xf>
    <xf numFmtId="164" fontId="5" fillId="0" borderId="16" xfId="0" applyNumberFormat="1" applyFont="1" applyFill="1" applyBorder="1" applyAlignment="1" applyProtection="1">
      <alignment horizontal="center"/>
      <protection hidden="1"/>
    </xf>
    <xf numFmtId="0" fontId="8" fillId="34" borderId="34" xfId="0" applyFont="1" applyFill="1" applyBorder="1" applyAlignment="1" applyProtection="1">
      <alignment horizontal="center" vertical="center"/>
      <protection hidden="1"/>
    </xf>
    <xf numFmtId="0" fontId="0" fillId="0" borderId="23" xfId="0" applyBorder="1" applyAlignment="1">
      <alignment horizontal="center" vertical="center"/>
    </xf>
    <xf numFmtId="0" fontId="0" fillId="0" borderId="24" xfId="0" applyBorder="1" applyAlignment="1">
      <alignment horizontal="center" vertical="center"/>
    </xf>
    <xf numFmtId="166" fontId="5" fillId="33" borderId="34" xfId="0" applyNumberFormat="1" applyFont="1" applyFill="1" applyBorder="1" applyAlignment="1" applyProtection="1">
      <alignment horizontal="center" vertical="center"/>
      <protection locked="0"/>
    </xf>
    <xf numFmtId="0" fontId="0" fillId="34" borderId="34" xfId="0" applyFill="1" applyBorder="1" applyAlignment="1" applyProtection="1">
      <alignment horizontal="center" vertical="center"/>
      <protection hidden="1"/>
    </xf>
    <xf numFmtId="164" fontId="5" fillId="32" borderId="16" xfId="0" applyNumberFormat="1" applyFont="1" applyFill="1" applyBorder="1" applyAlignment="1" applyProtection="1">
      <alignment horizontal="center"/>
      <protection hidden="1"/>
    </xf>
    <xf numFmtId="164" fontId="5" fillId="32" borderId="18" xfId="0" applyNumberFormat="1" applyFont="1" applyFill="1" applyBorder="1" applyAlignment="1" applyProtection="1">
      <alignment horizontal="center"/>
      <protection hidden="1"/>
    </xf>
    <xf numFmtId="164" fontId="5" fillId="0" borderId="18" xfId="0" applyNumberFormat="1"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te" xfId="61"/>
    <cellStyle name="Output" xfId="62"/>
    <cellStyle name="Percent" xfId="63"/>
    <cellStyle name="Title" xfId="64"/>
    <cellStyle name="Total" xfId="65"/>
    <cellStyle name="Warning Text" xfId="66"/>
  </cellStyles>
  <dxfs count="63">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581025</xdr:colOff>
      <xdr:row>15</xdr:row>
      <xdr:rowOff>19050</xdr:rowOff>
    </xdr:from>
    <xdr:to>
      <xdr:col>6</xdr:col>
      <xdr:colOff>571500</xdr:colOff>
      <xdr:row>15</xdr:row>
      <xdr:rowOff>76200</xdr:rowOff>
    </xdr:to>
    <xdr:sp>
      <xdr:nvSpPr>
        <xdr:cNvPr id="1" name="Rectangle 1"/>
        <xdr:cNvSpPr>
          <a:spLocks/>
        </xdr:cNvSpPr>
      </xdr:nvSpPr>
      <xdr:spPr>
        <a:xfrm>
          <a:off x="4076700" y="2486025"/>
          <a:ext cx="600075"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18</xdr:row>
      <xdr:rowOff>152400</xdr:rowOff>
    </xdr:from>
    <xdr:to>
      <xdr:col>6</xdr:col>
      <xdr:colOff>571500</xdr:colOff>
      <xdr:row>19</xdr:row>
      <xdr:rowOff>47625</xdr:rowOff>
    </xdr:to>
    <xdr:sp>
      <xdr:nvSpPr>
        <xdr:cNvPr id="2" name="Rectangle 2"/>
        <xdr:cNvSpPr>
          <a:spLocks/>
        </xdr:cNvSpPr>
      </xdr:nvSpPr>
      <xdr:spPr>
        <a:xfrm>
          <a:off x="4076700" y="3105150"/>
          <a:ext cx="600075"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15</xdr:row>
      <xdr:rowOff>76200</xdr:rowOff>
    </xdr:from>
    <xdr:to>
      <xdr:col>6</xdr:col>
      <xdr:colOff>295275</xdr:colOff>
      <xdr:row>18</xdr:row>
      <xdr:rowOff>152400</xdr:rowOff>
    </xdr:to>
    <xdr:sp>
      <xdr:nvSpPr>
        <xdr:cNvPr id="3" name="Rectangle 3"/>
        <xdr:cNvSpPr>
          <a:spLocks/>
        </xdr:cNvSpPr>
      </xdr:nvSpPr>
      <xdr:spPr>
        <a:xfrm>
          <a:off x="4362450" y="2543175"/>
          <a:ext cx="38100"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15</xdr:row>
      <xdr:rowOff>114300</xdr:rowOff>
    </xdr:from>
    <xdr:to>
      <xdr:col>6</xdr:col>
      <xdr:colOff>257175</xdr:colOff>
      <xdr:row>18</xdr:row>
      <xdr:rowOff>57150</xdr:rowOff>
    </xdr:to>
    <xdr:sp>
      <xdr:nvSpPr>
        <xdr:cNvPr id="4" name="Rectangle 4"/>
        <xdr:cNvSpPr>
          <a:spLocks/>
        </xdr:cNvSpPr>
      </xdr:nvSpPr>
      <xdr:spPr>
        <a:xfrm>
          <a:off x="4152900" y="2581275"/>
          <a:ext cx="2095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15</xdr:row>
      <xdr:rowOff>114300</xdr:rowOff>
    </xdr:from>
    <xdr:to>
      <xdr:col>6</xdr:col>
      <xdr:colOff>257175</xdr:colOff>
      <xdr:row>18</xdr:row>
      <xdr:rowOff>57150</xdr:rowOff>
    </xdr:to>
    <xdr:sp>
      <xdr:nvSpPr>
        <xdr:cNvPr id="5" name="Rectangle 5"/>
        <xdr:cNvSpPr>
          <a:spLocks/>
        </xdr:cNvSpPr>
      </xdr:nvSpPr>
      <xdr:spPr>
        <a:xfrm>
          <a:off x="4324350" y="2581275"/>
          <a:ext cx="3810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15</xdr:row>
      <xdr:rowOff>114300</xdr:rowOff>
    </xdr:from>
    <xdr:to>
      <xdr:col>6</xdr:col>
      <xdr:colOff>504825</xdr:colOff>
      <xdr:row>18</xdr:row>
      <xdr:rowOff>57150</xdr:rowOff>
    </xdr:to>
    <xdr:sp>
      <xdr:nvSpPr>
        <xdr:cNvPr id="6" name="Rectangle 6"/>
        <xdr:cNvSpPr>
          <a:spLocks/>
        </xdr:cNvSpPr>
      </xdr:nvSpPr>
      <xdr:spPr>
        <a:xfrm>
          <a:off x="4400550" y="2581275"/>
          <a:ext cx="2095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15</xdr:row>
      <xdr:rowOff>114300</xdr:rowOff>
    </xdr:from>
    <xdr:to>
      <xdr:col>6</xdr:col>
      <xdr:colOff>333375</xdr:colOff>
      <xdr:row>18</xdr:row>
      <xdr:rowOff>57150</xdr:rowOff>
    </xdr:to>
    <xdr:sp>
      <xdr:nvSpPr>
        <xdr:cNvPr id="7" name="Rectangle 7"/>
        <xdr:cNvSpPr>
          <a:spLocks/>
        </xdr:cNvSpPr>
      </xdr:nvSpPr>
      <xdr:spPr>
        <a:xfrm>
          <a:off x="4400550" y="2581275"/>
          <a:ext cx="3810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14</xdr:row>
      <xdr:rowOff>142875</xdr:rowOff>
    </xdr:from>
    <xdr:to>
      <xdr:col>8</xdr:col>
      <xdr:colOff>95250</xdr:colOff>
      <xdr:row>16</xdr:row>
      <xdr:rowOff>142875</xdr:rowOff>
    </xdr:to>
    <xdr:sp>
      <xdr:nvSpPr>
        <xdr:cNvPr id="8" name="Line 14"/>
        <xdr:cNvSpPr>
          <a:spLocks/>
        </xdr:cNvSpPr>
      </xdr:nvSpPr>
      <xdr:spPr>
        <a:xfrm>
          <a:off x="5419725" y="24479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17</xdr:row>
      <xdr:rowOff>85725</xdr:rowOff>
    </xdr:from>
    <xdr:to>
      <xdr:col>8</xdr:col>
      <xdr:colOff>95250</xdr:colOff>
      <xdr:row>19</xdr:row>
      <xdr:rowOff>133350</xdr:rowOff>
    </xdr:to>
    <xdr:sp>
      <xdr:nvSpPr>
        <xdr:cNvPr id="9" name="Line 15"/>
        <xdr:cNvSpPr>
          <a:spLocks/>
        </xdr:cNvSpPr>
      </xdr:nvSpPr>
      <xdr:spPr>
        <a:xfrm>
          <a:off x="5419725" y="2876550"/>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16</xdr:row>
      <xdr:rowOff>142875</xdr:rowOff>
    </xdr:from>
    <xdr:to>
      <xdr:col>8</xdr:col>
      <xdr:colOff>95250</xdr:colOff>
      <xdr:row>16</xdr:row>
      <xdr:rowOff>142875</xdr:rowOff>
    </xdr:to>
    <xdr:sp>
      <xdr:nvSpPr>
        <xdr:cNvPr id="10" name="Line 16"/>
        <xdr:cNvSpPr>
          <a:spLocks/>
        </xdr:cNvSpPr>
      </xdr:nvSpPr>
      <xdr:spPr>
        <a:xfrm flipH="1">
          <a:off x="5362575" y="2771775"/>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17</xdr:row>
      <xdr:rowOff>85725</xdr:rowOff>
    </xdr:from>
    <xdr:to>
      <xdr:col>8</xdr:col>
      <xdr:colOff>152400</xdr:colOff>
      <xdr:row>17</xdr:row>
      <xdr:rowOff>85725</xdr:rowOff>
    </xdr:to>
    <xdr:sp>
      <xdr:nvSpPr>
        <xdr:cNvPr id="11" name="Line 17"/>
        <xdr:cNvSpPr>
          <a:spLocks/>
        </xdr:cNvSpPr>
      </xdr:nvSpPr>
      <xdr:spPr>
        <a:xfrm>
          <a:off x="5419725" y="287655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16</xdr:row>
      <xdr:rowOff>142875</xdr:rowOff>
    </xdr:from>
    <xdr:to>
      <xdr:col>8</xdr:col>
      <xdr:colOff>152400</xdr:colOff>
      <xdr:row>17</xdr:row>
      <xdr:rowOff>85725</xdr:rowOff>
    </xdr:to>
    <xdr:sp>
      <xdr:nvSpPr>
        <xdr:cNvPr id="12" name="Line 18"/>
        <xdr:cNvSpPr>
          <a:spLocks/>
        </xdr:cNvSpPr>
      </xdr:nvSpPr>
      <xdr:spPr>
        <a:xfrm>
          <a:off x="5362575" y="2771775"/>
          <a:ext cx="11430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15</xdr:row>
      <xdr:rowOff>114300</xdr:rowOff>
    </xdr:from>
    <xdr:to>
      <xdr:col>7</xdr:col>
      <xdr:colOff>361950</xdr:colOff>
      <xdr:row>18</xdr:row>
      <xdr:rowOff>57150</xdr:rowOff>
    </xdr:to>
    <xdr:sp>
      <xdr:nvSpPr>
        <xdr:cNvPr id="13" name="Rectangle 19"/>
        <xdr:cNvSpPr>
          <a:spLocks/>
        </xdr:cNvSpPr>
      </xdr:nvSpPr>
      <xdr:spPr>
        <a:xfrm>
          <a:off x="4867275" y="2581275"/>
          <a:ext cx="2095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15</xdr:row>
      <xdr:rowOff>114300</xdr:rowOff>
    </xdr:from>
    <xdr:to>
      <xdr:col>7</xdr:col>
      <xdr:colOff>190500</xdr:colOff>
      <xdr:row>18</xdr:row>
      <xdr:rowOff>57150</xdr:rowOff>
    </xdr:to>
    <xdr:sp>
      <xdr:nvSpPr>
        <xdr:cNvPr id="14" name="Rectangle 20"/>
        <xdr:cNvSpPr>
          <a:spLocks/>
        </xdr:cNvSpPr>
      </xdr:nvSpPr>
      <xdr:spPr>
        <a:xfrm>
          <a:off x="4867275" y="2581275"/>
          <a:ext cx="3810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xdr:row>
      <xdr:rowOff>114300</xdr:rowOff>
    </xdr:from>
    <xdr:to>
      <xdr:col>7</xdr:col>
      <xdr:colOff>209550</xdr:colOff>
      <xdr:row>18</xdr:row>
      <xdr:rowOff>57150</xdr:rowOff>
    </xdr:to>
    <xdr:sp>
      <xdr:nvSpPr>
        <xdr:cNvPr id="15" name="Line 21"/>
        <xdr:cNvSpPr>
          <a:spLocks/>
        </xdr:cNvSpPr>
      </xdr:nvSpPr>
      <xdr:spPr>
        <a:xfrm>
          <a:off x="4924425" y="2581275"/>
          <a:ext cx="0" cy="4286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xdr:row>
      <xdr:rowOff>76200</xdr:rowOff>
    </xdr:from>
    <xdr:to>
      <xdr:col>7</xdr:col>
      <xdr:colOff>209550</xdr:colOff>
      <xdr:row>15</xdr:row>
      <xdr:rowOff>114300</xdr:rowOff>
    </xdr:to>
    <xdr:sp>
      <xdr:nvSpPr>
        <xdr:cNvPr id="16" name="Line 22"/>
        <xdr:cNvSpPr>
          <a:spLocks/>
        </xdr:cNvSpPr>
      </xdr:nvSpPr>
      <xdr:spPr>
        <a:xfrm>
          <a:off x="4924425" y="2543175"/>
          <a:ext cx="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xdr:row>
      <xdr:rowOff>57150</xdr:rowOff>
    </xdr:from>
    <xdr:to>
      <xdr:col>7</xdr:col>
      <xdr:colOff>209550</xdr:colOff>
      <xdr:row>18</xdr:row>
      <xdr:rowOff>152400</xdr:rowOff>
    </xdr:to>
    <xdr:sp>
      <xdr:nvSpPr>
        <xdr:cNvPr id="17" name="Line 23"/>
        <xdr:cNvSpPr>
          <a:spLocks/>
        </xdr:cNvSpPr>
      </xdr:nvSpPr>
      <xdr:spPr>
        <a:xfrm>
          <a:off x="4924425" y="30099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15</xdr:row>
      <xdr:rowOff>76200</xdr:rowOff>
    </xdr:from>
    <xdr:to>
      <xdr:col>6</xdr:col>
      <xdr:colOff>295275</xdr:colOff>
      <xdr:row>15</xdr:row>
      <xdr:rowOff>76200</xdr:rowOff>
    </xdr:to>
    <xdr:sp>
      <xdr:nvSpPr>
        <xdr:cNvPr id="18" name="Line 30"/>
        <xdr:cNvSpPr>
          <a:spLocks/>
        </xdr:cNvSpPr>
      </xdr:nvSpPr>
      <xdr:spPr>
        <a:xfrm>
          <a:off x="4362450" y="2543175"/>
          <a:ext cx="3810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18</xdr:row>
      <xdr:rowOff>152400</xdr:rowOff>
    </xdr:from>
    <xdr:to>
      <xdr:col>6</xdr:col>
      <xdr:colOff>295275</xdr:colOff>
      <xdr:row>18</xdr:row>
      <xdr:rowOff>152400</xdr:rowOff>
    </xdr:to>
    <xdr:sp>
      <xdr:nvSpPr>
        <xdr:cNvPr id="19" name="Line 31"/>
        <xdr:cNvSpPr>
          <a:spLocks/>
        </xdr:cNvSpPr>
      </xdr:nvSpPr>
      <xdr:spPr>
        <a:xfrm>
          <a:off x="4362450" y="3105150"/>
          <a:ext cx="3810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15</xdr:row>
      <xdr:rowOff>114300</xdr:rowOff>
    </xdr:from>
    <xdr:to>
      <xdr:col>5</xdr:col>
      <xdr:colOff>523875</xdr:colOff>
      <xdr:row>18</xdr:row>
      <xdr:rowOff>57150</xdr:rowOff>
    </xdr:to>
    <xdr:sp>
      <xdr:nvSpPr>
        <xdr:cNvPr id="20" name="Line 37"/>
        <xdr:cNvSpPr>
          <a:spLocks/>
        </xdr:cNvSpPr>
      </xdr:nvSpPr>
      <xdr:spPr>
        <a:xfrm>
          <a:off x="4019550" y="2581275"/>
          <a:ext cx="0" cy="4286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18</xdr:row>
      <xdr:rowOff>85725</xdr:rowOff>
    </xdr:from>
    <xdr:to>
      <xdr:col>6</xdr:col>
      <xdr:colOff>47625</xdr:colOff>
      <xdr:row>20</xdr:row>
      <xdr:rowOff>47625</xdr:rowOff>
    </xdr:to>
    <xdr:sp>
      <xdr:nvSpPr>
        <xdr:cNvPr id="21" name="Line 38"/>
        <xdr:cNvSpPr>
          <a:spLocks/>
        </xdr:cNvSpPr>
      </xdr:nvSpPr>
      <xdr:spPr>
        <a:xfrm>
          <a:off x="4152900" y="3038475"/>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19</xdr:row>
      <xdr:rowOff>9525</xdr:rowOff>
    </xdr:from>
    <xdr:to>
      <xdr:col>6</xdr:col>
      <xdr:colOff>257175</xdr:colOff>
      <xdr:row>20</xdr:row>
      <xdr:rowOff>47625</xdr:rowOff>
    </xdr:to>
    <xdr:sp>
      <xdr:nvSpPr>
        <xdr:cNvPr id="22" name="Line 39"/>
        <xdr:cNvSpPr>
          <a:spLocks/>
        </xdr:cNvSpPr>
      </xdr:nvSpPr>
      <xdr:spPr>
        <a:xfrm>
          <a:off x="4362450" y="3124200"/>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20</xdr:row>
      <xdr:rowOff>0</xdr:rowOff>
    </xdr:from>
    <xdr:to>
      <xdr:col>6</xdr:col>
      <xdr:colOff>257175</xdr:colOff>
      <xdr:row>20</xdr:row>
      <xdr:rowOff>0</xdr:rowOff>
    </xdr:to>
    <xdr:sp>
      <xdr:nvSpPr>
        <xdr:cNvPr id="23" name="Line 40"/>
        <xdr:cNvSpPr>
          <a:spLocks/>
        </xdr:cNvSpPr>
      </xdr:nvSpPr>
      <xdr:spPr>
        <a:xfrm>
          <a:off x="4152900" y="3276600"/>
          <a:ext cx="2095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171450</xdr:colOff>
      <xdr:row>20</xdr:row>
      <xdr:rowOff>0</xdr:rowOff>
    </xdr:from>
    <xdr:to>
      <xdr:col>6</xdr:col>
      <xdr:colOff>47625</xdr:colOff>
      <xdr:row>20</xdr:row>
      <xdr:rowOff>0</xdr:rowOff>
    </xdr:to>
    <xdr:sp>
      <xdr:nvSpPr>
        <xdr:cNvPr id="24" name="Line 41"/>
        <xdr:cNvSpPr>
          <a:spLocks/>
        </xdr:cNvSpPr>
      </xdr:nvSpPr>
      <xdr:spPr>
        <a:xfrm flipH="1">
          <a:off x="3667125" y="3276600"/>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7</xdr:row>
      <xdr:rowOff>133350</xdr:rowOff>
    </xdr:from>
    <xdr:to>
      <xdr:col>7</xdr:col>
      <xdr:colOff>152400</xdr:colOff>
      <xdr:row>10</xdr:row>
      <xdr:rowOff>123825</xdr:rowOff>
    </xdr:to>
    <xdr:sp>
      <xdr:nvSpPr>
        <xdr:cNvPr id="25" name="Line 44"/>
        <xdr:cNvSpPr>
          <a:spLocks/>
        </xdr:cNvSpPr>
      </xdr:nvSpPr>
      <xdr:spPr>
        <a:xfrm flipV="1">
          <a:off x="4867275" y="1304925"/>
          <a:ext cx="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190500</xdr:colOff>
      <xdr:row>12</xdr:row>
      <xdr:rowOff>133350</xdr:rowOff>
    </xdr:from>
    <xdr:to>
      <xdr:col>7</xdr:col>
      <xdr:colOff>190500</xdr:colOff>
      <xdr:row>15</xdr:row>
      <xdr:rowOff>85725</xdr:rowOff>
    </xdr:to>
    <xdr:sp>
      <xdr:nvSpPr>
        <xdr:cNvPr id="26" name="Line 45"/>
        <xdr:cNvSpPr>
          <a:spLocks/>
        </xdr:cNvSpPr>
      </xdr:nvSpPr>
      <xdr:spPr>
        <a:xfrm flipV="1">
          <a:off x="4905375" y="2114550"/>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26</xdr:row>
      <xdr:rowOff>38100</xdr:rowOff>
    </xdr:from>
    <xdr:to>
      <xdr:col>6</xdr:col>
      <xdr:colOff>533400</xdr:colOff>
      <xdr:row>26</xdr:row>
      <xdr:rowOff>38100</xdr:rowOff>
    </xdr:to>
    <xdr:sp>
      <xdr:nvSpPr>
        <xdr:cNvPr id="27" name="Line 49"/>
        <xdr:cNvSpPr>
          <a:spLocks/>
        </xdr:cNvSpPr>
      </xdr:nvSpPr>
      <xdr:spPr>
        <a:xfrm flipH="1">
          <a:off x="4400550" y="4286250"/>
          <a:ext cx="2381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26</xdr:row>
      <xdr:rowOff>38100</xdr:rowOff>
    </xdr:from>
    <xdr:to>
      <xdr:col>6</xdr:col>
      <xdr:colOff>295275</xdr:colOff>
      <xdr:row>26</xdr:row>
      <xdr:rowOff>38100</xdr:rowOff>
    </xdr:to>
    <xdr:sp>
      <xdr:nvSpPr>
        <xdr:cNvPr id="28" name="Line 50"/>
        <xdr:cNvSpPr>
          <a:spLocks/>
        </xdr:cNvSpPr>
      </xdr:nvSpPr>
      <xdr:spPr>
        <a:xfrm>
          <a:off x="4362450" y="4286250"/>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xdr:row>
      <xdr:rowOff>19050</xdr:rowOff>
    </xdr:from>
    <xdr:to>
      <xdr:col>8</xdr:col>
      <xdr:colOff>95250</xdr:colOff>
      <xdr:row>15</xdr:row>
      <xdr:rowOff>76200</xdr:rowOff>
    </xdr:to>
    <xdr:sp>
      <xdr:nvSpPr>
        <xdr:cNvPr id="29" name="Rectangle 51"/>
        <xdr:cNvSpPr>
          <a:spLocks/>
        </xdr:cNvSpPr>
      </xdr:nvSpPr>
      <xdr:spPr>
        <a:xfrm>
          <a:off x="4924425" y="2486025"/>
          <a:ext cx="495300"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xdr:row>
      <xdr:rowOff>152400</xdr:rowOff>
    </xdr:from>
    <xdr:to>
      <xdr:col>8</xdr:col>
      <xdr:colOff>95250</xdr:colOff>
      <xdr:row>19</xdr:row>
      <xdr:rowOff>47625</xdr:rowOff>
    </xdr:to>
    <xdr:sp>
      <xdr:nvSpPr>
        <xdr:cNvPr id="30" name="Rectangle 52"/>
        <xdr:cNvSpPr>
          <a:spLocks/>
        </xdr:cNvSpPr>
      </xdr:nvSpPr>
      <xdr:spPr>
        <a:xfrm>
          <a:off x="4924425" y="3105150"/>
          <a:ext cx="495300"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15</xdr:row>
      <xdr:rowOff>19050</xdr:rowOff>
    </xdr:from>
    <xdr:to>
      <xdr:col>8</xdr:col>
      <xdr:colOff>247650</xdr:colOff>
      <xdr:row>15</xdr:row>
      <xdr:rowOff>19050</xdr:rowOff>
    </xdr:to>
    <xdr:sp>
      <xdr:nvSpPr>
        <xdr:cNvPr id="31" name="Line 53"/>
        <xdr:cNvSpPr>
          <a:spLocks/>
        </xdr:cNvSpPr>
      </xdr:nvSpPr>
      <xdr:spPr>
        <a:xfrm>
          <a:off x="5448300" y="2486025"/>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447675</xdr:colOff>
      <xdr:row>16</xdr:row>
      <xdr:rowOff>76200</xdr:rowOff>
    </xdr:from>
    <xdr:to>
      <xdr:col>7</xdr:col>
      <xdr:colOff>447675</xdr:colOff>
      <xdr:row>18</xdr:row>
      <xdr:rowOff>85725</xdr:rowOff>
    </xdr:to>
    <xdr:sp>
      <xdr:nvSpPr>
        <xdr:cNvPr id="32" name="Line 54"/>
        <xdr:cNvSpPr>
          <a:spLocks/>
        </xdr:cNvSpPr>
      </xdr:nvSpPr>
      <xdr:spPr>
        <a:xfrm>
          <a:off x="5162550" y="2705100"/>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15</xdr:row>
      <xdr:rowOff>114300</xdr:rowOff>
    </xdr:from>
    <xdr:to>
      <xdr:col>8</xdr:col>
      <xdr:colOff>257175</xdr:colOff>
      <xdr:row>15</xdr:row>
      <xdr:rowOff>114300</xdr:rowOff>
    </xdr:to>
    <xdr:sp>
      <xdr:nvSpPr>
        <xdr:cNvPr id="33" name="Line 55"/>
        <xdr:cNvSpPr>
          <a:spLocks/>
        </xdr:cNvSpPr>
      </xdr:nvSpPr>
      <xdr:spPr>
        <a:xfrm>
          <a:off x="5114925" y="2581275"/>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18</xdr:row>
      <xdr:rowOff>85725</xdr:rowOff>
    </xdr:from>
    <xdr:to>
      <xdr:col>7</xdr:col>
      <xdr:colOff>152400</xdr:colOff>
      <xdr:row>21</xdr:row>
      <xdr:rowOff>142875</xdr:rowOff>
    </xdr:to>
    <xdr:sp>
      <xdr:nvSpPr>
        <xdr:cNvPr id="34" name="Line 60"/>
        <xdr:cNvSpPr>
          <a:spLocks/>
        </xdr:cNvSpPr>
      </xdr:nvSpPr>
      <xdr:spPr>
        <a:xfrm>
          <a:off x="4867275" y="3038475"/>
          <a:ext cx="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xdr:row>
      <xdr:rowOff>76200</xdr:rowOff>
    </xdr:from>
    <xdr:to>
      <xdr:col>7</xdr:col>
      <xdr:colOff>209550</xdr:colOff>
      <xdr:row>20</xdr:row>
      <xdr:rowOff>57150</xdr:rowOff>
    </xdr:to>
    <xdr:sp>
      <xdr:nvSpPr>
        <xdr:cNvPr id="35" name="Line 61"/>
        <xdr:cNvSpPr>
          <a:spLocks/>
        </xdr:cNvSpPr>
      </xdr:nvSpPr>
      <xdr:spPr>
        <a:xfrm>
          <a:off x="4924425" y="3190875"/>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20</xdr:row>
      <xdr:rowOff>0</xdr:rowOff>
    </xdr:from>
    <xdr:to>
      <xdr:col>7</xdr:col>
      <xdr:colOff>152400</xdr:colOff>
      <xdr:row>20</xdr:row>
      <xdr:rowOff>0</xdr:rowOff>
    </xdr:to>
    <xdr:sp>
      <xdr:nvSpPr>
        <xdr:cNvPr id="36" name="Line 62"/>
        <xdr:cNvSpPr>
          <a:spLocks/>
        </xdr:cNvSpPr>
      </xdr:nvSpPr>
      <xdr:spPr>
        <a:xfrm>
          <a:off x="4733925" y="3276600"/>
          <a:ext cx="1333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20</xdr:row>
      <xdr:rowOff>0</xdr:rowOff>
    </xdr:from>
    <xdr:to>
      <xdr:col>7</xdr:col>
      <xdr:colOff>209550</xdr:colOff>
      <xdr:row>20</xdr:row>
      <xdr:rowOff>0</xdr:rowOff>
    </xdr:to>
    <xdr:sp>
      <xdr:nvSpPr>
        <xdr:cNvPr id="37" name="Line 63"/>
        <xdr:cNvSpPr>
          <a:spLocks/>
        </xdr:cNvSpPr>
      </xdr:nvSpPr>
      <xdr:spPr>
        <a:xfrm>
          <a:off x="4867275" y="32766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20</xdr:row>
      <xdr:rowOff>0</xdr:rowOff>
    </xdr:from>
    <xdr:to>
      <xdr:col>7</xdr:col>
      <xdr:colOff>342900</xdr:colOff>
      <xdr:row>20</xdr:row>
      <xdr:rowOff>0</xdr:rowOff>
    </xdr:to>
    <xdr:sp>
      <xdr:nvSpPr>
        <xdr:cNvPr id="38" name="Line 64"/>
        <xdr:cNvSpPr>
          <a:spLocks/>
        </xdr:cNvSpPr>
      </xdr:nvSpPr>
      <xdr:spPr>
        <a:xfrm flipH="1">
          <a:off x="4924425" y="3276600"/>
          <a:ext cx="1333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361950</xdr:colOff>
      <xdr:row>18</xdr:row>
      <xdr:rowOff>95250</xdr:rowOff>
    </xdr:from>
    <xdr:to>
      <xdr:col>7</xdr:col>
      <xdr:colOff>361950</xdr:colOff>
      <xdr:row>19</xdr:row>
      <xdr:rowOff>114300</xdr:rowOff>
    </xdr:to>
    <xdr:sp>
      <xdr:nvSpPr>
        <xdr:cNvPr id="39" name="Line 65"/>
        <xdr:cNvSpPr>
          <a:spLocks/>
        </xdr:cNvSpPr>
      </xdr:nvSpPr>
      <xdr:spPr>
        <a:xfrm>
          <a:off x="5076825" y="304800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361950</xdr:colOff>
      <xdr:row>21</xdr:row>
      <xdr:rowOff>0</xdr:rowOff>
    </xdr:from>
    <xdr:to>
      <xdr:col>7</xdr:col>
      <xdr:colOff>361950</xdr:colOff>
      <xdr:row>21</xdr:row>
      <xdr:rowOff>142875</xdr:rowOff>
    </xdr:to>
    <xdr:sp>
      <xdr:nvSpPr>
        <xdr:cNvPr id="40" name="Line 66"/>
        <xdr:cNvSpPr>
          <a:spLocks/>
        </xdr:cNvSpPr>
      </xdr:nvSpPr>
      <xdr:spPr>
        <a:xfrm>
          <a:off x="5076825" y="3438525"/>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21</xdr:row>
      <xdr:rowOff>95250</xdr:rowOff>
    </xdr:from>
    <xdr:to>
      <xdr:col>7</xdr:col>
      <xdr:colOff>361950</xdr:colOff>
      <xdr:row>21</xdr:row>
      <xdr:rowOff>95250</xdr:rowOff>
    </xdr:to>
    <xdr:sp>
      <xdr:nvSpPr>
        <xdr:cNvPr id="41" name="Line 67"/>
        <xdr:cNvSpPr>
          <a:spLocks/>
        </xdr:cNvSpPr>
      </xdr:nvSpPr>
      <xdr:spPr>
        <a:xfrm>
          <a:off x="4867275" y="3533775"/>
          <a:ext cx="2095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17</xdr:row>
      <xdr:rowOff>0</xdr:rowOff>
    </xdr:from>
    <xdr:to>
      <xdr:col>8</xdr:col>
      <xdr:colOff>371475</xdr:colOff>
      <xdr:row>17</xdr:row>
      <xdr:rowOff>0</xdr:rowOff>
    </xdr:to>
    <xdr:sp>
      <xdr:nvSpPr>
        <xdr:cNvPr id="42" name="Line 72"/>
        <xdr:cNvSpPr>
          <a:spLocks/>
        </xdr:cNvSpPr>
      </xdr:nvSpPr>
      <xdr:spPr>
        <a:xfrm>
          <a:off x="5448300" y="27908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27</xdr:row>
      <xdr:rowOff>19050</xdr:rowOff>
    </xdr:from>
    <xdr:to>
      <xdr:col>6</xdr:col>
      <xdr:colOff>571500</xdr:colOff>
      <xdr:row>27</xdr:row>
      <xdr:rowOff>76200</xdr:rowOff>
    </xdr:to>
    <xdr:sp>
      <xdr:nvSpPr>
        <xdr:cNvPr id="43" name="Rectangle 73"/>
        <xdr:cNvSpPr>
          <a:spLocks/>
        </xdr:cNvSpPr>
      </xdr:nvSpPr>
      <xdr:spPr>
        <a:xfrm>
          <a:off x="4076700" y="4429125"/>
          <a:ext cx="600075"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30</xdr:row>
      <xdr:rowOff>152400</xdr:rowOff>
    </xdr:from>
    <xdr:to>
      <xdr:col>6</xdr:col>
      <xdr:colOff>571500</xdr:colOff>
      <xdr:row>31</xdr:row>
      <xdr:rowOff>47625</xdr:rowOff>
    </xdr:to>
    <xdr:sp>
      <xdr:nvSpPr>
        <xdr:cNvPr id="44" name="Rectangle 74"/>
        <xdr:cNvSpPr>
          <a:spLocks/>
        </xdr:cNvSpPr>
      </xdr:nvSpPr>
      <xdr:spPr>
        <a:xfrm>
          <a:off x="4076700" y="5048250"/>
          <a:ext cx="600075"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27</xdr:row>
      <xdr:rowOff>76200</xdr:rowOff>
    </xdr:from>
    <xdr:to>
      <xdr:col>6</xdr:col>
      <xdr:colOff>295275</xdr:colOff>
      <xdr:row>30</xdr:row>
      <xdr:rowOff>152400</xdr:rowOff>
    </xdr:to>
    <xdr:sp>
      <xdr:nvSpPr>
        <xdr:cNvPr id="45" name="Rectangle 75"/>
        <xdr:cNvSpPr>
          <a:spLocks/>
        </xdr:cNvSpPr>
      </xdr:nvSpPr>
      <xdr:spPr>
        <a:xfrm>
          <a:off x="4362450" y="4486275"/>
          <a:ext cx="38100"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27</xdr:row>
      <xdr:rowOff>114300</xdr:rowOff>
    </xdr:from>
    <xdr:to>
      <xdr:col>6</xdr:col>
      <xdr:colOff>257175</xdr:colOff>
      <xdr:row>30</xdr:row>
      <xdr:rowOff>57150</xdr:rowOff>
    </xdr:to>
    <xdr:sp>
      <xdr:nvSpPr>
        <xdr:cNvPr id="46" name="Rectangle 76"/>
        <xdr:cNvSpPr>
          <a:spLocks/>
        </xdr:cNvSpPr>
      </xdr:nvSpPr>
      <xdr:spPr>
        <a:xfrm>
          <a:off x="4152900" y="4524375"/>
          <a:ext cx="2095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27</xdr:row>
      <xdr:rowOff>114300</xdr:rowOff>
    </xdr:from>
    <xdr:to>
      <xdr:col>6</xdr:col>
      <xdr:colOff>257175</xdr:colOff>
      <xdr:row>30</xdr:row>
      <xdr:rowOff>57150</xdr:rowOff>
    </xdr:to>
    <xdr:sp>
      <xdr:nvSpPr>
        <xdr:cNvPr id="47" name="Rectangle 77"/>
        <xdr:cNvSpPr>
          <a:spLocks/>
        </xdr:cNvSpPr>
      </xdr:nvSpPr>
      <xdr:spPr>
        <a:xfrm>
          <a:off x="4324350" y="4524375"/>
          <a:ext cx="3810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27</xdr:row>
      <xdr:rowOff>114300</xdr:rowOff>
    </xdr:from>
    <xdr:to>
      <xdr:col>6</xdr:col>
      <xdr:colOff>504825</xdr:colOff>
      <xdr:row>30</xdr:row>
      <xdr:rowOff>57150</xdr:rowOff>
    </xdr:to>
    <xdr:sp>
      <xdr:nvSpPr>
        <xdr:cNvPr id="48" name="Rectangle 78"/>
        <xdr:cNvSpPr>
          <a:spLocks/>
        </xdr:cNvSpPr>
      </xdr:nvSpPr>
      <xdr:spPr>
        <a:xfrm>
          <a:off x="4400550" y="4524375"/>
          <a:ext cx="2095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27</xdr:row>
      <xdr:rowOff>114300</xdr:rowOff>
    </xdr:from>
    <xdr:to>
      <xdr:col>6</xdr:col>
      <xdr:colOff>333375</xdr:colOff>
      <xdr:row>30</xdr:row>
      <xdr:rowOff>57150</xdr:rowOff>
    </xdr:to>
    <xdr:sp>
      <xdr:nvSpPr>
        <xdr:cNvPr id="49" name="Rectangle 79"/>
        <xdr:cNvSpPr>
          <a:spLocks/>
        </xdr:cNvSpPr>
      </xdr:nvSpPr>
      <xdr:spPr>
        <a:xfrm>
          <a:off x="4400550" y="4524375"/>
          <a:ext cx="3810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26</xdr:row>
      <xdr:rowOff>142875</xdr:rowOff>
    </xdr:from>
    <xdr:to>
      <xdr:col>8</xdr:col>
      <xdr:colOff>95250</xdr:colOff>
      <xdr:row>28</xdr:row>
      <xdr:rowOff>142875</xdr:rowOff>
    </xdr:to>
    <xdr:sp>
      <xdr:nvSpPr>
        <xdr:cNvPr id="50" name="Line 86"/>
        <xdr:cNvSpPr>
          <a:spLocks/>
        </xdr:cNvSpPr>
      </xdr:nvSpPr>
      <xdr:spPr>
        <a:xfrm>
          <a:off x="5419725" y="43910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29</xdr:row>
      <xdr:rowOff>85725</xdr:rowOff>
    </xdr:from>
    <xdr:to>
      <xdr:col>8</xdr:col>
      <xdr:colOff>95250</xdr:colOff>
      <xdr:row>31</xdr:row>
      <xdr:rowOff>133350</xdr:rowOff>
    </xdr:to>
    <xdr:sp>
      <xdr:nvSpPr>
        <xdr:cNvPr id="51" name="Line 87"/>
        <xdr:cNvSpPr>
          <a:spLocks/>
        </xdr:cNvSpPr>
      </xdr:nvSpPr>
      <xdr:spPr>
        <a:xfrm>
          <a:off x="5419725" y="4819650"/>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28</xdr:row>
      <xdr:rowOff>142875</xdr:rowOff>
    </xdr:from>
    <xdr:to>
      <xdr:col>8</xdr:col>
      <xdr:colOff>95250</xdr:colOff>
      <xdr:row>28</xdr:row>
      <xdr:rowOff>142875</xdr:rowOff>
    </xdr:to>
    <xdr:sp>
      <xdr:nvSpPr>
        <xdr:cNvPr id="52" name="Line 88"/>
        <xdr:cNvSpPr>
          <a:spLocks/>
        </xdr:cNvSpPr>
      </xdr:nvSpPr>
      <xdr:spPr>
        <a:xfrm flipH="1">
          <a:off x="5362575" y="4714875"/>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29</xdr:row>
      <xdr:rowOff>85725</xdr:rowOff>
    </xdr:from>
    <xdr:to>
      <xdr:col>8</xdr:col>
      <xdr:colOff>152400</xdr:colOff>
      <xdr:row>29</xdr:row>
      <xdr:rowOff>85725</xdr:rowOff>
    </xdr:to>
    <xdr:sp>
      <xdr:nvSpPr>
        <xdr:cNvPr id="53" name="Line 89"/>
        <xdr:cNvSpPr>
          <a:spLocks/>
        </xdr:cNvSpPr>
      </xdr:nvSpPr>
      <xdr:spPr>
        <a:xfrm>
          <a:off x="5419725" y="481965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28</xdr:row>
      <xdr:rowOff>142875</xdr:rowOff>
    </xdr:from>
    <xdr:to>
      <xdr:col>8</xdr:col>
      <xdr:colOff>152400</xdr:colOff>
      <xdr:row>29</xdr:row>
      <xdr:rowOff>85725</xdr:rowOff>
    </xdr:to>
    <xdr:sp>
      <xdr:nvSpPr>
        <xdr:cNvPr id="54" name="Line 90"/>
        <xdr:cNvSpPr>
          <a:spLocks/>
        </xdr:cNvSpPr>
      </xdr:nvSpPr>
      <xdr:spPr>
        <a:xfrm>
          <a:off x="5362575" y="4714875"/>
          <a:ext cx="11430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27</xdr:row>
      <xdr:rowOff>114300</xdr:rowOff>
    </xdr:from>
    <xdr:to>
      <xdr:col>7</xdr:col>
      <xdr:colOff>361950</xdr:colOff>
      <xdr:row>30</xdr:row>
      <xdr:rowOff>57150</xdr:rowOff>
    </xdr:to>
    <xdr:sp>
      <xdr:nvSpPr>
        <xdr:cNvPr id="55" name="Rectangle 91"/>
        <xdr:cNvSpPr>
          <a:spLocks/>
        </xdr:cNvSpPr>
      </xdr:nvSpPr>
      <xdr:spPr>
        <a:xfrm>
          <a:off x="4867275" y="4524375"/>
          <a:ext cx="2095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27</xdr:row>
      <xdr:rowOff>114300</xdr:rowOff>
    </xdr:from>
    <xdr:to>
      <xdr:col>7</xdr:col>
      <xdr:colOff>190500</xdr:colOff>
      <xdr:row>30</xdr:row>
      <xdr:rowOff>57150</xdr:rowOff>
    </xdr:to>
    <xdr:sp>
      <xdr:nvSpPr>
        <xdr:cNvPr id="56" name="Rectangle 92"/>
        <xdr:cNvSpPr>
          <a:spLocks/>
        </xdr:cNvSpPr>
      </xdr:nvSpPr>
      <xdr:spPr>
        <a:xfrm>
          <a:off x="4867275" y="4524375"/>
          <a:ext cx="3810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xdr:row>
      <xdr:rowOff>114300</xdr:rowOff>
    </xdr:from>
    <xdr:to>
      <xdr:col>7</xdr:col>
      <xdr:colOff>209550</xdr:colOff>
      <xdr:row>30</xdr:row>
      <xdr:rowOff>57150</xdr:rowOff>
    </xdr:to>
    <xdr:sp>
      <xdr:nvSpPr>
        <xdr:cNvPr id="57" name="Line 93"/>
        <xdr:cNvSpPr>
          <a:spLocks/>
        </xdr:cNvSpPr>
      </xdr:nvSpPr>
      <xdr:spPr>
        <a:xfrm>
          <a:off x="4924425" y="4524375"/>
          <a:ext cx="0" cy="4286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xdr:row>
      <xdr:rowOff>95250</xdr:rowOff>
    </xdr:from>
    <xdr:to>
      <xdr:col>7</xdr:col>
      <xdr:colOff>209550</xdr:colOff>
      <xdr:row>27</xdr:row>
      <xdr:rowOff>123825</xdr:rowOff>
    </xdr:to>
    <xdr:sp>
      <xdr:nvSpPr>
        <xdr:cNvPr id="58" name="Line 94"/>
        <xdr:cNvSpPr>
          <a:spLocks/>
        </xdr:cNvSpPr>
      </xdr:nvSpPr>
      <xdr:spPr>
        <a:xfrm>
          <a:off x="4924425" y="4505325"/>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30</xdr:row>
      <xdr:rowOff>28575</xdr:rowOff>
    </xdr:from>
    <xdr:to>
      <xdr:col>7</xdr:col>
      <xdr:colOff>209550</xdr:colOff>
      <xdr:row>30</xdr:row>
      <xdr:rowOff>123825</xdr:rowOff>
    </xdr:to>
    <xdr:sp>
      <xdr:nvSpPr>
        <xdr:cNvPr id="59" name="Line 95"/>
        <xdr:cNvSpPr>
          <a:spLocks/>
        </xdr:cNvSpPr>
      </xdr:nvSpPr>
      <xdr:spPr>
        <a:xfrm>
          <a:off x="4924425" y="4924425"/>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27</xdr:row>
      <xdr:rowOff>76200</xdr:rowOff>
    </xdr:from>
    <xdr:to>
      <xdr:col>6</xdr:col>
      <xdr:colOff>295275</xdr:colOff>
      <xdr:row>27</xdr:row>
      <xdr:rowOff>76200</xdr:rowOff>
    </xdr:to>
    <xdr:sp>
      <xdr:nvSpPr>
        <xdr:cNvPr id="60" name="Line 102"/>
        <xdr:cNvSpPr>
          <a:spLocks/>
        </xdr:cNvSpPr>
      </xdr:nvSpPr>
      <xdr:spPr>
        <a:xfrm>
          <a:off x="4362450" y="4486275"/>
          <a:ext cx="3810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30</xdr:row>
      <xdr:rowOff>152400</xdr:rowOff>
    </xdr:from>
    <xdr:to>
      <xdr:col>6</xdr:col>
      <xdr:colOff>295275</xdr:colOff>
      <xdr:row>30</xdr:row>
      <xdr:rowOff>152400</xdr:rowOff>
    </xdr:to>
    <xdr:sp>
      <xdr:nvSpPr>
        <xdr:cNvPr id="61" name="Line 103"/>
        <xdr:cNvSpPr>
          <a:spLocks/>
        </xdr:cNvSpPr>
      </xdr:nvSpPr>
      <xdr:spPr>
        <a:xfrm>
          <a:off x="4362450" y="5048250"/>
          <a:ext cx="3810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27</xdr:row>
      <xdr:rowOff>76200</xdr:rowOff>
    </xdr:from>
    <xdr:to>
      <xdr:col>8</xdr:col>
      <xdr:colOff>95250</xdr:colOff>
      <xdr:row>27</xdr:row>
      <xdr:rowOff>76200</xdr:rowOff>
    </xdr:to>
    <xdr:sp>
      <xdr:nvSpPr>
        <xdr:cNvPr id="62" name="Line 104"/>
        <xdr:cNvSpPr>
          <a:spLocks/>
        </xdr:cNvSpPr>
      </xdr:nvSpPr>
      <xdr:spPr>
        <a:xfrm>
          <a:off x="5133975" y="448627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27</xdr:row>
      <xdr:rowOff>19050</xdr:rowOff>
    </xdr:from>
    <xdr:to>
      <xdr:col>8</xdr:col>
      <xdr:colOff>95250</xdr:colOff>
      <xdr:row>27</xdr:row>
      <xdr:rowOff>19050</xdr:rowOff>
    </xdr:to>
    <xdr:sp>
      <xdr:nvSpPr>
        <xdr:cNvPr id="63" name="Line 105"/>
        <xdr:cNvSpPr>
          <a:spLocks/>
        </xdr:cNvSpPr>
      </xdr:nvSpPr>
      <xdr:spPr>
        <a:xfrm>
          <a:off x="5133975" y="44291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xdr:row>
      <xdr:rowOff>95250</xdr:rowOff>
    </xdr:from>
    <xdr:to>
      <xdr:col>7</xdr:col>
      <xdr:colOff>400050</xdr:colOff>
      <xdr:row>27</xdr:row>
      <xdr:rowOff>95250</xdr:rowOff>
    </xdr:to>
    <xdr:sp>
      <xdr:nvSpPr>
        <xdr:cNvPr id="64" name="Line 106"/>
        <xdr:cNvSpPr>
          <a:spLocks/>
        </xdr:cNvSpPr>
      </xdr:nvSpPr>
      <xdr:spPr>
        <a:xfrm>
          <a:off x="4924425" y="450532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27</xdr:row>
      <xdr:rowOff>76200</xdr:rowOff>
    </xdr:from>
    <xdr:to>
      <xdr:col>7</xdr:col>
      <xdr:colOff>419100</xdr:colOff>
      <xdr:row>27</xdr:row>
      <xdr:rowOff>95250</xdr:rowOff>
    </xdr:to>
    <xdr:sp>
      <xdr:nvSpPr>
        <xdr:cNvPr id="65" name="Line 107"/>
        <xdr:cNvSpPr>
          <a:spLocks/>
        </xdr:cNvSpPr>
      </xdr:nvSpPr>
      <xdr:spPr>
        <a:xfrm flipV="1">
          <a:off x="5114925" y="4486275"/>
          <a:ext cx="190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27</xdr:row>
      <xdr:rowOff>19050</xdr:rowOff>
    </xdr:from>
    <xdr:to>
      <xdr:col>7</xdr:col>
      <xdr:colOff>419100</xdr:colOff>
      <xdr:row>27</xdr:row>
      <xdr:rowOff>76200</xdr:rowOff>
    </xdr:to>
    <xdr:sp>
      <xdr:nvSpPr>
        <xdr:cNvPr id="66" name="Line 108"/>
        <xdr:cNvSpPr>
          <a:spLocks/>
        </xdr:cNvSpPr>
      </xdr:nvSpPr>
      <xdr:spPr>
        <a:xfrm>
          <a:off x="5133975" y="4429125"/>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30</xdr:row>
      <xdr:rowOff>123825</xdr:rowOff>
    </xdr:from>
    <xdr:to>
      <xdr:col>7</xdr:col>
      <xdr:colOff>400050</xdr:colOff>
      <xdr:row>30</xdr:row>
      <xdr:rowOff>123825</xdr:rowOff>
    </xdr:to>
    <xdr:sp>
      <xdr:nvSpPr>
        <xdr:cNvPr id="67" name="Line 109"/>
        <xdr:cNvSpPr>
          <a:spLocks/>
        </xdr:cNvSpPr>
      </xdr:nvSpPr>
      <xdr:spPr>
        <a:xfrm>
          <a:off x="4924425" y="501967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30</xdr:row>
      <xdr:rowOff>123825</xdr:rowOff>
    </xdr:from>
    <xdr:to>
      <xdr:col>7</xdr:col>
      <xdr:colOff>419100</xdr:colOff>
      <xdr:row>30</xdr:row>
      <xdr:rowOff>142875</xdr:rowOff>
    </xdr:to>
    <xdr:sp>
      <xdr:nvSpPr>
        <xdr:cNvPr id="68" name="Line 110"/>
        <xdr:cNvSpPr>
          <a:spLocks/>
        </xdr:cNvSpPr>
      </xdr:nvSpPr>
      <xdr:spPr>
        <a:xfrm>
          <a:off x="5114925" y="5019675"/>
          <a:ext cx="190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30</xdr:row>
      <xdr:rowOff>142875</xdr:rowOff>
    </xdr:from>
    <xdr:to>
      <xdr:col>8</xdr:col>
      <xdr:colOff>95250</xdr:colOff>
      <xdr:row>30</xdr:row>
      <xdr:rowOff>142875</xdr:rowOff>
    </xdr:to>
    <xdr:sp>
      <xdr:nvSpPr>
        <xdr:cNvPr id="69" name="Line 111"/>
        <xdr:cNvSpPr>
          <a:spLocks/>
        </xdr:cNvSpPr>
      </xdr:nvSpPr>
      <xdr:spPr>
        <a:xfrm>
          <a:off x="5133975" y="50387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31</xdr:row>
      <xdr:rowOff>38100</xdr:rowOff>
    </xdr:from>
    <xdr:to>
      <xdr:col>8</xdr:col>
      <xdr:colOff>95250</xdr:colOff>
      <xdr:row>31</xdr:row>
      <xdr:rowOff>38100</xdr:rowOff>
    </xdr:to>
    <xdr:sp>
      <xdr:nvSpPr>
        <xdr:cNvPr id="70" name="Line 112"/>
        <xdr:cNvSpPr>
          <a:spLocks/>
        </xdr:cNvSpPr>
      </xdr:nvSpPr>
      <xdr:spPr>
        <a:xfrm>
          <a:off x="5133975" y="509587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30</xdr:row>
      <xdr:rowOff>142875</xdr:rowOff>
    </xdr:from>
    <xdr:to>
      <xdr:col>7</xdr:col>
      <xdr:colOff>419100</xdr:colOff>
      <xdr:row>31</xdr:row>
      <xdr:rowOff>38100</xdr:rowOff>
    </xdr:to>
    <xdr:sp>
      <xdr:nvSpPr>
        <xdr:cNvPr id="71" name="Line 113"/>
        <xdr:cNvSpPr>
          <a:spLocks/>
        </xdr:cNvSpPr>
      </xdr:nvSpPr>
      <xdr:spPr>
        <a:xfrm>
          <a:off x="5133975" y="5038725"/>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25</xdr:row>
      <xdr:rowOff>142875</xdr:rowOff>
    </xdr:from>
    <xdr:to>
      <xdr:col>7</xdr:col>
      <xdr:colOff>209550</xdr:colOff>
      <xdr:row>27</xdr:row>
      <xdr:rowOff>57150</xdr:rowOff>
    </xdr:to>
    <xdr:sp>
      <xdr:nvSpPr>
        <xdr:cNvPr id="72" name="Line 114"/>
        <xdr:cNvSpPr>
          <a:spLocks/>
        </xdr:cNvSpPr>
      </xdr:nvSpPr>
      <xdr:spPr>
        <a:xfrm flipV="1">
          <a:off x="4924425" y="4229100"/>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25</xdr:row>
      <xdr:rowOff>142875</xdr:rowOff>
    </xdr:from>
    <xdr:to>
      <xdr:col>7</xdr:col>
      <xdr:colOff>419100</xdr:colOff>
      <xdr:row>26</xdr:row>
      <xdr:rowOff>142875</xdr:rowOff>
    </xdr:to>
    <xdr:sp>
      <xdr:nvSpPr>
        <xdr:cNvPr id="73" name="Line 115"/>
        <xdr:cNvSpPr>
          <a:spLocks/>
        </xdr:cNvSpPr>
      </xdr:nvSpPr>
      <xdr:spPr>
        <a:xfrm flipV="1">
          <a:off x="5133975" y="42291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447675</xdr:colOff>
      <xdr:row>27</xdr:row>
      <xdr:rowOff>95250</xdr:rowOff>
    </xdr:from>
    <xdr:to>
      <xdr:col>8</xdr:col>
      <xdr:colOff>276225</xdr:colOff>
      <xdr:row>27</xdr:row>
      <xdr:rowOff>95250</xdr:rowOff>
    </xdr:to>
    <xdr:sp>
      <xdr:nvSpPr>
        <xdr:cNvPr id="74" name="Line 116"/>
        <xdr:cNvSpPr>
          <a:spLocks/>
        </xdr:cNvSpPr>
      </xdr:nvSpPr>
      <xdr:spPr>
        <a:xfrm>
          <a:off x="5162550" y="450532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27</xdr:row>
      <xdr:rowOff>19050</xdr:rowOff>
    </xdr:from>
    <xdr:to>
      <xdr:col>8</xdr:col>
      <xdr:colOff>276225</xdr:colOff>
      <xdr:row>27</xdr:row>
      <xdr:rowOff>19050</xdr:rowOff>
    </xdr:to>
    <xdr:sp>
      <xdr:nvSpPr>
        <xdr:cNvPr id="75" name="Line 117"/>
        <xdr:cNvSpPr>
          <a:spLocks/>
        </xdr:cNvSpPr>
      </xdr:nvSpPr>
      <xdr:spPr>
        <a:xfrm>
          <a:off x="5448300" y="44291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447675</xdr:colOff>
      <xdr:row>30</xdr:row>
      <xdr:rowOff>123825</xdr:rowOff>
    </xdr:from>
    <xdr:to>
      <xdr:col>8</xdr:col>
      <xdr:colOff>276225</xdr:colOff>
      <xdr:row>30</xdr:row>
      <xdr:rowOff>123825</xdr:rowOff>
    </xdr:to>
    <xdr:sp>
      <xdr:nvSpPr>
        <xdr:cNvPr id="76" name="Line 118"/>
        <xdr:cNvSpPr>
          <a:spLocks/>
        </xdr:cNvSpPr>
      </xdr:nvSpPr>
      <xdr:spPr>
        <a:xfrm>
          <a:off x="5162550" y="501967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31</xdr:row>
      <xdr:rowOff>38100</xdr:rowOff>
    </xdr:from>
    <xdr:to>
      <xdr:col>8</xdr:col>
      <xdr:colOff>276225</xdr:colOff>
      <xdr:row>31</xdr:row>
      <xdr:rowOff>38100</xdr:rowOff>
    </xdr:to>
    <xdr:sp>
      <xdr:nvSpPr>
        <xdr:cNvPr id="77" name="Line 119"/>
        <xdr:cNvSpPr>
          <a:spLocks/>
        </xdr:cNvSpPr>
      </xdr:nvSpPr>
      <xdr:spPr>
        <a:xfrm>
          <a:off x="5448300" y="509587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xdr:row>
      <xdr:rowOff>38100</xdr:rowOff>
    </xdr:from>
    <xdr:to>
      <xdr:col>7</xdr:col>
      <xdr:colOff>419100</xdr:colOff>
      <xdr:row>26</xdr:row>
      <xdr:rowOff>38100</xdr:rowOff>
    </xdr:to>
    <xdr:sp>
      <xdr:nvSpPr>
        <xdr:cNvPr id="78" name="Line 120"/>
        <xdr:cNvSpPr>
          <a:spLocks/>
        </xdr:cNvSpPr>
      </xdr:nvSpPr>
      <xdr:spPr>
        <a:xfrm>
          <a:off x="4924425" y="4286250"/>
          <a:ext cx="2095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xdr:row>
      <xdr:rowOff>0</xdr:rowOff>
    </xdr:from>
    <xdr:to>
      <xdr:col>8</xdr:col>
      <xdr:colOff>209550</xdr:colOff>
      <xdr:row>27</xdr:row>
      <xdr:rowOff>19050</xdr:rowOff>
    </xdr:to>
    <xdr:sp>
      <xdr:nvSpPr>
        <xdr:cNvPr id="79" name="Line 121"/>
        <xdr:cNvSpPr>
          <a:spLocks/>
        </xdr:cNvSpPr>
      </xdr:nvSpPr>
      <xdr:spPr>
        <a:xfrm>
          <a:off x="5534025" y="4248150"/>
          <a:ext cx="0" cy="1809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29</xdr:row>
      <xdr:rowOff>104775</xdr:rowOff>
    </xdr:from>
    <xdr:to>
      <xdr:col>8</xdr:col>
      <xdr:colOff>209550</xdr:colOff>
      <xdr:row>30</xdr:row>
      <xdr:rowOff>123825</xdr:rowOff>
    </xdr:to>
    <xdr:sp>
      <xdr:nvSpPr>
        <xdr:cNvPr id="80" name="Line 122"/>
        <xdr:cNvSpPr>
          <a:spLocks/>
        </xdr:cNvSpPr>
      </xdr:nvSpPr>
      <xdr:spPr>
        <a:xfrm>
          <a:off x="5534025" y="4838700"/>
          <a:ext cx="0" cy="1809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xdr:row>
      <xdr:rowOff>95250</xdr:rowOff>
    </xdr:from>
    <xdr:to>
      <xdr:col>8</xdr:col>
      <xdr:colOff>209550</xdr:colOff>
      <xdr:row>28</xdr:row>
      <xdr:rowOff>114300</xdr:rowOff>
    </xdr:to>
    <xdr:sp>
      <xdr:nvSpPr>
        <xdr:cNvPr id="81" name="Line 123"/>
        <xdr:cNvSpPr>
          <a:spLocks/>
        </xdr:cNvSpPr>
      </xdr:nvSpPr>
      <xdr:spPr>
        <a:xfrm flipV="1">
          <a:off x="5534025" y="4505325"/>
          <a:ext cx="0" cy="1809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31</xdr:row>
      <xdr:rowOff>38100</xdr:rowOff>
    </xdr:from>
    <xdr:to>
      <xdr:col>8</xdr:col>
      <xdr:colOff>209550</xdr:colOff>
      <xdr:row>32</xdr:row>
      <xdr:rowOff>47625</xdr:rowOff>
    </xdr:to>
    <xdr:sp>
      <xdr:nvSpPr>
        <xdr:cNvPr id="82" name="Line 124"/>
        <xdr:cNvSpPr>
          <a:spLocks/>
        </xdr:cNvSpPr>
      </xdr:nvSpPr>
      <xdr:spPr>
        <a:xfrm flipV="1">
          <a:off x="5534025" y="5095875"/>
          <a:ext cx="0" cy="1714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31</xdr:row>
      <xdr:rowOff>0</xdr:rowOff>
    </xdr:from>
    <xdr:to>
      <xdr:col>7</xdr:col>
      <xdr:colOff>209550</xdr:colOff>
      <xdr:row>33</xdr:row>
      <xdr:rowOff>47625</xdr:rowOff>
    </xdr:to>
    <xdr:sp>
      <xdr:nvSpPr>
        <xdr:cNvPr id="83" name="Line 125"/>
        <xdr:cNvSpPr>
          <a:spLocks/>
        </xdr:cNvSpPr>
      </xdr:nvSpPr>
      <xdr:spPr>
        <a:xfrm>
          <a:off x="4924425" y="5057775"/>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31</xdr:row>
      <xdr:rowOff>76200</xdr:rowOff>
    </xdr:from>
    <xdr:to>
      <xdr:col>7</xdr:col>
      <xdr:colOff>419100</xdr:colOff>
      <xdr:row>33</xdr:row>
      <xdr:rowOff>38100</xdr:rowOff>
    </xdr:to>
    <xdr:sp>
      <xdr:nvSpPr>
        <xdr:cNvPr id="84" name="Line 126"/>
        <xdr:cNvSpPr>
          <a:spLocks/>
        </xdr:cNvSpPr>
      </xdr:nvSpPr>
      <xdr:spPr>
        <a:xfrm>
          <a:off x="5133975" y="5133975"/>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33</xdr:row>
      <xdr:rowOff>0</xdr:rowOff>
    </xdr:from>
    <xdr:to>
      <xdr:col>7</xdr:col>
      <xdr:colOff>419100</xdr:colOff>
      <xdr:row>33</xdr:row>
      <xdr:rowOff>0</xdr:rowOff>
    </xdr:to>
    <xdr:sp>
      <xdr:nvSpPr>
        <xdr:cNvPr id="85" name="Line 127"/>
        <xdr:cNvSpPr>
          <a:spLocks/>
        </xdr:cNvSpPr>
      </xdr:nvSpPr>
      <xdr:spPr>
        <a:xfrm>
          <a:off x="4924425" y="5381625"/>
          <a:ext cx="2095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352425</xdr:colOff>
      <xdr:row>27</xdr:row>
      <xdr:rowOff>19050</xdr:rowOff>
    </xdr:from>
    <xdr:to>
      <xdr:col>5</xdr:col>
      <xdr:colOff>552450</xdr:colOff>
      <xdr:row>27</xdr:row>
      <xdr:rowOff>19050</xdr:rowOff>
    </xdr:to>
    <xdr:sp>
      <xdr:nvSpPr>
        <xdr:cNvPr id="86" name="Line 128"/>
        <xdr:cNvSpPr>
          <a:spLocks/>
        </xdr:cNvSpPr>
      </xdr:nvSpPr>
      <xdr:spPr>
        <a:xfrm flipH="1">
          <a:off x="3848100" y="442912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352425</xdr:colOff>
      <xdr:row>31</xdr:row>
      <xdr:rowOff>47625</xdr:rowOff>
    </xdr:from>
    <xdr:to>
      <xdr:col>5</xdr:col>
      <xdr:colOff>552450</xdr:colOff>
      <xdr:row>31</xdr:row>
      <xdr:rowOff>47625</xdr:rowOff>
    </xdr:to>
    <xdr:sp>
      <xdr:nvSpPr>
        <xdr:cNvPr id="87" name="Line 129"/>
        <xdr:cNvSpPr>
          <a:spLocks/>
        </xdr:cNvSpPr>
      </xdr:nvSpPr>
      <xdr:spPr>
        <a:xfrm flipH="1">
          <a:off x="3848100" y="51054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27</xdr:row>
      <xdr:rowOff>19050</xdr:rowOff>
    </xdr:from>
    <xdr:to>
      <xdr:col>5</xdr:col>
      <xdr:colOff>400050</xdr:colOff>
      <xdr:row>31</xdr:row>
      <xdr:rowOff>47625</xdr:rowOff>
    </xdr:to>
    <xdr:sp>
      <xdr:nvSpPr>
        <xdr:cNvPr id="88" name="Line 130"/>
        <xdr:cNvSpPr>
          <a:spLocks/>
        </xdr:cNvSpPr>
      </xdr:nvSpPr>
      <xdr:spPr>
        <a:xfrm>
          <a:off x="3895725" y="4429125"/>
          <a:ext cx="0" cy="6762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xdr:row>
      <xdr:rowOff>19050</xdr:rowOff>
    </xdr:from>
    <xdr:to>
      <xdr:col>8</xdr:col>
      <xdr:colOff>209550</xdr:colOff>
      <xdr:row>27</xdr:row>
      <xdr:rowOff>95250</xdr:rowOff>
    </xdr:to>
    <xdr:sp>
      <xdr:nvSpPr>
        <xdr:cNvPr id="89" name="Line 131"/>
        <xdr:cNvSpPr>
          <a:spLocks/>
        </xdr:cNvSpPr>
      </xdr:nvSpPr>
      <xdr:spPr>
        <a:xfrm flipV="1">
          <a:off x="5534025" y="442912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30</xdr:row>
      <xdr:rowOff>123825</xdr:rowOff>
    </xdr:from>
    <xdr:to>
      <xdr:col>8</xdr:col>
      <xdr:colOff>209550</xdr:colOff>
      <xdr:row>31</xdr:row>
      <xdr:rowOff>38100</xdr:rowOff>
    </xdr:to>
    <xdr:sp>
      <xdr:nvSpPr>
        <xdr:cNvPr id="90" name="Line 132"/>
        <xdr:cNvSpPr>
          <a:spLocks/>
        </xdr:cNvSpPr>
      </xdr:nvSpPr>
      <xdr:spPr>
        <a:xfrm>
          <a:off x="5534025" y="501967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31</xdr:row>
      <xdr:rowOff>76200</xdr:rowOff>
    </xdr:from>
    <xdr:to>
      <xdr:col>5</xdr:col>
      <xdr:colOff>581025</xdr:colOff>
      <xdr:row>33</xdr:row>
      <xdr:rowOff>66675</xdr:rowOff>
    </xdr:to>
    <xdr:sp>
      <xdr:nvSpPr>
        <xdr:cNvPr id="91" name="Line 133"/>
        <xdr:cNvSpPr>
          <a:spLocks/>
        </xdr:cNvSpPr>
      </xdr:nvSpPr>
      <xdr:spPr>
        <a:xfrm>
          <a:off x="4076700" y="5133975"/>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31</xdr:row>
      <xdr:rowOff>76200</xdr:rowOff>
    </xdr:from>
    <xdr:to>
      <xdr:col>6</xdr:col>
      <xdr:colOff>571500</xdr:colOff>
      <xdr:row>33</xdr:row>
      <xdr:rowOff>66675</xdr:rowOff>
    </xdr:to>
    <xdr:sp>
      <xdr:nvSpPr>
        <xdr:cNvPr id="92" name="Line 134"/>
        <xdr:cNvSpPr>
          <a:spLocks/>
        </xdr:cNvSpPr>
      </xdr:nvSpPr>
      <xdr:spPr>
        <a:xfrm>
          <a:off x="4676775" y="5133975"/>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33</xdr:row>
      <xdr:rowOff>0</xdr:rowOff>
    </xdr:from>
    <xdr:to>
      <xdr:col>6</xdr:col>
      <xdr:colOff>571500</xdr:colOff>
      <xdr:row>33</xdr:row>
      <xdr:rowOff>0</xdr:rowOff>
    </xdr:to>
    <xdr:sp>
      <xdr:nvSpPr>
        <xdr:cNvPr id="93" name="Line 135"/>
        <xdr:cNvSpPr>
          <a:spLocks/>
        </xdr:cNvSpPr>
      </xdr:nvSpPr>
      <xdr:spPr>
        <a:xfrm>
          <a:off x="4076700" y="5381625"/>
          <a:ext cx="6000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25</xdr:row>
      <xdr:rowOff>152400</xdr:rowOff>
    </xdr:from>
    <xdr:to>
      <xdr:col>6</xdr:col>
      <xdr:colOff>257175</xdr:colOff>
      <xdr:row>27</xdr:row>
      <xdr:rowOff>47625</xdr:rowOff>
    </xdr:to>
    <xdr:sp>
      <xdr:nvSpPr>
        <xdr:cNvPr id="94" name="Line 136"/>
        <xdr:cNvSpPr>
          <a:spLocks/>
        </xdr:cNvSpPr>
      </xdr:nvSpPr>
      <xdr:spPr>
        <a:xfrm flipV="1">
          <a:off x="4362450" y="423862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25</xdr:row>
      <xdr:rowOff>152400</xdr:rowOff>
    </xdr:from>
    <xdr:to>
      <xdr:col>6</xdr:col>
      <xdr:colOff>295275</xdr:colOff>
      <xdr:row>27</xdr:row>
      <xdr:rowOff>47625</xdr:rowOff>
    </xdr:to>
    <xdr:sp>
      <xdr:nvSpPr>
        <xdr:cNvPr id="95" name="Line 137"/>
        <xdr:cNvSpPr>
          <a:spLocks/>
        </xdr:cNvSpPr>
      </xdr:nvSpPr>
      <xdr:spPr>
        <a:xfrm flipV="1">
          <a:off x="4400550" y="423862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26</xdr:row>
      <xdr:rowOff>38100</xdr:rowOff>
    </xdr:from>
    <xdr:to>
      <xdr:col>6</xdr:col>
      <xdr:colOff>257175</xdr:colOff>
      <xdr:row>26</xdr:row>
      <xdr:rowOff>38100</xdr:rowOff>
    </xdr:to>
    <xdr:sp>
      <xdr:nvSpPr>
        <xdr:cNvPr id="96" name="Line 138"/>
        <xdr:cNvSpPr>
          <a:spLocks/>
        </xdr:cNvSpPr>
      </xdr:nvSpPr>
      <xdr:spPr>
        <a:xfrm>
          <a:off x="4124325" y="4286250"/>
          <a:ext cx="2381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476250</xdr:colOff>
      <xdr:row>15</xdr:row>
      <xdr:rowOff>114300</xdr:rowOff>
    </xdr:from>
    <xdr:to>
      <xdr:col>6</xdr:col>
      <xdr:colOff>19050</xdr:colOff>
      <xdr:row>15</xdr:row>
      <xdr:rowOff>114300</xdr:rowOff>
    </xdr:to>
    <xdr:sp>
      <xdr:nvSpPr>
        <xdr:cNvPr id="97" name="Line 139"/>
        <xdr:cNvSpPr>
          <a:spLocks/>
        </xdr:cNvSpPr>
      </xdr:nvSpPr>
      <xdr:spPr>
        <a:xfrm flipH="1">
          <a:off x="3971925" y="258127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495300</xdr:colOff>
      <xdr:row>27</xdr:row>
      <xdr:rowOff>76200</xdr:rowOff>
    </xdr:from>
    <xdr:to>
      <xdr:col>5</xdr:col>
      <xdr:colOff>495300</xdr:colOff>
      <xdr:row>28</xdr:row>
      <xdr:rowOff>66675</xdr:rowOff>
    </xdr:to>
    <xdr:sp>
      <xdr:nvSpPr>
        <xdr:cNvPr id="98" name="Line 142"/>
        <xdr:cNvSpPr>
          <a:spLocks/>
        </xdr:cNvSpPr>
      </xdr:nvSpPr>
      <xdr:spPr>
        <a:xfrm flipV="1">
          <a:off x="3990975" y="4486275"/>
          <a:ext cx="0" cy="1524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495300</xdr:colOff>
      <xdr:row>26</xdr:row>
      <xdr:rowOff>28575</xdr:rowOff>
    </xdr:from>
    <xdr:to>
      <xdr:col>5</xdr:col>
      <xdr:colOff>495300</xdr:colOff>
      <xdr:row>27</xdr:row>
      <xdr:rowOff>19050</xdr:rowOff>
    </xdr:to>
    <xdr:sp>
      <xdr:nvSpPr>
        <xdr:cNvPr id="99" name="Line 143"/>
        <xdr:cNvSpPr>
          <a:spLocks/>
        </xdr:cNvSpPr>
      </xdr:nvSpPr>
      <xdr:spPr>
        <a:xfrm>
          <a:off x="3990975" y="4276725"/>
          <a:ext cx="0" cy="1524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27</xdr:row>
      <xdr:rowOff>76200</xdr:rowOff>
    </xdr:from>
    <xdr:to>
      <xdr:col>5</xdr:col>
      <xdr:colOff>552450</xdr:colOff>
      <xdr:row>27</xdr:row>
      <xdr:rowOff>76200</xdr:rowOff>
    </xdr:to>
    <xdr:sp>
      <xdr:nvSpPr>
        <xdr:cNvPr id="100" name="Line 144"/>
        <xdr:cNvSpPr>
          <a:spLocks/>
        </xdr:cNvSpPr>
      </xdr:nvSpPr>
      <xdr:spPr>
        <a:xfrm>
          <a:off x="3952875" y="44862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495300</xdr:colOff>
      <xdr:row>27</xdr:row>
      <xdr:rowOff>19050</xdr:rowOff>
    </xdr:from>
    <xdr:to>
      <xdr:col>5</xdr:col>
      <xdr:colOff>495300</xdr:colOff>
      <xdr:row>27</xdr:row>
      <xdr:rowOff>76200</xdr:rowOff>
    </xdr:to>
    <xdr:sp>
      <xdr:nvSpPr>
        <xdr:cNvPr id="101" name="Line 145"/>
        <xdr:cNvSpPr>
          <a:spLocks/>
        </xdr:cNvSpPr>
      </xdr:nvSpPr>
      <xdr:spPr>
        <a:xfrm>
          <a:off x="3990975" y="4429125"/>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7</xdr:row>
      <xdr:rowOff>133350</xdr:rowOff>
    </xdr:from>
    <xdr:to>
      <xdr:col>7</xdr:col>
      <xdr:colOff>76200</xdr:colOff>
      <xdr:row>10</xdr:row>
      <xdr:rowOff>123825</xdr:rowOff>
    </xdr:to>
    <xdr:sp>
      <xdr:nvSpPr>
        <xdr:cNvPr id="102" name="Line 199"/>
        <xdr:cNvSpPr>
          <a:spLocks/>
        </xdr:cNvSpPr>
      </xdr:nvSpPr>
      <xdr:spPr>
        <a:xfrm>
          <a:off x="4791075" y="1304925"/>
          <a:ext cx="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7</xdr:row>
      <xdr:rowOff>133350</xdr:rowOff>
    </xdr:from>
    <xdr:to>
      <xdr:col>6</xdr:col>
      <xdr:colOff>28575</xdr:colOff>
      <xdr:row>10</xdr:row>
      <xdr:rowOff>123825</xdr:rowOff>
    </xdr:to>
    <xdr:sp>
      <xdr:nvSpPr>
        <xdr:cNvPr id="103" name="Line 200"/>
        <xdr:cNvSpPr>
          <a:spLocks/>
        </xdr:cNvSpPr>
      </xdr:nvSpPr>
      <xdr:spPr>
        <a:xfrm>
          <a:off x="4133850" y="1304925"/>
          <a:ext cx="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7</xdr:row>
      <xdr:rowOff>133350</xdr:rowOff>
    </xdr:from>
    <xdr:to>
      <xdr:col>6</xdr:col>
      <xdr:colOff>104775</xdr:colOff>
      <xdr:row>10</xdr:row>
      <xdr:rowOff>123825</xdr:rowOff>
    </xdr:to>
    <xdr:sp>
      <xdr:nvSpPr>
        <xdr:cNvPr id="104" name="Line 201"/>
        <xdr:cNvSpPr>
          <a:spLocks/>
        </xdr:cNvSpPr>
      </xdr:nvSpPr>
      <xdr:spPr>
        <a:xfrm>
          <a:off x="4210050" y="1304925"/>
          <a:ext cx="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561975</xdr:colOff>
      <xdr:row>7</xdr:row>
      <xdr:rowOff>133350</xdr:rowOff>
    </xdr:from>
    <xdr:to>
      <xdr:col>6</xdr:col>
      <xdr:colOff>314325</xdr:colOff>
      <xdr:row>7</xdr:row>
      <xdr:rowOff>133350</xdr:rowOff>
    </xdr:to>
    <xdr:sp>
      <xdr:nvSpPr>
        <xdr:cNvPr id="105" name="Line 202"/>
        <xdr:cNvSpPr>
          <a:spLocks/>
        </xdr:cNvSpPr>
      </xdr:nvSpPr>
      <xdr:spPr>
        <a:xfrm>
          <a:off x="4057650" y="130492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476250</xdr:colOff>
      <xdr:row>7</xdr:row>
      <xdr:rowOff>133350</xdr:rowOff>
    </xdr:from>
    <xdr:to>
      <xdr:col>7</xdr:col>
      <xdr:colOff>228600</xdr:colOff>
      <xdr:row>7</xdr:row>
      <xdr:rowOff>133350</xdr:rowOff>
    </xdr:to>
    <xdr:sp>
      <xdr:nvSpPr>
        <xdr:cNvPr id="106" name="Line 203"/>
        <xdr:cNvSpPr>
          <a:spLocks/>
        </xdr:cNvSpPr>
      </xdr:nvSpPr>
      <xdr:spPr>
        <a:xfrm>
          <a:off x="4581525" y="130492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7</xdr:row>
      <xdr:rowOff>133350</xdr:rowOff>
    </xdr:from>
    <xdr:to>
      <xdr:col>6</xdr:col>
      <xdr:colOff>314325</xdr:colOff>
      <xdr:row>8</xdr:row>
      <xdr:rowOff>28575</xdr:rowOff>
    </xdr:to>
    <xdr:sp>
      <xdr:nvSpPr>
        <xdr:cNvPr id="107" name="Line 204"/>
        <xdr:cNvSpPr>
          <a:spLocks/>
        </xdr:cNvSpPr>
      </xdr:nvSpPr>
      <xdr:spPr>
        <a:xfrm>
          <a:off x="4419600" y="1304925"/>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476250</xdr:colOff>
      <xdr:row>7</xdr:row>
      <xdr:rowOff>76200</xdr:rowOff>
    </xdr:from>
    <xdr:to>
      <xdr:col>6</xdr:col>
      <xdr:colOff>476250</xdr:colOff>
      <xdr:row>7</xdr:row>
      <xdr:rowOff>133350</xdr:rowOff>
    </xdr:to>
    <xdr:sp>
      <xdr:nvSpPr>
        <xdr:cNvPr id="108" name="Line 205"/>
        <xdr:cNvSpPr>
          <a:spLocks/>
        </xdr:cNvSpPr>
      </xdr:nvSpPr>
      <xdr:spPr>
        <a:xfrm flipV="1">
          <a:off x="4581525" y="1247775"/>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7</xdr:row>
      <xdr:rowOff>76200</xdr:rowOff>
    </xdr:from>
    <xdr:to>
      <xdr:col>6</xdr:col>
      <xdr:colOff>476250</xdr:colOff>
      <xdr:row>8</xdr:row>
      <xdr:rowOff>28575</xdr:rowOff>
    </xdr:to>
    <xdr:sp>
      <xdr:nvSpPr>
        <xdr:cNvPr id="109" name="Line 206"/>
        <xdr:cNvSpPr>
          <a:spLocks/>
        </xdr:cNvSpPr>
      </xdr:nvSpPr>
      <xdr:spPr>
        <a:xfrm flipV="1">
          <a:off x="4419600" y="1247775"/>
          <a:ext cx="161925"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561975</xdr:colOff>
      <xdr:row>10</xdr:row>
      <xdr:rowOff>123825</xdr:rowOff>
    </xdr:from>
    <xdr:to>
      <xdr:col>6</xdr:col>
      <xdr:colOff>314325</xdr:colOff>
      <xdr:row>10</xdr:row>
      <xdr:rowOff>123825</xdr:rowOff>
    </xdr:to>
    <xdr:sp>
      <xdr:nvSpPr>
        <xdr:cNvPr id="110" name="Line 207"/>
        <xdr:cNvSpPr>
          <a:spLocks/>
        </xdr:cNvSpPr>
      </xdr:nvSpPr>
      <xdr:spPr>
        <a:xfrm>
          <a:off x="4057650" y="178117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476250</xdr:colOff>
      <xdr:row>10</xdr:row>
      <xdr:rowOff>123825</xdr:rowOff>
    </xdr:from>
    <xdr:to>
      <xdr:col>7</xdr:col>
      <xdr:colOff>228600</xdr:colOff>
      <xdr:row>10</xdr:row>
      <xdr:rowOff>123825</xdr:rowOff>
    </xdr:to>
    <xdr:sp>
      <xdr:nvSpPr>
        <xdr:cNvPr id="111" name="Line 208"/>
        <xdr:cNvSpPr>
          <a:spLocks/>
        </xdr:cNvSpPr>
      </xdr:nvSpPr>
      <xdr:spPr>
        <a:xfrm>
          <a:off x="4581525" y="178117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10</xdr:row>
      <xdr:rowOff>123825</xdr:rowOff>
    </xdr:from>
    <xdr:to>
      <xdr:col>6</xdr:col>
      <xdr:colOff>314325</xdr:colOff>
      <xdr:row>11</xdr:row>
      <xdr:rowOff>19050</xdr:rowOff>
    </xdr:to>
    <xdr:sp>
      <xdr:nvSpPr>
        <xdr:cNvPr id="112" name="Line 209"/>
        <xdr:cNvSpPr>
          <a:spLocks/>
        </xdr:cNvSpPr>
      </xdr:nvSpPr>
      <xdr:spPr>
        <a:xfrm>
          <a:off x="4419600" y="1781175"/>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476250</xdr:colOff>
      <xdr:row>10</xdr:row>
      <xdr:rowOff>66675</xdr:rowOff>
    </xdr:from>
    <xdr:to>
      <xdr:col>6</xdr:col>
      <xdr:colOff>476250</xdr:colOff>
      <xdr:row>10</xdr:row>
      <xdr:rowOff>123825</xdr:rowOff>
    </xdr:to>
    <xdr:sp>
      <xdr:nvSpPr>
        <xdr:cNvPr id="113" name="Line 210"/>
        <xdr:cNvSpPr>
          <a:spLocks/>
        </xdr:cNvSpPr>
      </xdr:nvSpPr>
      <xdr:spPr>
        <a:xfrm flipV="1">
          <a:off x="4581525" y="1724025"/>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10</xdr:row>
      <xdr:rowOff>66675</xdr:rowOff>
    </xdr:from>
    <xdr:to>
      <xdr:col>6</xdr:col>
      <xdr:colOff>476250</xdr:colOff>
      <xdr:row>11</xdr:row>
      <xdr:rowOff>19050</xdr:rowOff>
    </xdr:to>
    <xdr:sp>
      <xdr:nvSpPr>
        <xdr:cNvPr id="114" name="Line 211"/>
        <xdr:cNvSpPr>
          <a:spLocks/>
        </xdr:cNvSpPr>
      </xdr:nvSpPr>
      <xdr:spPr>
        <a:xfrm flipV="1">
          <a:off x="4419600" y="1724025"/>
          <a:ext cx="161925"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11</xdr:row>
      <xdr:rowOff>95250</xdr:rowOff>
    </xdr:from>
    <xdr:to>
      <xdr:col>7</xdr:col>
      <xdr:colOff>152400</xdr:colOff>
      <xdr:row>11</xdr:row>
      <xdr:rowOff>95250</xdr:rowOff>
    </xdr:to>
    <xdr:sp>
      <xdr:nvSpPr>
        <xdr:cNvPr id="115" name="Line 212"/>
        <xdr:cNvSpPr>
          <a:spLocks/>
        </xdr:cNvSpPr>
      </xdr:nvSpPr>
      <xdr:spPr>
        <a:xfrm>
          <a:off x="4743450" y="1914525"/>
          <a:ext cx="1238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10</xdr:row>
      <xdr:rowOff>9525</xdr:rowOff>
    </xdr:from>
    <xdr:to>
      <xdr:col>7</xdr:col>
      <xdr:colOff>152400</xdr:colOff>
      <xdr:row>10</xdr:row>
      <xdr:rowOff>9525</xdr:rowOff>
    </xdr:to>
    <xdr:sp>
      <xdr:nvSpPr>
        <xdr:cNvPr id="116" name="Line 213"/>
        <xdr:cNvSpPr>
          <a:spLocks/>
        </xdr:cNvSpPr>
      </xdr:nvSpPr>
      <xdr:spPr>
        <a:xfrm>
          <a:off x="4133850" y="1666875"/>
          <a:ext cx="7334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561975</xdr:colOff>
      <xdr:row>8</xdr:row>
      <xdr:rowOff>85725</xdr:rowOff>
    </xdr:from>
    <xdr:to>
      <xdr:col>7</xdr:col>
      <xdr:colOff>76200</xdr:colOff>
      <xdr:row>8</xdr:row>
      <xdr:rowOff>85725</xdr:rowOff>
    </xdr:to>
    <xdr:sp>
      <xdr:nvSpPr>
        <xdr:cNvPr id="117" name="Line 214"/>
        <xdr:cNvSpPr>
          <a:spLocks/>
        </xdr:cNvSpPr>
      </xdr:nvSpPr>
      <xdr:spPr>
        <a:xfrm>
          <a:off x="4667250" y="1419225"/>
          <a:ext cx="1238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8</xdr:row>
      <xdr:rowOff>85725</xdr:rowOff>
    </xdr:from>
    <xdr:to>
      <xdr:col>7</xdr:col>
      <xdr:colOff>276225</xdr:colOff>
      <xdr:row>8</xdr:row>
      <xdr:rowOff>85725</xdr:rowOff>
    </xdr:to>
    <xdr:sp>
      <xdr:nvSpPr>
        <xdr:cNvPr id="118" name="Line 215"/>
        <xdr:cNvSpPr>
          <a:spLocks/>
        </xdr:cNvSpPr>
      </xdr:nvSpPr>
      <xdr:spPr>
        <a:xfrm flipH="1">
          <a:off x="4867275" y="1419225"/>
          <a:ext cx="1238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8</xdr:row>
      <xdr:rowOff>85725</xdr:rowOff>
    </xdr:from>
    <xdr:to>
      <xdr:col>7</xdr:col>
      <xdr:colOff>152400</xdr:colOff>
      <xdr:row>8</xdr:row>
      <xdr:rowOff>85725</xdr:rowOff>
    </xdr:to>
    <xdr:sp>
      <xdr:nvSpPr>
        <xdr:cNvPr id="119" name="Line 216"/>
        <xdr:cNvSpPr>
          <a:spLocks/>
        </xdr:cNvSpPr>
      </xdr:nvSpPr>
      <xdr:spPr>
        <a:xfrm>
          <a:off x="4791075" y="14192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11</xdr:row>
      <xdr:rowOff>47625</xdr:rowOff>
    </xdr:from>
    <xdr:to>
      <xdr:col>7</xdr:col>
      <xdr:colOff>152400</xdr:colOff>
      <xdr:row>15</xdr:row>
      <xdr:rowOff>85725</xdr:rowOff>
    </xdr:to>
    <xdr:sp>
      <xdr:nvSpPr>
        <xdr:cNvPr id="120" name="Line 217"/>
        <xdr:cNvSpPr>
          <a:spLocks/>
        </xdr:cNvSpPr>
      </xdr:nvSpPr>
      <xdr:spPr>
        <a:xfrm>
          <a:off x="4867275" y="1866900"/>
          <a:ext cx="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xdr:colOff>
      <xdr:row>15</xdr:row>
      <xdr:rowOff>95250</xdr:rowOff>
    </xdr:from>
    <xdr:to>
      <xdr:col>6</xdr:col>
      <xdr:colOff>85725</xdr:colOff>
      <xdr:row>18</xdr:row>
      <xdr:rowOff>57150</xdr:rowOff>
    </xdr:to>
    <xdr:grpSp>
      <xdr:nvGrpSpPr>
        <xdr:cNvPr id="121" name="Group 524"/>
        <xdr:cNvGrpSpPr>
          <a:grpSpLocks/>
        </xdr:cNvGrpSpPr>
      </xdr:nvGrpSpPr>
      <xdr:grpSpPr>
        <a:xfrm>
          <a:off x="4143375" y="2562225"/>
          <a:ext cx="47625" cy="447675"/>
          <a:chOff x="437" y="269"/>
          <a:chExt cx="5" cy="47"/>
        </a:xfrm>
        <a:solidFill>
          <a:srgbClr val="FFFFFF"/>
        </a:solidFill>
      </xdr:grpSpPr>
      <xdr:sp>
        <xdr:nvSpPr>
          <xdr:cNvPr id="122" name="Line 525"/>
          <xdr:cNvSpPr>
            <a:spLocks/>
          </xdr:cNvSpPr>
        </xdr:nvSpPr>
        <xdr:spPr>
          <a:xfrm>
            <a:off x="437" y="269"/>
            <a:ext cx="0" cy="47"/>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3" name="Line 526"/>
          <xdr:cNvSpPr>
            <a:spLocks/>
          </xdr:cNvSpPr>
        </xdr:nvSpPr>
        <xdr:spPr>
          <a:xfrm rot="5400000">
            <a:off x="439" y="269"/>
            <a:ext cx="0" cy="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466725</xdr:colOff>
      <xdr:row>15</xdr:row>
      <xdr:rowOff>95250</xdr:rowOff>
    </xdr:from>
    <xdr:to>
      <xdr:col>6</xdr:col>
      <xdr:colOff>514350</xdr:colOff>
      <xdr:row>18</xdr:row>
      <xdr:rowOff>57150</xdr:rowOff>
    </xdr:to>
    <xdr:grpSp>
      <xdr:nvGrpSpPr>
        <xdr:cNvPr id="124" name="Group 527"/>
        <xdr:cNvGrpSpPr>
          <a:grpSpLocks/>
        </xdr:cNvGrpSpPr>
      </xdr:nvGrpSpPr>
      <xdr:grpSpPr>
        <a:xfrm>
          <a:off x="4572000" y="2562225"/>
          <a:ext cx="47625" cy="447675"/>
          <a:chOff x="482" y="269"/>
          <a:chExt cx="5" cy="47"/>
        </a:xfrm>
        <a:solidFill>
          <a:srgbClr val="FFFFFF"/>
        </a:solidFill>
      </xdr:grpSpPr>
      <xdr:sp>
        <xdr:nvSpPr>
          <xdr:cNvPr id="125" name="Line 528"/>
          <xdr:cNvSpPr>
            <a:spLocks/>
          </xdr:cNvSpPr>
        </xdr:nvSpPr>
        <xdr:spPr>
          <a:xfrm flipH="1">
            <a:off x="487" y="269"/>
            <a:ext cx="0" cy="47"/>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6" name="Line 529"/>
          <xdr:cNvSpPr>
            <a:spLocks/>
          </xdr:cNvSpPr>
        </xdr:nvSpPr>
        <xdr:spPr>
          <a:xfrm rot="16200000" flipH="1">
            <a:off x="482" y="270"/>
            <a:ext cx="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209550</xdr:colOff>
      <xdr:row>14</xdr:row>
      <xdr:rowOff>57150</xdr:rowOff>
    </xdr:from>
    <xdr:to>
      <xdr:col>8</xdr:col>
      <xdr:colOff>209550</xdr:colOff>
      <xdr:row>16</xdr:row>
      <xdr:rowOff>57150</xdr:rowOff>
    </xdr:to>
    <xdr:grpSp>
      <xdr:nvGrpSpPr>
        <xdr:cNvPr id="127" name="Group 530"/>
        <xdr:cNvGrpSpPr>
          <a:grpSpLocks/>
        </xdr:cNvGrpSpPr>
      </xdr:nvGrpSpPr>
      <xdr:grpSpPr>
        <a:xfrm>
          <a:off x="5534025" y="2362200"/>
          <a:ext cx="0" cy="323850"/>
          <a:chOff x="580" y="163"/>
          <a:chExt cx="0" cy="34"/>
        </a:xfrm>
        <a:solidFill>
          <a:srgbClr val="FFFFFF"/>
        </a:solidFill>
      </xdr:grpSpPr>
      <xdr:sp>
        <xdr:nvSpPr>
          <xdr:cNvPr id="128" name="Line 531"/>
          <xdr:cNvSpPr>
            <a:spLocks/>
          </xdr:cNvSpPr>
        </xdr:nvSpPr>
        <xdr:spPr>
          <a:xfrm flipV="1">
            <a:off x="580" y="163"/>
            <a:ext cx="0" cy="13"/>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sp>
        <xdr:nvSpPr>
          <xdr:cNvPr id="129" name="Line 532"/>
          <xdr:cNvSpPr>
            <a:spLocks/>
          </xdr:cNvSpPr>
        </xdr:nvSpPr>
        <xdr:spPr>
          <a:xfrm>
            <a:off x="580" y="186"/>
            <a:ext cx="0" cy="11"/>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38100</xdr:colOff>
      <xdr:row>27</xdr:row>
      <xdr:rowOff>95250</xdr:rowOff>
    </xdr:from>
    <xdr:to>
      <xdr:col>6</xdr:col>
      <xdr:colOff>85725</xdr:colOff>
      <xdr:row>30</xdr:row>
      <xdr:rowOff>57150</xdr:rowOff>
    </xdr:to>
    <xdr:grpSp>
      <xdr:nvGrpSpPr>
        <xdr:cNvPr id="130" name="Group 533"/>
        <xdr:cNvGrpSpPr>
          <a:grpSpLocks/>
        </xdr:cNvGrpSpPr>
      </xdr:nvGrpSpPr>
      <xdr:grpSpPr>
        <a:xfrm>
          <a:off x="4143375" y="4505325"/>
          <a:ext cx="47625" cy="447675"/>
          <a:chOff x="437" y="269"/>
          <a:chExt cx="5" cy="47"/>
        </a:xfrm>
        <a:solidFill>
          <a:srgbClr val="FFFFFF"/>
        </a:solidFill>
      </xdr:grpSpPr>
      <xdr:sp>
        <xdr:nvSpPr>
          <xdr:cNvPr id="131" name="Line 534"/>
          <xdr:cNvSpPr>
            <a:spLocks/>
          </xdr:cNvSpPr>
        </xdr:nvSpPr>
        <xdr:spPr>
          <a:xfrm>
            <a:off x="437" y="269"/>
            <a:ext cx="0" cy="47"/>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2" name="Line 535"/>
          <xdr:cNvSpPr>
            <a:spLocks/>
          </xdr:cNvSpPr>
        </xdr:nvSpPr>
        <xdr:spPr>
          <a:xfrm rot="5400000">
            <a:off x="439" y="269"/>
            <a:ext cx="0" cy="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466725</xdr:colOff>
      <xdr:row>27</xdr:row>
      <xdr:rowOff>95250</xdr:rowOff>
    </xdr:from>
    <xdr:to>
      <xdr:col>6</xdr:col>
      <xdr:colOff>514350</xdr:colOff>
      <xdr:row>30</xdr:row>
      <xdr:rowOff>57150</xdr:rowOff>
    </xdr:to>
    <xdr:grpSp>
      <xdr:nvGrpSpPr>
        <xdr:cNvPr id="133" name="Group 536"/>
        <xdr:cNvGrpSpPr>
          <a:grpSpLocks/>
        </xdr:cNvGrpSpPr>
      </xdr:nvGrpSpPr>
      <xdr:grpSpPr>
        <a:xfrm>
          <a:off x="4572000" y="4505325"/>
          <a:ext cx="47625" cy="447675"/>
          <a:chOff x="482" y="269"/>
          <a:chExt cx="5" cy="47"/>
        </a:xfrm>
        <a:solidFill>
          <a:srgbClr val="FFFFFF"/>
        </a:solidFill>
      </xdr:grpSpPr>
      <xdr:sp>
        <xdr:nvSpPr>
          <xdr:cNvPr id="134" name="Line 537"/>
          <xdr:cNvSpPr>
            <a:spLocks/>
          </xdr:cNvSpPr>
        </xdr:nvSpPr>
        <xdr:spPr>
          <a:xfrm flipH="1">
            <a:off x="487" y="269"/>
            <a:ext cx="0" cy="47"/>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5" name="Line 538"/>
          <xdr:cNvSpPr>
            <a:spLocks/>
          </xdr:cNvSpPr>
        </xdr:nvSpPr>
        <xdr:spPr>
          <a:xfrm rot="16200000" flipH="1">
            <a:off x="482" y="270"/>
            <a:ext cx="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28575</xdr:colOff>
      <xdr:row>13</xdr:row>
      <xdr:rowOff>19050</xdr:rowOff>
    </xdr:from>
    <xdr:to>
      <xdr:col>7</xdr:col>
      <xdr:colOff>161925</xdr:colOff>
      <xdr:row>13</xdr:row>
      <xdr:rowOff>19050</xdr:rowOff>
    </xdr:to>
    <xdr:sp>
      <xdr:nvSpPr>
        <xdr:cNvPr id="136" name="Line 539"/>
        <xdr:cNvSpPr>
          <a:spLocks/>
        </xdr:cNvSpPr>
      </xdr:nvSpPr>
      <xdr:spPr>
        <a:xfrm>
          <a:off x="4743450" y="2162175"/>
          <a:ext cx="1333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13</xdr:row>
      <xdr:rowOff>19050</xdr:rowOff>
    </xdr:from>
    <xdr:to>
      <xdr:col>7</xdr:col>
      <xdr:colOff>333375</xdr:colOff>
      <xdr:row>13</xdr:row>
      <xdr:rowOff>19050</xdr:rowOff>
    </xdr:to>
    <xdr:sp>
      <xdr:nvSpPr>
        <xdr:cNvPr id="137" name="Line 540"/>
        <xdr:cNvSpPr>
          <a:spLocks/>
        </xdr:cNvSpPr>
      </xdr:nvSpPr>
      <xdr:spPr>
        <a:xfrm flipH="1">
          <a:off x="4914900" y="2162175"/>
          <a:ext cx="1333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161925</xdr:colOff>
      <xdr:row>13</xdr:row>
      <xdr:rowOff>19050</xdr:rowOff>
    </xdr:from>
    <xdr:to>
      <xdr:col>7</xdr:col>
      <xdr:colOff>200025</xdr:colOff>
      <xdr:row>13</xdr:row>
      <xdr:rowOff>19050</xdr:rowOff>
    </xdr:to>
    <xdr:sp>
      <xdr:nvSpPr>
        <xdr:cNvPr id="138" name="Line 541"/>
        <xdr:cNvSpPr>
          <a:spLocks/>
        </xdr:cNvSpPr>
      </xdr:nvSpPr>
      <xdr:spPr>
        <a:xfrm>
          <a:off x="4876800" y="2162175"/>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15</xdr:row>
      <xdr:rowOff>104775</xdr:rowOff>
    </xdr:from>
    <xdr:to>
      <xdr:col>7</xdr:col>
      <xdr:colOff>381000</xdr:colOff>
      <xdr:row>18</xdr:row>
      <xdr:rowOff>57150</xdr:rowOff>
    </xdr:to>
    <xdr:grpSp>
      <xdr:nvGrpSpPr>
        <xdr:cNvPr id="139" name="Group 542"/>
        <xdr:cNvGrpSpPr>
          <a:grpSpLocks/>
        </xdr:cNvGrpSpPr>
      </xdr:nvGrpSpPr>
      <xdr:grpSpPr>
        <a:xfrm>
          <a:off x="4933950" y="2571750"/>
          <a:ext cx="161925" cy="438150"/>
          <a:chOff x="517" y="185"/>
          <a:chExt cx="17" cy="46"/>
        </a:xfrm>
        <a:solidFill>
          <a:srgbClr val="FFFFFF"/>
        </a:solidFill>
      </xdr:grpSpPr>
      <xdr:sp>
        <xdr:nvSpPr>
          <xdr:cNvPr id="140" name="Line 543"/>
          <xdr:cNvSpPr>
            <a:spLocks/>
          </xdr:cNvSpPr>
        </xdr:nvSpPr>
        <xdr:spPr>
          <a:xfrm>
            <a:off x="517" y="186"/>
            <a:ext cx="17"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1" name="Line 544"/>
          <xdr:cNvSpPr>
            <a:spLocks/>
          </xdr:cNvSpPr>
        </xdr:nvSpPr>
        <xdr:spPr>
          <a:xfrm>
            <a:off x="517" y="231"/>
            <a:ext cx="17"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2" name="Line 545"/>
          <xdr:cNvSpPr>
            <a:spLocks/>
          </xdr:cNvSpPr>
        </xdr:nvSpPr>
        <xdr:spPr>
          <a:xfrm>
            <a:off x="533" y="185"/>
            <a:ext cx="0" cy="46"/>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381000</xdr:colOff>
      <xdr:row>13</xdr:row>
      <xdr:rowOff>28575</xdr:rowOff>
    </xdr:from>
    <xdr:to>
      <xdr:col>8</xdr:col>
      <xdr:colOff>0</xdr:colOff>
      <xdr:row>15</xdr:row>
      <xdr:rowOff>104775</xdr:rowOff>
    </xdr:to>
    <xdr:sp>
      <xdr:nvSpPr>
        <xdr:cNvPr id="143" name="Line 546"/>
        <xdr:cNvSpPr>
          <a:spLocks/>
        </xdr:cNvSpPr>
      </xdr:nvSpPr>
      <xdr:spPr>
        <a:xfrm flipH="1">
          <a:off x="5095875" y="2171700"/>
          <a:ext cx="22860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428625</xdr:colOff>
      <xdr:row>13</xdr:row>
      <xdr:rowOff>28575</xdr:rowOff>
    </xdr:from>
    <xdr:to>
      <xdr:col>6</xdr:col>
      <xdr:colOff>38100</xdr:colOff>
      <xdr:row>15</xdr:row>
      <xdr:rowOff>95250</xdr:rowOff>
    </xdr:to>
    <xdr:sp>
      <xdr:nvSpPr>
        <xdr:cNvPr id="144" name="Line 547"/>
        <xdr:cNvSpPr>
          <a:spLocks/>
        </xdr:cNvSpPr>
      </xdr:nvSpPr>
      <xdr:spPr>
        <a:xfrm>
          <a:off x="3924300" y="2171700"/>
          <a:ext cx="219075"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xdr:row>
      <xdr:rowOff>28575</xdr:rowOff>
    </xdr:from>
    <xdr:to>
      <xdr:col>8</xdr:col>
      <xdr:colOff>800100</xdr:colOff>
      <xdr:row>13</xdr:row>
      <xdr:rowOff>28575</xdr:rowOff>
    </xdr:to>
    <xdr:sp>
      <xdr:nvSpPr>
        <xdr:cNvPr id="145" name="Line 548"/>
        <xdr:cNvSpPr>
          <a:spLocks/>
        </xdr:cNvSpPr>
      </xdr:nvSpPr>
      <xdr:spPr>
        <a:xfrm>
          <a:off x="5324475" y="217170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657225</xdr:colOff>
      <xdr:row>13</xdr:row>
      <xdr:rowOff>28575</xdr:rowOff>
    </xdr:from>
    <xdr:to>
      <xdr:col>8</xdr:col>
      <xdr:colOff>657225</xdr:colOff>
      <xdr:row>13</xdr:row>
      <xdr:rowOff>133350</xdr:rowOff>
    </xdr:to>
    <xdr:sp>
      <xdr:nvSpPr>
        <xdr:cNvPr id="146" name="Line 549"/>
        <xdr:cNvSpPr>
          <a:spLocks/>
        </xdr:cNvSpPr>
      </xdr:nvSpPr>
      <xdr:spPr>
        <a:xfrm>
          <a:off x="5981700" y="2171700"/>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657225</xdr:colOff>
      <xdr:row>13</xdr:row>
      <xdr:rowOff>28575</xdr:rowOff>
    </xdr:from>
    <xdr:to>
      <xdr:col>8</xdr:col>
      <xdr:colOff>762000</xdr:colOff>
      <xdr:row>13</xdr:row>
      <xdr:rowOff>133350</xdr:rowOff>
    </xdr:to>
    <xdr:sp>
      <xdr:nvSpPr>
        <xdr:cNvPr id="147" name="Line 550"/>
        <xdr:cNvSpPr>
          <a:spLocks/>
        </xdr:cNvSpPr>
      </xdr:nvSpPr>
      <xdr:spPr>
        <a:xfrm flipV="1">
          <a:off x="5981700" y="2171700"/>
          <a:ext cx="104775"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13</xdr:row>
      <xdr:rowOff>28575</xdr:rowOff>
    </xdr:from>
    <xdr:to>
      <xdr:col>5</xdr:col>
      <xdr:colOff>428625</xdr:colOff>
      <xdr:row>13</xdr:row>
      <xdr:rowOff>28575</xdr:rowOff>
    </xdr:to>
    <xdr:sp>
      <xdr:nvSpPr>
        <xdr:cNvPr id="148" name="Line 551"/>
        <xdr:cNvSpPr>
          <a:spLocks/>
        </xdr:cNvSpPr>
      </xdr:nvSpPr>
      <xdr:spPr>
        <a:xfrm>
          <a:off x="3152775" y="21717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13</xdr:row>
      <xdr:rowOff>28575</xdr:rowOff>
    </xdr:from>
    <xdr:to>
      <xdr:col>5</xdr:col>
      <xdr:colOff>295275</xdr:colOff>
      <xdr:row>13</xdr:row>
      <xdr:rowOff>133350</xdr:rowOff>
    </xdr:to>
    <xdr:sp>
      <xdr:nvSpPr>
        <xdr:cNvPr id="149" name="Line 552"/>
        <xdr:cNvSpPr>
          <a:spLocks/>
        </xdr:cNvSpPr>
      </xdr:nvSpPr>
      <xdr:spPr>
        <a:xfrm flipV="1">
          <a:off x="3790950" y="2171700"/>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13</xdr:row>
      <xdr:rowOff>28575</xdr:rowOff>
    </xdr:from>
    <xdr:to>
      <xdr:col>5</xdr:col>
      <xdr:colOff>400050</xdr:colOff>
      <xdr:row>13</xdr:row>
      <xdr:rowOff>133350</xdr:rowOff>
    </xdr:to>
    <xdr:sp>
      <xdr:nvSpPr>
        <xdr:cNvPr id="150" name="Line 553"/>
        <xdr:cNvSpPr>
          <a:spLocks/>
        </xdr:cNvSpPr>
      </xdr:nvSpPr>
      <xdr:spPr>
        <a:xfrm flipV="1">
          <a:off x="3790950" y="2171700"/>
          <a:ext cx="104775"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27</xdr:row>
      <xdr:rowOff>104775</xdr:rowOff>
    </xdr:from>
    <xdr:to>
      <xdr:col>7</xdr:col>
      <xdr:colOff>381000</xdr:colOff>
      <xdr:row>30</xdr:row>
      <xdr:rowOff>57150</xdr:rowOff>
    </xdr:to>
    <xdr:grpSp>
      <xdr:nvGrpSpPr>
        <xdr:cNvPr id="151" name="Group 554"/>
        <xdr:cNvGrpSpPr>
          <a:grpSpLocks/>
        </xdr:cNvGrpSpPr>
      </xdr:nvGrpSpPr>
      <xdr:grpSpPr>
        <a:xfrm>
          <a:off x="4933950" y="4514850"/>
          <a:ext cx="161925" cy="438150"/>
          <a:chOff x="517" y="185"/>
          <a:chExt cx="17" cy="46"/>
        </a:xfrm>
        <a:solidFill>
          <a:srgbClr val="FFFFFF"/>
        </a:solidFill>
      </xdr:grpSpPr>
      <xdr:sp>
        <xdr:nvSpPr>
          <xdr:cNvPr id="152" name="Line 555"/>
          <xdr:cNvSpPr>
            <a:spLocks/>
          </xdr:cNvSpPr>
        </xdr:nvSpPr>
        <xdr:spPr>
          <a:xfrm>
            <a:off x="517" y="186"/>
            <a:ext cx="17"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3" name="Line 556"/>
          <xdr:cNvSpPr>
            <a:spLocks/>
          </xdr:cNvSpPr>
        </xdr:nvSpPr>
        <xdr:spPr>
          <a:xfrm>
            <a:off x="517" y="231"/>
            <a:ext cx="17"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4" name="Line 557"/>
          <xdr:cNvSpPr>
            <a:spLocks/>
          </xdr:cNvSpPr>
        </xdr:nvSpPr>
        <xdr:spPr>
          <a:xfrm>
            <a:off x="533" y="185"/>
            <a:ext cx="0" cy="46"/>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476250</xdr:colOff>
      <xdr:row>18</xdr:row>
      <xdr:rowOff>57150</xdr:rowOff>
    </xdr:from>
    <xdr:to>
      <xdr:col>6</xdr:col>
      <xdr:colOff>19050</xdr:colOff>
      <xdr:row>18</xdr:row>
      <xdr:rowOff>57150</xdr:rowOff>
    </xdr:to>
    <xdr:sp>
      <xdr:nvSpPr>
        <xdr:cNvPr id="155" name="Line 558"/>
        <xdr:cNvSpPr>
          <a:spLocks/>
        </xdr:cNvSpPr>
      </xdr:nvSpPr>
      <xdr:spPr>
        <a:xfrm flipH="1">
          <a:off x="3971925" y="300990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581025</xdr:colOff>
      <xdr:row>15</xdr:row>
      <xdr:rowOff>19050</xdr:rowOff>
    </xdr:from>
    <xdr:to>
      <xdr:col>6</xdr:col>
      <xdr:colOff>571500</xdr:colOff>
      <xdr:row>15</xdr:row>
      <xdr:rowOff>76200</xdr:rowOff>
    </xdr:to>
    <xdr:sp>
      <xdr:nvSpPr>
        <xdr:cNvPr id="1" name="Rectangle 1"/>
        <xdr:cNvSpPr>
          <a:spLocks/>
        </xdr:cNvSpPr>
      </xdr:nvSpPr>
      <xdr:spPr>
        <a:xfrm>
          <a:off x="4076700" y="2486025"/>
          <a:ext cx="600075"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18</xdr:row>
      <xdr:rowOff>152400</xdr:rowOff>
    </xdr:from>
    <xdr:to>
      <xdr:col>6</xdr:col>
      <xdr:colOff>571500</xdr:colOff>
      <xdr:row>19</xdr:row>
      <xdr:rowOff>47625</xdr:rowOff>
    </xdr:to>
    <xdr:sp>
      <xdr:nvSpPr>
        <xdr:cNvPr id="2" name="Rectangle 2"/>
        <xdr:cNvSpPr>
          <a:spLocks/>
        </xdr:cNvSpPr>
      </xdr:nvSpPr>
      <xdr:spPr>
        <a:xfrm>
          <a:off x="4076700" y="3105150"/>
          <a:ext cx="600075"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15</xdr:row>
      <xdr:rowOff>76200</xdr:rowOff>
    </xdr:from>
    <xdr:to>
      <xdr:col>6</xdr:col>
      <xdr:colOff>295275</xdr:colOff>
      <xdr:row>18</xdr:row>
      <xdr:rowOff>152400</xdr:rowOff>
    </xdr:to>
    <xdr:sp>
      <xdr:nvSpPr>
        <xdr:cNvPr id="3" name="Rectangle 3"/>
        <xdr:cNvSpPr>
          <a:spLocks/>
        </xdr:cNvSpPr>
      </xdr:nvSpPr>
      <xdr:spPr>
        <a:xfrm>
          <a:off x="4362450" y="2543175"/>
          <a:ext cx="38100"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15</xdr:row>
      <xdr:rowOff>114300</xdr:rowOff>
    </xdr:from>
    <xdr:to>
      <xdr:col>6</xdr:col>
      <xdr:colOff>257175</xdr:colOff>
      <xdr:row>18</xdr:row>
      <xdr:rowOff>57150</xdr:rowOff>
    </xdr:to>
    <xdr:sp>
      <xdr:nvSpPr>
        <xdr:cNvPr id="4" name="Rectangle 4"/>
        <xdr:cNvSpPr>
          <a:spLocks/>
        </xdr:cNvSpPr>
      </xdr:nvSpPr>
      <xdr:spPr>
        <a:xfrm>
          <a:off x="4152900" y="2581275"/>
          <a:ext cx="2095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15</xdr:row>
      <xdr:rowOff>114300</xdr:rowOff>
    </xdr:from>
    <xdr:to>
      <xdr:col>6</xdr:col>
      <xdr:colOff>257175</xdr:colOff>
      <xdr:row>18</xdr:row>
      <xdr:rowOff>57150</xdr:rowOff>
    </xdr:to>
    <xdr:sp>
      <xdr:nvSpPr>
        <xdr:cNvPr id="5" name="Rectangle 5"/>
        <xdr:cNvSpPr>
          <a:spLocks/>
        </xdr:cNvSpPr>
      </xdr:nvSpPr>
      <xdr:spPr>
        <a:xfrm>
          <a:off x="4324350" y="2581275"/>
          <a:ext cx="3810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15</xdr:row>
      <xdr:rowOff>114300</xdr:rowOff>
    </xdr:from>
    <xdr:to>
      <xdr:col>6</xdr:col>
      <xdr:colOff>504825</xdr:colOff>
      <xdr:row>18</xdr:row>
      <xdr:rowOff>57150</xdr:rowOff>
    </xdr:to>
    <xdr:sp>
      <xdr:nvSpPr>
        <xdr:cNvPr id="6" name="Rectangle 6"/>
        <xdr:cNvSpPr>
          <a:spLocks/>
        </xdr:cNvSpPr>
      </xdr:nvSpPr>
      <xdr:spPr>
        <a:xfrm>
          <a:off x="4400550" y="2581275"/>
          <a:ext cx="2095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15</xdr:row>
      <xdr:rowOff>114300</xdr:rowOff>
    </xdr:from>
    <xdr:to>
      <xdr:col>6</xdr:col>
      <xdr:colOff>333375</xdr:colOff>
      <xdr:row>18</xdr:row>
      <xdr:rowOff>57150</xdr:rowOff>
    </xdr:to>
    <xdr:sp>
      <xdr:nvSpPr>
        <xdr:cNvPr id="7" name="Rectangle 7"/>
        <xdr:cNvSpPr>
          <a:spLocks/>
        </xdr:cNvSpPr>
      </xdr:nvSpPr>
      <xdr:spPr>
        <a:xfrm>
          <a:off x="4400550" y="2581275"/>
          <a:ext cx="3810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14</xdr:row>
      <xdr:rowOff>142875</xdr:rowOff>
    </xdr:from>
    <xdr:to>
      <xdr:col>8</xdr:col>
      <xdr:colOff>95250</xdr:colOff>
      <xdr:row>16</xdr:row>
      <xdr:rowOff>142875</xdr:rowOff>
    </xdr:to>
    <xdr:sp>
      <xdr:nvSpPr>
        <xdr:cNvPr id="8" name="Line 14"/>
        <xdr:cNvSpPr>
          <a:spLocks/>
        </xdr:cNvSpPr>
      </xdr:nvSpPr>
      <xdr:spPr>
        <a:xfrm>
          <a:off x="5419725" y="24479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17</xdr:row>
      <xdr:rowOff>85725</xdr:rowOff>
    </xdr:from>
    <xdr:to>
      <xdr:col>8</xdr:col>
      <xdr:colOff>95250</xdr:colOff>
      <xdr:row>19</xdr:row>
      <xdr:rowOff>133350</xdr:rowOff>
    </xdr:to>
    <xdr:sp>
      <xdr:nvSpPr>
        <xdr:cNvPr id="9" name="Line 15"/>
        <xdr:cNvSpPr>
          <a:spLocks/>
        </xdr:cNvSpPr>
      </xdr:nvSpPr>
      <xdr:spPr>
        <a:xfrm>
          <a:off x="5419725" y="2876550"/>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16</xdr:row>
      <xdr:rowOff>142875</xdr:rowOff>
    </xdr:from>
    <xdr:to>
      <xdr:col>8</xdr:col>
      <xdr:colOff>95250</xdr:colOff>
      <xdr:row>16</xdr:row>
      <xdr:rowOff>142875</xdr:rowOff>
    </xdr:to>
    <xdr:sp>
      <xdr:nvSpPr>
        <xdr:cNvPr id="10" name="Line 16"/>
        <xdr:cNvSpPr>
          <a:spLocks/>
        </xdr:cNvSpPr>
      </xdr:nvSpPr>
      <xdr:spPr>
        <a:xfrm flipH="1">
          <a:off x="5362575" y="2771775"/>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17</xdr:row>
      <xdr:rowOff>85725</xdr:rowOff>
    </xdr:from>
    <xdr:to>
      <xdr:col>8</xdr:col>
      <xdr:colOff>152400</xdr:colOff>
      <xdr:row>17</xdr:row>
      <xdr:rowOff>85725</xdr:rowOff>
    </xdr:to>
    <xdr:sp>
      <xdr:nvSpPr>
        <xdr:cNvPr id="11" name="Line 17"/>
        <xdr:cNvSpPr>
          <a:spLocks/>
        </xdr:cNvSpPr>
      </xdr:nvSpPr>
      <xdr:spPr>
        <a:xfrm>
          <a:off x="5419725" y="287655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16</xdr:row>
      <xdr:rowOff>142875</xdr:rowOff>
    </xdr:from>
    <xdr:to>
      <xdr:col>8</xdr:col>
      <xdr:colOff>152400</xdr:colOff>
      <xdr:row>17</xdr:row>
      <xdr:rowOff>85725</xdr:rowOff>
    </xdr:to>
    <xdr:sp>
      <xdr:nvSpPr>
        <xdr:cNvPr id="12" name="Line 18"/>
        <xdr:cNvSpPr>
          <a:spLocks/>
        </xdr:cNvSpPr>
      </xdr:nvSpPr>
      <xdr:spPr>
        <a:xfrm>
          <a:off x="5362575" y="2771775"/>
          <a:ext cx="11430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15</xdr:row>
      <xdr:rowOff>114300</xdr:rowOff>
    </xdr:from>
    <xdr:to>
      <xdr:col>7</xdr:col>
      <xdr:colOff>361950</xdr:colOff>
      <xdr:row>18</xdr:row>
      <xdr:rowOff>57150</xdr:rowOff>
    </xdr:to>
    <xdr:sp>
      <xdr:nvSpPr>
        <xdr:cNvPr id="13" name="Rectangle 19"/>
        <xdr:cNvSpPr>
          <a:spLocks/>
        </xdr:cNvSpPr>
      </xdr:nvSpPr>
      <xdr:spPr>
        <a:xfrm>
          <a:off x="4867275" y="2581275"/>
          <a:ext cx="2095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15</xdr:row>
      <xdr:rowOff>114300</xdr:rowOff>
    </xdr:from>
    <xdr:to>
      <xdr:col>7</xdr:col>
      <xdr:colOff>190500</xdr:colOff>
      <xdr:row>18</xdr:row>
      <xdr:rowOff>57150</xdr:rowOff>
    </xdr:to>
    <xdr:sp>
      <xdr:nvSpPr>
        <xdr:cNvPr id="14" name="Rectangle 20"/>
        <xdr:cNvSpPr>
          <a:spLocks/>
        </xdr:cNvSpPr>
      </xdr:nvSpPr>
      <xdr:spPr>
        <a:xfrm>
          <a:off x="4867275" y="2581275"/>
          <a:ext cx="3810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xdr:row>
      <xdr:rowOff>114300</xdr:rowOff>
    </xdr:from>
    <xdr:to>
      <xdr:col>7</xdr:col>
      <xdr:colOff>209550</xdr:colOff>
      <xdr:row>18</xdr:row>
      <xdr:rowOff>57150</xdr:rowOff>
    </xdr:to>
    <xdr:sp>
      <xdr:nvSpPr>
        <xdr:cNvPr id="15" name="Line 21"/>
        <xdr:cNvSpPr>
          <a:spLocks/>
        </xdr:cNvSpPr>
      </xdr:nvSpPr>
      <xdr:spPr>
        <a:xfrm>
          <a:off x="4924425" y="2581275"/>
          <a:ext cx="0" cy="4286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xdr:row>
      <xdr:rowOff>76200</xdr:rowOff>
    </xdr:from>
    <xdr:to>
      <xdr:col>7</xdr:col>
      <xdr:colOff>209550</xdr:colOff>
      <xdr:row>15</xdr:row>
      <xdr:rowOff>114300</xdr:rowOff>
    </xdr:to>
    <xdr:sp>
      <xdr:nvSpPr>
        <xdr:cNvPr id="16" name="Line 22"/>
        <xdr:cNvSpPr>
          <a:spLocks/>
        </xdr:cNvSpPr>
      </xdr:nvSpPr>
      <xdr:spPr>
        <a:xfrm>
          <a:off x="4924425" y="2543175"/>
          <a:ext cx="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xdr:row>
      <xdr:rowOff>57150</xdr:rowOff>
    </xdr:from>
    <xdr:to>
      <xdr:col>7</xdr:col>
      <xdr:colOff>209550</xdr:colOff>
      <xdr:row>18</xdr:row>
      <xdr:rowOff>152400</xdr:rowOff>
    </xdr:to>
    <xdr:sp>
      <xdr:nvSpPr>
        <xdr:cNvPr id="17" name="Line 23"/>
        <xdr:cNvSpPr>
          <a:spLocks/>
        </xdr:cNvSpPr>
      </xdr:nvSpPr>
      <xdr:spPr>
        <a:xfrm>
          <a:off x="4924425" y="30099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15</xdr:row>
      <xdr:rowOff>76200</xdr:rowOff>
    </xdr:from>
    <xdr:to>
      <xdr:col>6</xdr:col>
      <xdr:colOff>295275</xdr:colOff>
      <xdr:row>15</xdr:row>
      <xdr:rowOff>76200</xdr:rowOff>
    </xdr:to>
    <xdr:sp>
      <xdr:nvSpPr>
        <xdr:cNvPr id="18" name="Line 30"/>
        <xdr:cNvSpPr>
          <a:spLocks/>
        </xdr:cNvSpPr>
      </xdr:nvSpPr>
      <xdr:spPr>
        <a:xfrm>
          <a:off x="4362450" y="2543175"/>
          <a:ext cx="3810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18</xdr:row>
      <xdr:rowOff>152400</xdr:rowOff>
    </xdr:from>
    <xdr:to>
      <xdr:col>6</xdr:col>
      <xdr:colOff>295275</xdr:colOff>
      <xdr:row>18</xdr:row>
      <xdr:rowOff>152400</xdr:rowOff>
    </xdr:to>
    <xdr:sp>
      <xdr:nvSpPr>
        <xdr:cNvPr id="19" name="Line 31"/>
        <xdr:cNvSpPr>
          <a:spLocks/>
        </xdr:cNvSpPr>
      </xdr:nvSpPr>
      <xdr:spPr>
        <a:xfrm>
          <a:off x="4362450" y="3105150"/>
          <a:ext cx="3810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15</xdr:row>
      <xdr:rowOff>123825</xdr:rowOff>
    </xdr:from>
    <xdr:to>
      <xdr:col>5</xdr:col>
      <xdr:colOff>523875</xdr:colOff>
      <xdr:row>18</xdr:row>
      <xdr:rowOff>47625</xdr:rowOff>
    </xdr:to>
    <xdr:sp>
      <xdr:nvSpPr>
        <xdr:cNvPr id="20" name="Line 37"/>
        <xdr:cNvSpPr>
          <a:spLocks/>
        </xdr:cNvSpPr>
      </xdr:nvSpPr>
      <xdr:spPr>
        <a:xfrm>
          <a:off x="4019550" y="2590800"/>
          <a:ext cx="0" cy="4095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18</xdr:row>
      <xdr:rowOff>85725</xdr:rowOff>
    </xdr:from>
    <xdr:to>
      <xdr:col>6</xdr:col>
      <xdr:colOff>47625</xdr:colOff>
      <xdr:row>20</xdr:row>
      <xdr:rowOff>47625</xdr:rowOff>
    </xdr:to>
    <xdr:sp>
      <xdr:nvSpPr>
        <xdr:cNvPr id="21" name="Line 38"/>
        <xdr:cNvSpPr>
          <a:spLocks/>
        </xdr:cNvSpPr>
      </xdr:nvSpPr>
      <xdr:spPr>
        <a:xfrm>
          <a:off x="4152900" y="3038475"/>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19</xdr:row>
      <xdr:rowOff>9525</xdr:rowOff>
    </xdr:from>
    <xdr:to>
      <xdr:col>6</xdr:col>
      <xdr:colOff>257175</xdr:colOff>
      <xdr:row>20</xdr:row>
      <xdr:rowOff>47625</xdr:rowOff>
    </xdr:to>
    <xdr:sp>
      <xdr:nvSpPr>
        <xdr:cNvPr id="22" name="Line 39"/>
        <xdr:cNvSpPr>
          <a:spLocks/>
        </xdr:cNvSpPr>
      </xdr:nvSpPr>
      <xdr:spPr>
        <a:xfrm>
          <a:off x="4362450" y="3124200"/>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20</xdr:row>
      <xdr:rowOff>0</xdr:rowOff>
    </xdr:from>
    <xdr:to>
      <xdr:col>6</xdr:col>
      <xdr:colOff>257175</xdr:colOff>
      <xdr:row>20</xdr:row>
      <xdr:rowOff>0</xdr:rowOff>
    </xdr:to>
    <xdr:sp>
      <xdr:nvSpPr>
        <xdr:cNvPr id="23" name="Line 40"/>
        <xdr:cNvSpPr>
          <a:spLocks/>
        </xdr:cNvSpPr>
      </xdr:nvSpPr>
      <xdr:spPr>
        <a:xfrm>
          <a:off x="4152900" y="3276600"/>
          <a:ext cx="2095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171450</xdr:colOff>
      <xdr:row>20</xdr:row>
      <xdr:rowOff>0</xdr:rowOff>
    </xdr:from>
    <xdr:to>
      <xdr:col>6</xdr:col>
      <xdr:colOff>47625</xdr:colOff>
      <xdr:row>20</xdr:row>
      <xdr:rowOff>0</xdr:rowOff>
    </xdr:to>
    <xdr:sp>
      <xdr:nvSpPr>
        <xdr:cNvPr id="24" name="Line 41"/>
        <xdr:cNvSpPr>
          <a:spLocks/>
        </xdr:cNvSpPr>
      </xdr:nvSpPr>
      <xdr:spPr>
        <a:xfrm flipH="1">
          <a:off x="3667125" y="3276600"/>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10</xdr:row>
      <xdr:rowOff>85725</xdr:rowOff>
    </xdr:from>
    <xdr:to>
      <xdr:col>7</xdr:col>
      <xdr:colOff>152400</xdr:colOff>
      <xdr:row>15</xdr:row>
      <xdr:rowOff>76200</xdr:rowOff>
    </xdr:to>
    <xdr:sp>
      <xdr:nvSpPr>
        <xdr:cNvPr id="25" name="Line 44"/>
        <xdr:cNvSpPr>
          <a:spLocks/>
        </xdr:cNvSpPr>
      </xdr:nvSpPr>
      <xdr:spPr>
        <a:xfrm flipV="1">
          <a:off x="4867275" y="1743075"/>
          <a:ext cx="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13</xdr:row>
      <xdr:rowOff>19050</xdr:rowOff>
    </xdr:from>
    <xdr:to>
      <xdr:col>7</xdr:col>
      <xdr:colOff>152400</xdr:colOff>
      <xdr:row>13</xdr:row>
      <xdr:rowOff>19050</xdr:rowOff>
    </xdr:to>
    <xdr:sp>
      <xdr:nvSpPr>
        <xdr:cNvPr id="26" name="Line 45"/>
        <xdr:cNvSpPr>
          <a:spLocks/>
        </xdr:cNvSpPr>
      </xdr:nvSpPr>
      <xdr:spPr>
        <a:xfrm>
          <a:off x="4733925" y="2162175"/>
          <a:ext cx="1333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190500</xdr:colOff>
      <xdr:row>13</xdr:row>
      <xdr:rowOff>19050</xdr:rowOff>
    </xdr:from>
    <xdr:to>
      <xdr:col>7</xdr:col>
      <xdr:colOff>323850</xdr:colOff>
      <xdr:row>13</xdr:row>
      <xdr:rowOff>19050</xdr:rowOff>
    </xdr:to>
    <xdr:sp>
      <xdr:nvSpPr>
        <xdr:cNvPr id="27" name="Line 46"/>
        <xdr:cNvSpPr>
          <a:spLocks/>
        </xdr:cNvSpPr>
      </xdr:nvSpPr>
      <xdr:spPr>
        <a:xfrm flipH="1">
          <a:off x="4905375" y="2162175"/>
          <a:ext cx="1333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13</xdr:row>
      <xdr:rowOff>19050</xdr:rowOff>
    </xdr:from>
    <xdr:to>
      <xdr:col>7</xdr:col>
      <xdr:colOff>190500</xdr:colOff>
      <xdr:row>13</xdr:row>
      <xdr:rowOff>19050</xdr:rowOff>
    </xdr:to>
    <xdr:sp>
      <xdr:nvSpPr>
        <xdr:cNvPr id="28" name="Line 47"/>
        <xdr:cNvSpPr>
          <a:spLocks/>
        </xdr:cNvSpPr>
      </xdr:nvSpPr>
      <xdr:spPr>
        <a:xfrm>
          <a:off x="4867275" y="2162175"/>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26</xdr:row>
      <xdr:rowOff>38100</xdr:rowOff>
    </xdr:from>
    <xdr:to>
      <xdr:col>6</xdr:col>
      <xdr:colOff>533400</xdr:colOff>
      <xdr:row>26</xdr:row>
      <xdr:rowOff>38100</xdr:rowOff>
    </xdr:to>
    <xdr:sp>
      <xdr:nvSpPr>
        <xdr:cNvPr id="29" name="Line 48"/>
        <xdr:cNvSpPr>
          <a:spLocks/>
        </xdr:cNvSpPr>
      </xdr:nvSpPr>
      <xdr:spPr>
        <a:xfrm flipH="1">
          <a:off x="4400550" y="4286250"/>
          <a:ext cx="2381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26</xdr:row>
      <xdr:rowOff>38100</xdr:rowOff>
    </xdr:from>
    <xdr:to>
      <xdr:col>6</xdr:col>
      <xdr:colOff>295275</xdr:colOff>
      <xdr:row>26</xdr:row>
      <xdr:rowOff>38100</xdr:rowOff>
    </xdr:to>
    <xdr:sp>
      <xdr:nvSpPr>
        <xdr:cNvPr id="30" name="Line 49"/>
        <xdr:cNvSpPr>
          <a:spLocks/>
        </xdr:cNvSpPr>
      </xdr:nvSpPr>
      <xdr:spPr>
        <a:xfrm>
          <a:off x="4362450" y="4286250"/>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xdr:row>
      <xdr:rowOff>19050</xdr:rowOff>
    </xdr:from>
    <xdr:to>
      <xdr:col>8</xdr:col>
      <xdr:colOff>95250</xdr:colOff>
      <xdr:row>15</xdr:row>
      <xdr:rowOff>76200</xdr:rowOff>
    </xdr:to>
    <xdr:sp>
      <xdr:nvSpPr>
        <xdr:cNvPr id="31" name="Rectangle 50"/>
        <xdr:cNvSpPr>
          <a:spLocks/>
        </xdr:cNvSpPr>
      </xdr:nvSpPr>
      <xdr:spPr>
        <a:xfrm>
          <a:off x="4924425" y="2486025"/>
          <a:ext cx="495300"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xdr:row>
      <xdr:rowOff>152400</xdr:rowOff>
    </xdr:from>
    <xdr:to>
      <xdr:col>8</xdr:col>
      <xdr:colOff>95250</xdr:colOff>
      <xdr:row>19</xdr:row>
      <xdr:rowOff>47625</xdr:rowOff>
    </xdr:to>
    <xdr:sp>
      <xdr:nvSpPr>
        <xdr:cNvPr id="32" name="Rectangle 51"/>
        <xdr:cNvSpPr>
          <a:spLocks/>
        </xdr:cNvSpPr>
      </xdr:nvSpPr>
      <xdr:spPr>
        <a:xfrm>
          <a:off x="4924425" y="3105150"/>
          <a:ext cx="495300"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15</xdr:row>
      <xdr:rowOff>19050</xdr:rowOff>
    </xdr:from>
    <xdr:to>
      <xdr:col>8</xdr:col>
      <xdr:colOff>247650</xdr:colOff>
      <xdr:row>15</xdr:row>
      <xdr:rowOff>19050</xdr:rowOff>
    </xdr:to>
    <xdr:sp>
      <xdr:nvSpPr>
        <xdr:cNvPr id="33" name="Line 52"/>
        <xdr:cNvSpPr>
          <a:spLocks/>
        </xdr:cNvSpPr>
      </xdr:nvSpPr>
      <xdr:spPr>
        <a:xfrm>
          <a:off x="5448300" y="2486025"/>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447675</xdr:colOff>
      <xdr:row>16</xdr:row>
      <xdr:rowOff>76200</xdr:rowOff>
    </xdr:from>
    <xdr:to>
      <xdr:col>7</xdr:col>
      <xdr:colOff>447675</xdr:colOff>
      <xdr:row>18</xdr:row>
      <xdr:rowOff>85725</xdr:rowOff>
    </xdr:to>
    <xdr:sp>
      <xdr:nvSpPr>
        <xdr:cNvPr id="34" name="Line 53"/>
        <xdr:cNvSpPr>
          <a:spLocks/>
        </xdr:cNvSpPr>
      </xdr:nvSpPr>
      <xdr:spPr>
        <a:xfrm>
          <a:off x="5162550" y="2705100"/>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15</xdr:row>
      <xdr:rowOff>114300</xdr:rowOff>
    </xdr:from>
    <xdr:to>
      <xdr:col>8</xdr:col>
      <xdr:colOff>257175</xdr:colOff>
      <xdr:row>15</xdr:row>
      <xdr:rowOff>114300</xdr:rowOff>
    </xdr:to>
    <xdr:sp>
      <xdr:nvSpPr>
        <xdr:cNvPr id="35" name="Line 54"/>
        <xdr:cNvSpPr>
          <a:spLocks/>
        </xdr:cNvSpPr>
      </xdr:nvSpPr>
      <xdr:spPr>
        <a:xfrm>
          <a:off x="5114925" y="2581275"/>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18</xdr:row>
      <xdr:rowOff>85725</xdr:rowOff>
    </xdr:from>
    <xdr:to>
      <xdr:col>7</xdr:col>
      <xdr:colOff>152400</xdr:colOff>
      <xdr:row>21</xdr:row>
      <xdr:rowOff>142875</xdr:rowOff>
    </xdr:to>
    <xdr:sp>
      <xdr:nvSpPr>
        <xdr:cNvPr id="36" name="Line 59"/>
        <xdr:cNvSpPr>
          <a:spLocks/>
        </xdr:cNvSpPr>
      </xdr:nvSpPr>
      <xdr:spPr>
        <a:xfrm>
          <a:off x="4867275" y="3038475"/>
          <a:ext cx="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xdr:row>
      <xdr:rowOff>76200</xdr:rowOff>
    </xdr:from>
    <xdr:to>
      <xdr:col>7</xdr:col>
      <xdr:colOff>209550</xdr:colOff>
      <xdr:row>20</xdr:row>
      <xdr:rowOff>57150</xdr:rowOff>
    </xdr:to>
    <xdr:sp>
      <xdr:nvSpPr>
        <xdr:cNvPr id="37" name="Line 60"/>
        <xdr:cNvSpPr>
          <a:spLocks/>
        </xdr:cNvSpPr>
      </xdr:nvSpPr>
      <xdr:spPr>
        <a:xfrm>
          <a:off x="4924425" y="3190875"/>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20</xdr:row>
      <xdr:rowOff>0</xdr:rowOff>
    </xdr:from>
    <xdr:to>
      <xdr:col>7</xdr:col>
      <xdr:colOff>152400</xdr:colOff>
      <xdr:row>20</xdr:row>
      <xdr:rowOff>0</xdr:rowOff>
    </xdr:to>
    <xdr:sp>
      <xdr:nvSpPr>
        <xdr:cNvPr id="38" name="Line 61"/>
        <xdr:cNvSpPr>
          <a:spLocks/>
        </xdr:cNvSpPr>
      </xdr:nvSpPr>
      <xdr:spPr>
        <a:xfrm>
          <a:off x="4733925" y="3276600"/>
          <a:ext cx="1333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20</xdr:row>
      <xdr:rowOff>0</xdr:rowOff>
    </xdr:from>
    <xdr:to>
      <xdr:col>7</xdr:col>
      <xdr:colOff>209550</xdr:colOff>
      <xdr:row>20</xdr:row>
      <xdr:rowOff>0</xdr:rowOff>
    </xdr:to>
    <xdr:sp>
      <xdr:nvSpPr>
        <xdr:cNvPr id="39" name="Line 62"/>
        <xdr:cNvSpPr>
          <a:spLocks/>
        </xdr:cNvSpPr>
      </xdr:nvSpPr>
      <xdr:spPr>
        <a:xfrm>
          <a:off x="4867275" y="32766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20</xdr:row>
      <xdr:rowOff>0</xdr:rowOff>
    </xdr:from>
    <xdr:to>
      <xdr:col>7</xdr:col>
      <xdr:colOff>342900</xdr:colOff>
      <xdr:row>20</xdr:row>
      <xdr:rowOff>0</xdr:rowOff>
    </xdr:to>
    <xdr:sp>
      <xdr:nvSpPr>
        <xdr:cNvPr id="40" name="Line 63"/>
        <xdr:cNvSpPr>
          <a:spLocks/>
        </xdr:cNvSpPr>
      </xdr:nvSpPr>
      <xdr:spPr>
        <a:xfrm flipH="1">
          <a:off x="4924425" y="3276600"/>
          <a:ext cx="1333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361950</xdr:colOff>
      <xdr:row>18</xdr:row>
      <xdr:rowOff>95250</xdr:rowOff>
    </xdr:from>
    <xdr:to>
      <xdr:col>7</xdr:col>
      <xdr:colOff>361950</xdr:colOff>
      <xdr:row>19</xdr:row>
      <xdr:rowOff>114300</xdr:rowOff>
    </xdr:to>
    <xdr:sp>
      <xdr:nvSpPr>
        <xdr:cNvPr id="41" name="Line 64"/>
        <xdr:cNvSpPr>
          <a:spLocks/>
        </xdr:cNvSpPr>
      </xdr:nvSpPr>
      <xdr:spPr>
        <a:xfrm>
          <a:off x="5076825" y="304800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361950</xdr:colOff>
      <xdr:row>21</xdr:row>
      <xdr:rowOff>0</xdr:rowOff>
    </xdr:from>
    <xdr:to>
      <xdr:col>7</xdr:col>
      <xdr:colOff>361950</xdr:colOff>
      <xdr:row>21</xdr:row>
      <xdr:rowOff>142875</xdr:rowOff>
    </xdr:to>
    <xdr:sp>
      <xdr:nvSpPr>
        <xdr:cNvPr id="42" name="Line 65"/>
        <xdr:cNvSpPr>
          <a:spLocks/>
        </xdr:cNvSpPr>
      </xdr:nvSpPr>
      <xdr:spPr>
        <a:xfrm>
          <a:off x="5076825" y="3438525"/>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21</xdr:row>
      <xdr:rowOff>95250</xdr:rowOff>
    </xdr:from>
    <xdr:to>
      <xdr:col>7</xdr:col>
      <xdr:colOff>361950</xdr:colOff>
      <xdr:row>21</xdr:row>
      <xdr:rowOff>95250</xdr:rowOff>
    </xdr:to>
    <xdr:sp>
      <xdr:nvSpPr>
        <xdr:cNvPr id="43" name="Line 66"/>
        <xdr:cNvSpPr>
          <a:spLocks/>
        </xdr:cNvSpPr>
      </xdr:nvSpPr>
      <xdr:spPr>
        <a:xfrm>
          <a:off x="4867275" y="3533775"/>
          <a:ext cx="2095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17</xdr:row>
      <xdr:rowOff>0</xdr:rowOff>
    </xdr:from>
    <xdr:to>
      <xdr:col>8</xdr:col>
      <xdr:colOff>371475</xdr:colOff>
      <xdr:row>17</xdr:row>
      <xdr:rowOff>0</xdr:rowOff>
    </xdr:to>
    <xdr:sp>
      <xdr:nvSpPr>
        <xdr:cNvPr id="44" name="Line 71"/>
        <xdr:cNvSpPr>
          <a:spLocks/>
        </xdr:cNvSpPr>
      </xdr:nvSpPr>
      <xdr:spPr>
        <a:xfrm>
          <a:off x="5448300" y="27908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27</xdr:row>
      <xdr:rowOff>19050</xdr:rowOff>
    </xdr:from>
    <xdr:to>
      <xdr:col>6</xdr:col>
      <xdr:colOff>571500</xdr:colOff>
      <xdr:row>27</xdr:row>
      <xdr:rowOff>76200</xdr:rowOff>
    </xdr:to>
    <xdr:sp>
      <xdr:nvSpPr>
        <xdr:cNvPr id="45" name="Rectangle 72"/>
        <xdr:cNvSpPr>
          <a:spLocks/>
        </xdr:cNvSpPr>
      </xdr:nvSpPr>
      <xdr:spPr>
        <a:xfrm>
          <a:off x="4076700" y="4429125"/>
          <a:ext cx="600075"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30</xdr:row>
      <xdr:rowOff>152400</xdr:rowOff>
    </xdr:from>
    <xdr:to>
      <xdr:col>6</xdr:col>
      <xdr:colOff>571500</xdr:colOff>
      <xdr:row>31</xdr:row>
      <xdr:rowOff>47625</xdr:rowOff>
    </xdr:to>
    <xdr:sp>
      <xdr:nvSpPr>
        <xdr:cNvPr id="46" name="Rectangle 73"/>
        <xdr:cNvSpPr>
          <a:spLocks/>
        </xdr:cNvSpPr>
      </xdr:nvSpPr>
      <xdr:spPr>
        <a:xfrm>
          <a:off x="4076700" y="5048250"/>
          <a:ext cx="600075"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27</xdr:row>
      <xdr:rowOff>76200</xdr:rowOff>
    </xdr:from>
    <xdr:to>
      <xdr:col>6</xdr:col>
      <xdr:colOff>295275</xdr:colOff>
      <xdr:row>30</xdr:row>
      <xdr:rowOff>152400</xdr:rowOff>
    </xdr:to>
    <xdr:sp>
      <xdr:nvSpPr>
        <xdr:cNvPr id="47" name="Rectangle 74"/>
        <xdr:cNvSpPr>
          <a:spLocks/>
        </xdr:cNvSpPr>
      </xdr:nvSpPr>
      <xdr:spPr>
        <a:xfrm>
          <a:off x="4362450" y="4486275"/>
          <a:ext cx="38100"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27</xdr:row>
      <xdr:rowOff>114300</xdr:rowOff>
    </xdr:from>
    <xdr:to>
      <xdr:col>6</xdr:col>
      <xdr:colOff>257175</xdr:colOff>
      <xdr:row>30</xdr:row>
      <xdr:rowOff>57150</xdr:rowOff>
    </xdr:to>
    <xdr:sp>
      <xdr:nvSpPr>
        <xdr:cNvPr id="48" name="Rectangle 75"/>
        <xdr:cNvSpPr>
          <a:spLocks/>
        </xdr:cNvSpPr>
      </xdr:nvSpPr>
      <xdr:spPr>
        <a:xfrm>
          <a:off x="4152900" y="4524375"/>
          <a:ext cx="2095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27</xdr:row>
      <xdr:rowOff>114300</xdr:rowOff>
    </xdr:from>
    <xdr:to>
      <xdr:col>6</xdr:col>
      <xdr:colOff>257175</xdr:colOff>
      <xdr:row>30</xdr:row>
      <xdr:rowOff>57150</xdr:rowOff>
    </xdr:to>
    <xdr:sp>
      <xdr:nvSpPr>
        <xdr:cNvPr id="49" name="Rectangle 76"/>
        <xdr:cNvSpPr>
          <a:spLocks/>
        </xdr:cNvSpPr>
      </xdr:nvSpPr>
      <xdr:spPr>
        <a:xfrm>
          <a:off x="4324350" y="4524375"/>
          <a:ext cx="3810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27</xdr:row>
      <xdr:rowOff>114300</xdr:rowOff>
    </xdr:from>
    <xdr:to>
      <xdr:col>6</xdr:col>
      <xdr:colOff>504825</xdr:colOff>
      <xdr:row>30</xdr:row>
      <xdr:rowOff>57150</xdr:rowOff>
    </xdr:to>
    <xdr:sp>
      <xdr:nvSpPr>
        <xdr:cNvPr id="50" name="Rectangle 77"/>
        <xdr:cNvSpPr>
          <a:spLocks/>
        </xdr:cNvSpPr>
      </xdr:nvSpPr>
      <xdr:spPr>
        <a:xfrm>
          <a:off x="4400550" y="4524375"/>
          <a:ext cx="2095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27</xdr:row>
      <xdr:rowOff>114300</xdr:rowOff>
    </xdr:from>
    <xdr:to>
      <xdr:col>6</xdr:col>
      <xdr:colOff>333375</xdr:colOff>
      <xdr:row>30</xdr:row>
      <xdr:rowOff>57150</xdr:rowOff>
    </xdr:to>
    <xdr:sp>
      <xdr:nvSpPr>
        <xdr:cNvPr id="51" name="Rectangle 78"/>
        <xdr:cNvSpPr>
          <a:spLocks/>
        </xdr:cNvSpPr>
      </xdr:nvSpPr>
      <xdr:spPr>
        <a:xfrm>
          <a:off x="4400550" y="4524375"/>
          <a:ext cx="3810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26</xdr:row>
      <xdr:rowOff>142875</xdr:rowOff>
    </xdr:from>
    <xdr:to>
      <xdr:col>8</xdr:col>
      <xdr:colOff>95250</xdr:colOff>
      <xdr:row>28</xdr:row>
      <xdr:rowOff>142875</xdr:rowOff>
    </xdr:to>
    <xdr:sp>
      <xdr:nvSpPr>
        <xdr:cNvPr id="52" name="Line 85"/>
        <xdr:cNvSpPr>
          <a:spLocks/>
        </xdr:cNvSpPr>
      </xdr:nvSpPr>
      <xdr:spPr>
        <a:xfrm>
          <a:off x="5419725" y="43910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29</xdr:row>
      <xdr:rowOff>85725</xdr:rowOff>
    </xdr:from>
    <xdr:to>
      <xdr:col>8</xdr:col>
      <xdr:colOff>95250</xdr:colOff>
      <xdr:row>31</xdr:row>
      <xdr:rowOff>133350</xdr:rowOff>
    </xdr:to>
    <xdr:sp>
      <xdr:nvSpPr>
        <xdr:cNvPr id="53" name="Line 86"/>
        <xdr:cNvSpPr>
          <a:spLocks/>
        </xdr:cNvSpPr>
      </xdr:nvSpPr>
      <xdr:spPr>
        <a:xfrm>
          <a:off x="5419725" y="4819650"/>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28</xdr:row>
      <xdr:rowOff>142875</xdr:rowOff>
    </xdr:from>
    <xdr:to>
      <xdr:col>8</xdr:col>
      <xdr:colOff>95250</xdr:colOff>
      <xdr:row>28</xdr:row>
      <xdr:rowOff>142875</xdr:rowOff>
    </xdr:to>
    <xdr:sp>
      <xdr:nvSpPr>
        <xdr:cNvPr id="54" name="Line 87"/>
        <xdr:cNvSpPr>
          <a:spLocks/>
        </xdr:cNvSpPr>
      </xdr:nvSpPr>
      <xdr:spPr>
        <a:xfrm flipH="1">
          <a:off x="5362575" y="4714875"/>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29</xdr:row>
      <xdr:rowOff>85725</xdr:rowOff>
    </xdr:from>
    <xdr:to>
      <xdr:col>8</xdr:col>
      <xdr:colOff>152400</xdr:colOff>
      <xdr:row>29</xdr:row>
      <xdr:rowOff>85725</xdr:rowOff>
    </xdr:to>
    <xdr:sp>
      <xdr:nvSpPr>
        <xdr:cNvPr id="55" name="Line 88"/>
        <xdr:cNvSpPr>
          <a:spLocks/>
        </xdr:cNvSpPr>
      </xdr:nvSpPr>
      <xdr:spPr>
        <a:xfrm>
          <a:off x="5419725" y="481965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28</xdr:row>
      <xdr:rowOff>142875</xdr:rowOff>
    </xdr:from>
    <xdr:to>
      <xdr:col>8</xdr:col>
      <xdr:colOff>152400</xdr:colOff>
      <xdr:row>29</xdr:row>
      <xdr:rowOff>85725</xdr:rowOff>
    </xdr:to>
    <xdr:sp>
      <xdr:nvSpPr>
        <xdr:cNvPr id="56" name="Line 89"/>
        <xdr:cNvSpPr>
          <a:spLocks/>
        </xdr:cNvSpPr>
      </xdr:nvSpPr>
      <xdr:spPr>
        <a:xfrm>
          <a:off x="5362575" y="4714875"/>
          <a:ext cx="11430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27</xdr:row>
      <xdr:rowOff>114300</xdr:rowOff>
    </xdr:from>
    <xdr:to>
      <xdr:col>7</xdr:col>
      <xdr:colOff>361950</xdr:colOff>
      <xdr:row>30</xdr:row>
      <xdr:rowOff>57150</xdr:rowOff>
    </xdr:to>
    <xdr:sp>
      <xdr:nvSpPr>
        <xdr:cNvPr id="57" name="Rectangle 90"/>
        <xdr:cNvSpPr>
          <a:spLocks/>
        </xdr:cNvSpPr>
      </xdr:nvSpPr>
      <xdr:spPr>
        <a:xfrm>
          <a:off x="4867275" y="4524375"/>
          <a:ext cx="2095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27</xdr:row>
      <xdr:rowOff>114300</xdr:rowOff>
    </xdr:from>
    <xdr:to>
      <xdr:col>7</xdr:col>
      <xdr:colOff>190500</xdr:colOff>
      <xdr:row>30</xdr:row>
      <xdr:rowOff>57150</xdr:rowOff>
    </xdr:to>
    <xdr:sp>
      <xdr:nvSpPr>
        <xdr:cNvPr id="58" name="Rectangle 91"/>
        <xdr:cNvSpPr>
          <a:spLocks/>
        </xdr:cNvSpPr>
      </xdr:nvSpPr>
      <xdr:spPr>
        <a:xfrm>
          <a:off x="4867275" y="4524375"/>
          <a:ext cx="3810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xdr:row>
      <xdr:rowOff>114300</xdr:rowOff>
    </xdr:from>
    <xdr:to>
      <xdr:col>7</xdr:col>
      <xdr:colOff>209550</xdr:colOff>
      <xdr:row>30</xdr:row>
      <xdr:rowOff>57150</xdr:rowOff>
    </xdr:to>
    <xdr:sp>
      <xdr:nvSpPr>
        <xdr:cNvPr id="59" name="Line 92"/>
        <xdr:cNvSpPr>
          <a:spLocks/>
        </xdr:cNvSpPr>
      </xdr:nvSpPr>
      <xdr:spPr>
        <a:xfrm>
          <a:off x="4924425" y="4524375"/>
          <a:ext cx="0" cy="4286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xdr:row>
      <xdr:rowOff>95250</xdr:rowOff>
    </xdr:from>
    <xdr:to>
      <xdr:col>7</xdr:col>
      <xdr:colOff>209550</xdr:colOff>
      <xdr:row>27</xdr:row>
      <xdr:rowOff>123825</xdr:rowOff>
    </xdr:to>
    <xdr:sp>
      <xdr:nvSpPr>
        <xdr:cNvPr id="60" name="Line 93"/>
        <xdr:cNvSpPr>
          <a:spLocks/>
        </xdr:cNvSpPr>
      </xdr:nvSpPr>
      <xdr:spPr>
        <a:xfrm>
          <a:off x="4924425" y="4505325"/>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30</xdr:row>
      <xdr:rowOff>28575</xdr:rowOff>
    </xdr:from>
    <xdr:to>
      <xdr:col>7</xdr:col>
      <xdr:colOff>209550</xdr:colOff>
      <xdr:row>30</xdr:row>
      <xdr:rowOff>123825</xdr:rowOff>
    </xdr:to>
    <xdr:sp>
      <xdr:nvSpPr>
        <xdr:cNvPr id="61" name="Line 94"/>
        <xdr:cNvSpPr>
          <a:spLocks/>
        </xdr:cNvSpPr>
      </xdr:nvSpPr>
      <xdr:spPr>
        <a:xfrm>
          <a:off x="4924425" y="4924425"/>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27</xdr:row>
      <xdr:rowOff>76200</xdr:rowOff>
    </xdr:from>
    <xdr:to>
      <xdr:col>6</xdr:col>
      <xdr:colOff>295275</xdr:colOff>
      <xdr:row>27</xdr:row>
      <xdr:rowOff>76200</xdr:rowOff>
    </xdr:to>
    <xdr:sp>
      <xdr:nvSpPr>
        <xdr:cNvPr id="62" name="Line 101"/>
        <xdr:cNvSpPr>
          <a:spLocks/>
        </xdr:cNvSpPr>
      </xdr:nvSpPr>
      <xdr:spPr>
        <a:xfrm>
          <a:off x="4362450" y="4486275"/>
          <a:ext cx="3810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30</xdr:row>
      <xdr:rowOff>152400</xdr:rowOff>
    </xdr:from>
    <xdr:to>
      <xdr:col>6</xdr:col>
      <xdr:colOff>295275</xdr:colOff>
      <xdr:row>30</xdr:row>
      <xdr:rowOff>152400</xdr:rowOff>
    </xdr:to>
    <xdr:sp>
      <xdr:nvSpPr>
        <xdr:cNvPr id="63" name="Line 102"/>
        <xdr:cNvSpPr>
          <a:spLocks/>
        </xdr:cNvSpPr>
      </xdr:nvSpPr>
      <xdr:spPr>
        <a:xfrm>
          <a:off x="4362450" y="5048250"/>
          <a:ext cx="3810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27</xdr:row>
      <xdr:rowOff>76200</xdr:rowOff>
    </xdr:from>
    <xdr:to>
      <xdr:col>8</xdr:col>
      <xdr:colOff>95250</xdr:colOff>
      <xdr:row>27</xdr:row>
      <xdr:rowOff>76200</xdr:rowOff>
    </xdr:to>
    <xdr:sp>
      <xdr:nvSpPr>
        <xdr:cNvPr id="64" name="Line 103"/>
        <xdr:cNvSpPr>
          <a:spLocks/>
        </xdr:cNvSpPr>
      </xdr:nvSpPr>
      <xdr:spPr>
        <a:xfrm>
          <a:off x="5133975" y="448627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27</xdr:row>
      <xdr:rowOff>19050</xdr:rowOff>
    </xdr:from>
    <xdr:to>
      <xdr:col>8</xdr:col>
      <xdr:colOff>95250</xdr:colOff>
      <xdr:row>27</xdr:row>
      <xdr:rowOff>19050</xdr:rowOff>
    </xdr:to>
    <xdr:sp>
      <xdr:nvSpPr>
        <xdr:cNvPr id="65" name="Line 104"/>
        <xdr:cNvSpPr>
          <a:spLocks/>
        </xdr:cNvSpPr>
      </xdr:nvSpPr>
      <xdr:spPr>
        <a:xfrm>
          <a:off x="5133975" y="44291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xdr:row>
      <xdr:rowOff>95250</xdr:rowOff>
    </xdr:from>
    <xdr:to>
      <xdr:col>7</xdr:col>
      <xdr:colOff>400050</xdr:colOff>
      <xdr:row>27</xdr:row>
      <xdr:rowOff>95250</xdr:rowOff>
    </xdr:to>
    <xdr:sp>
      <xdr:nvSpPr>
        <xdr:cNvPr id="66" name="Line 105"/>
        <xdr:cNvSpPr>
          <a:spLocks/>
        </xdr:cNvSpPr>
      </xdr:nvSpPr>
      <xdr:spPr>
        <a:xfrm>
          <a:off x="4924425" y="450532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27</xdr:row>
      <xdr:rowOff>76200</xdr:rowOff>
    </xdr:from>
    <xdr:to>
      <xdr:col>7</xdr:col>
      <xdr:colOff>419100</xdr:colOff>
      <xdr:row>27</xdr:row>
      <xdr:rowOff>95250</xdr:rowOff>
    </xdr:to>
    <xdr:sp>
      <xdr:nvSpPr>
        <xdr:cNvPr id="67" name="Line 106"/>
        <xdr:cNvSpPr>
          <a:spLocks/>
        </xdr:cNvSpPr>
      </xdr:nvSpPr>
      <xdr:spPr>
        <a:xfrm flipV="1">
          <a:off x="5114925" y="4486275"/>
          <a:ext cx="190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27</xdr:row>
      <xdr:rowOff>19050</xdr:rowOff>
    </xdr:from>
    <xdr:to>
      <xdr:col>7</xdr:col>
      <xdr:colOff>419100</xdr:colOff>
      <xdr:row>27</xdr:row>
      <xdr:rowOff>76200</xdr:rowOff>
    </xdr:to>
    <xdr:sp>
      <xdr:nvSpPr>
        <xdr:cNvPr id="68" name="Line 107"/>
        <xdr:cNvSpPr>
          <a:spLocks/>
        </xdr:cNvSpPr>
      </xdr:nvSpPr>
      <xdr:spPr>
        <a:xfrm>
          <a:off x="5133975" y="4429125"/>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30</xdr:row>
      <xdr:rowOff>123825</xdr:rowOff>
    </xdr:from>
    <xdr:to>
      <xdr:col>7</xdr:col>
      <xdr:colOff>400050</xdr:colOff>
      <xdr:row>30</xdr:row>
      <xdr:rowOff>123825</xdr:rowOff>
    </xdr:to>
    <xdr:sp>
      <xdr:nvSpPr>
        <xdr:cNvPr id="69" name="Line 108"/>
        <xdr:cNvSpPr>
          <a:spLocks/>
        </xdr:cNvSpPr>
      </xdr:nvSpPr>
      <xdr:spPr>
        <a:xfrm>
          <a:off x="4924425" y="501967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30</xdr:row>
      <xdr:rowOff>123825</xdr:rowOff>
    </xdr:from>
    <xdr:to>
      <xdr:col>7</xdr:col>
      <xdr:colOff>419100</xdr:colOff>
      <xdr:row>30</xdr:row>
      <xdr:rowOff>142875</xdr:rowOff>
    </xdr:to>
    <xdr:sp>
      <xdr:nvSpPr>
        <xdr:cNvPr id="70" name="Line 109"/>
        <xdr:cNvSpPr>
          <a:spLocks/>
        </xdr:cNvSpPr>
      </xdr:nvSpPr>
      <xdr:spPr>
        <a:xfrm>
          <a:off x="5114925" y="5019675"/>
          <a:ext cx="190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30</xdr:row>
      <xdr:rowOff>142875</xdr:rowOff>
    </xdr:from>
    <xdr:to>
      <xdr:col>8</xdr:col>
      <xdr:colOff>95250</xdr:colOff>
      <xdr:row>30</xdr:row>
      <xdr:rowOff>142875</xdr:rowOff>
    </xdr:to>
    <xdr:sp>
      <xdr:nvSpPr>
        <xdr:cNvPr id="71" name="Line 110"/>
        <xdr:cNvSpPr>
          <a:spLocks/>
        </xdr:cNvSpPr>
      </xdr:nvSpPr>
      <xdr:spPr>
        <a:xfrm>
          <a:off x="5133975" y="50387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31</xdr:row>
      <xdr:rowOff>38100</xdr:rowOff>
    </xdr:from>
    <xdr:to>
      <xdr:col>8</xdr:col>
      <xdr:colOff>95250</xdr:colOff>
      <xdr:row>31</xdr:row>
      <xdr:rowOff>38100</xdr:rowOff>
    </xdr:to>
    <xdr:sp>
      <xdr:nvSpPr>
        <xdr:cNvPr id="72" name="Line 111"/>
        <xdr:cNvSpPr>
          <a:spLocks/>
        </xdr:cNvSpPr>
      </xdr:nvSpPr>
      <xdr:spPr>
        <a:xfrm>
          <a:off x="5133975" y="509587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30</xdr:row>
      <xdr:rowOff>142875</xdr:rowOff>
    </xdr:from>
    <xdr:to>
      <xdr:col>7</xdr:col>
      <xdr:colOff>419100</xdr:colOff>
      <xdr:row>31</xdr:row>
      <xdr:rowOff>38100</xdr:rowOff>
    </xdr:to>
    <xdr:sp>
      <xdr:nvSpPr>
        <xdr:cNvPr id="73" name="Line 112"/>
        <xdr:cNvSpPr>
          <a:spLocks/>
        </xdr:cNvSpPr>
      </xdr:nvSpPr>
      <xdr:spPr>
        <a:xfrm>
          <a:off x="5133975" y="5038725"/>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25</xdr:row>
      <xdr:rowOff>142875</xdr:rowOff>
    </xdr:from>
    <xdr:to>
      <xdr:col>7</xdr:col>
      <xdr:colOff>209550</xdr:colOff>
      <xdr:row>27</xdr:row>
      <xdr:rowOff>57150</xdr:rowOff>
    </xdr:to>
    <xdr:sp>
      <xdr:nvSpPr>
        <xdr:cNvPr id="74" name="Line 113"/>
        <xdr:cNvSpPr>
          <a:spLocks/>
        </xdr:cNvSpPr>
      </xdr:nvSpPr>
      <xdr:spPr>
        <a:xfrm flipV="1">
          <a:off x="4924425" y="4229100"/>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25</xdr:row>
      <xdr:rowOff>142875</xdr:rowOff>
    </xdr:from>
    <xdr:to>
      <xdr:col>7</xdr:col>
      <xdr:colOff>419100</xdr:colOff>
      <xdr:row>26</xdr:row>
      <xdr:rowOff>142875</xdr:rowOff>
    </xdr:to>
    <xdr:sp>
      <xdr:nvSpPr>
        <xdr:cNvPr id="75" name="Line 114"/>
        <xdr:cNvSpPr>
          <a:spLocks/>
        </xdr:cNvSpPr>
      </xdr:nvSpPr>
      <xdr:spPr>
        <a:xfrm flipV="1">
          <a:off x="5133975" y="42291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447675</xdr:colOff>
      <xdr:row>27</xdr:row>
      <xdr:rowOff>95250</xdr:rowOff>
    </xdr:from>
    <xdr:to>
      <xdr:col>8</xdr:col>
      <xdr:colOff>276225</xdr:colOff>
      <xdr:row>27</xdr:row>
      <xdr:rowOff>95250</xdr:rowOff>
    </xdr:to>
    <xdr:sp>
      <xdr:nvSpPr>
        <xdr:cNvPr id="76" name="Line 115"/>
        <xdr:cNvSpPr>
          <a:spLocks/>
        </xdr:cNvSpPr>
      </xdr:nvSpPr>
      <xdr:spPr>
        <a:xfrm>
          <a:off x="5162550" y="450532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27</xdr:row>
      <xdr:rowOff>19050</xdr:rowOff>
    </xdr:from>
    <xdr:to>
      <xdr:col>8</xdr:col>
      <xdr:colOff>276225</xdr:colOff>
      <xdr:row>27</xdr:row>
      <xdr:rowOff>19050</xdr:rowOff>
    </xdr:to>
    <xdr:sp>
      <xdr:nvSpPr>
        <xdr:cNvPr id="77" name="Line 116"/>
        <xdr:cNvSpPr>
          <a:spLocks/>
        </xdr:cNvSpPr>
      </xdr:nvSpPr>
      <xdr:spPr>
        <a:xfrm>
          <a:off x="5448300" y="44291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447675</xdr:colOff>
      <xdr:row>30</xdr:row>
      <xdr:rowOff>123825</xdr:rowOff>
    </xdr:from>
    <xdr:to>
      <xdr:col>8</xdr:col>
      <xdr:colOff>276225</xdr:colOff>
      <xdr:row>30</xdr:row>
      <xdr:rowOff>123825</xdr:rowOff>
    </xdr:to>
    <xdr:sp>
      <xdr:nvSpPr>
        <xdr:cNvPr id="78" name="Line 117"/>
        <xdr:cNvSpPr>
          <a:spLocks/>
        </xdr:cNvSpPr>
      </xdr:nvSpPr>
      <xdr:spPr>
        <a:xfrm>
          <a:off x="5162550" y="501967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31</xdr:row>
      <xdr:rowOff>38100</xdr:rowOff>
    </xdr:from>
    <xdr:to>
      <xdr:col>8</xdr:col>
      <xdr:colOff>276225</xdr:colOff>
      <xdr:row>31</xdr:row>
      <xdr:rowOff>38100</xdr:rowOff>
    </xdr:to>
    <xdr:sp>
      <xdr:nvSpPr>
        <xdr:cNvPr id="79" name="Line 118"/>
        <xdr:cNvSpPr>
          <a:spLocks/>
        </xdr:cNvSpPr>
      </xdr:nvSpPr>
      <xdr:spPr>
        <a:xfrm>
          <a:off x="5448300" y="509587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xdr:row>
      <xdr:rowOff>38100</xdr:rowOff>
    </xdr:from>
    <xdr:to>
      <xdr:col>7</xdr:col>
      <xdr:colOff>419100</xdr:colOff>
      <xdr:row>26</xdr:row>
      <xdr:rowOff>38100</xdr:rowOff>
    </xdr:to>
    <xdr:sp>
      <xdr:nvSpPr>
        <xdr:cNvPr id="80" name="Line 119"/>
        <xdr:cNvSpPr>
          <a:spLocks/>
        </xdr:cNvSpPr>
      </xdr:nvSpPr>
      <xdr:spPr>
        <a:xfrm>
          <a:off x="4924425" y="4286250"/>
          <a:ext cx="2095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xdr:row>
      <xdr:rowOff>0</xdr:rowOff>
    </xdr:from>
    <xdr:to>
      <xdr:col>8</xdr:col>
      <xdr:colOff>209550</xdr:colOff>
      <xdr:row>27</xdr:row>
      <xdr:rowOff>19050</xdr:rowOff>
    </xdr:to>
    <xdr:sp>
      <xdr:nvSpPr>
        <xdr:cNvPr id="81" name="Line 120"/>
        <xdr:cNvSpPr>
          <a:spLocks/>
        </xdr:cNvSpPr>
      </xdr:nvSpPr>
      <xdr:spPr>
        <a:xfrm>
          <a:off x="5534025" y="4248150"/>
          <a:ext cx="0" cy="1809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29</xdr:row>
      <xdr:rowOff>104775</xdr:rowOff>
    </xdr:from>
    <xdr:to>
      <xdr:col>8</xdr:col>
      <xdr:colOff>209550</xdr:colOff>
      <xdr:row>30</xdr:row>
      <xdr:rowOff>123825</xdr:rowOff>
    </xdr:to>
    <xdr:sp>
      <xdr:nvSpPr>
        <xdr:cNvPr id="82" name="Line 121"/>
        <xdr:cNvSpPr>
          <a:spLocks/>
        </xdr:cNvSpPr>
      </xdr:nvSpPr>
      <xdr:spPr>
        <a:xfrm>
          <a:off x="5534025" y="4838700"/>
          <a:ext cx="0" cy="1809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xdr:row>
      <xdr:rowOff>95250</xdr:rowOff>
    </xdr:from>
    <xdr:to>
      <xdr:col>8</xdr:col>
      <xdr:colOff>209550</xdr:colOff>
      <xdr:row>28</xdr:row>
      <xdr:rowOff>114300</xdr:rowOff>
    </xdr:to>
    <xdr:sp>
      <xdr:nvSpPr>
        <xdr:cNvPr id="83" name="Line 122"/>
        <xdr:cNvSpPr>
          <a:spLocks/>
        </xdr:cNvSpPr>
      </xdr:nvSpPr>
      <xdr:spPr>
        <a:xfrm flipV="1">
          <a:off x="5534025" y="4505325"/>
          <a:ext cx="0" cy="1809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31</xdr:row>
      <xdr:rowOff>38100</xdr:rowOff>
    </xdr:from>
    <xdr:to>
      <xdr:col>8</xdr:col>
      <xdr:colOff>209550</xdr:colOff>
      <xdr:row>32</xdr:row>
      <xdr:rowOff>47625</xdr:rowOff>
    </xdr:to>
    <xdr:sp>
      <xdr:nvSpPr>
        <xdr:cNvPr id="84" name="Line 123"/>
        <xdr:cNvSpPr>
          <a:spLocks/>
        </xdr:cNvSpPr>
      </xdr:nvSpPr>
      <xdr:spPr>
        <a:xfrm flipV="1">
          <a:off x="5534025" y="5095875"/>
          <a:ext cx="0" cy="1714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31</xdr:row>
      <xdr:rowOff>0</xdr:rowOff>
    </xdr:from>
    <xdr:to>
      <xdr:col>7</xdr:col>
      <xdr:colOff>209550</xdr:colOff>
      <xdr:row>33</xdr:row>
      <xdr:rowOff>47625</xdr:rowOff>
    </xdr:to>
    <xdr:sp>
      <xdr:nvSpPr>
        <xdr:cNvPr id="85" name="Line 124"/>
        <xdr:cNvSpPr>
          <a:spLocks/>
        </xdr:cNvSpPr>
      </xdr:nvSpPr>
      <xdr:spPr>
        <a:xfrm>
          <a:off x="4924425" y="5057775"/>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31</xdr:row>
      <xdr:rowOff>76200</xdr:rowOff>
    </xdr:from>
    <xdr:to>
      <xdr:col>7</xdr:col>
      <xdr:colOff>419100</xdr:colOff>
      <xdr:row>33</xdr:row>
      <xdr:rowOff>38100</xdr:rowOff>
    </xdr:to>
    <xdr:sp>
      <xdr:nvSpPr>
        <xdr:cNvPr id="86" name="Line 125"/>
        <xdr:cNvSpPr>
          <a:spLocks/>
        </xdr:cNvSpPr>
      </xdr:nvSpPr>
      <xdr:spPr>
        <a:xfrm>
          <a:off x="5133975" y="5133975"/>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33</xdr:row>
      <xdr:rowOff>0</xdr:rowOff>
    </xdr:from>
    <xdr:to>
      <xdr:col>7</xdr:col>
      <xdr:colOff>419100</xdr:colOff>
      <xdr:row>33</xdr:row>
      <xdr:rowOff>0</xdr:rowOff>
    </xdr:to>
    <xdr:sp>
      <xdr:nvSpPr>
        <xdr:cNvPr id="87" name="Line 126"/>
        <xdr:cNvSpPr>
          <a:spLocks/>
        </xdr:cNvSpPr>
      </xdr:nvSpPr>
      <xdr:spPr>
        <a:xfrm>
          <a:off x="4924425" y="5381625"/>
          <a:ext cx="2095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352425</xdr:colOff>
      <xdr:row>27</xdr:row>
      <xdr:rowOff>19050</xdr:rowOff>
    </xdr:from>
    <xdr:to>
      <xdr:col>5</xdr:col>
      <xdr:colOff>552450</xdr:colOff>
      <xdr:row>27</xdr:row>
      <xdr:rowOff>19050</xdr:rowOff>
    </xdr:to>
    <xdr:sp>
      <xdr:nvSpPr>
        <xdr:cNvPr id="88" name="Line 127"/>
        <xdr:cNvSpPr>
          <a:spLocks/>
        </xdr:cNvSpPr>
      </xdr:nvSpPr>
      <xdr:spPr>
        <a:xfrm flipH="1">
          <a:off x="3848100" y="442912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352425</xdr:colOff>
      <xdr:row>31</xdr:row>
      <xdr:rowOff>47625</xdr:rowOff>
    </xdr:from>
    <xdr:to>
      <xdr:col>5</xdr:col>
      <xdr:colOff>552450</xdr:colOff>
      <xdr:row>31</xdr:row>
      <xdr:rowOff>47625</xdr:rowOff>
    </xdr:to>
    <xdr:sp>
      <xdr:nvSpPr>
        <xdr:cNvPr id="89" name="Line 128"/>
        <xdr:cNvSpPr>
          <a:spLocks/>
        </xdr:cNvSpPr>
      </xdr:nvSpPr>
      <xdr:spPr>
        <a:xfrm flipH="1">
          <a:off x="3848100" y="51054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27</xdr:row>
      <xdr:rowOff>19050</xdr:rowOff>
    </xdr:from>
    <xdr:to>
      <xdr:col>5</xdr:col>
      <xdr:colOff>400050</xdr:colOff>
      <xdr:row>31</xdr:row>
      <xdr:rowOff>47625</xdr:rowOff>
    </xdr:to>
    <xdr:sp>
      <xdr:nvSpPr>
        <xdr:cNvPr id="90" name="Line 129"/>
        <xdr:cNvSpPr>
          <a:spLocks/>
        </xdr:cNvSpPr>
      </xdr:nvSpPr>
      <xdr:spPr>
        <a:xfrm>
          <a:off x="3895725" y="4429125"/>
          <a:ext cx="0" cy="6762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xdr:row>
      <xdr:rowOff>19050</xdr:rowOff>
    </xdr:from>
    <xdr:to>
      <xdr:col>8</xdr:col>
      <xdr:colOff>209550</xdr:colOff>
      <xdr:row>27</xdr:row>
      <xdr:rowOff>95250</xdr:rowOff>
    </xdr:to>
    <xdr:sp>
      <xdr:nvSpPr>
        <xdr:cNvPr id="91" name="Line 130"/>
        <xdr:cNvSpPr>
          <a:spLocks/>
        </xdr:cNvSpPr>
      </xdr:nvSpPr>
      <xdr:spPr>
        <a:xfrm flipV="1">
          <a:off x="5534025" y="442912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30</xdr:row>
      <xdr:rowOff>123825</xdr:rowOff>
    </xdr:from>
    <xdr:to>
      <xdr:col>8</xdr:col>
      <xdr:colOff>209550</xdr:colOff>
      <xdr:row>31</xdr:row>
      <xdr:rowOff>38100</xdr:rowOff>
    </xdr:to>
    <xdr:sp>
      <xdr:nvSpPr>
        <xdr:cNvPr id="92" name="Line 131"/>
        <xdr:cNvSpPr>
          <a:spLocks/>
        </xdr:cNvSpPr>
      </xdr:nvSpPr>
      <xdr:spPr>
        <a:xfrm>
          <a:off x="5534025" y="501967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31</xdr:row>
      <xdr:rowOff>76200</xdr:rowOff>
    </xdr:from>
    <xdr:to>
      <xdr:col>5</xdr:col>
      <xdr:colOff>581025</xdr:colOff>
      <xdr:row>33</xdr:row>
      <xdr:rowOff>66675</xdr:rowOff>
    </xdr:to>
    <xdr:sp>
      <xdr:nvSpPr>
        <xdr:cNvPr id="93" name="Line 132"/>
        <xdr:cNvSpPr>
          <a:spLocks/>
        </xdr:cNvSpPr>
      </xdr:nvSpPr>
      <xdr:spPr>
        <a:xfrm>
          <a:off x="4076700" y="5133975"/>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31</xdr:row>
      <xdr:rowOff>76200</xdr:rowOff>
    </xdr:from>
    <xdr:to>
      <xdr:col>6</xdr:col>
      <xdr:colOff>571500</xdr:colOff>
      <xdr:row>33</xdr:row>
      <xdr:rowOff>66675</xdr:rowOff>
    </xdr:to>
    <xdr:sp>
      <xdr:nvSpPr>
        <xdr:cNvPr id="94" name="Line 133"/>
        <xdr:cNvSpPr>
          <a:spLocks/>
        </xdr:cNvSpPr>
      </xdr:nvSpPr>
      <xdr:spPr>
        <a:xfrm>
          <a:off x="4676775" y="5133975"/>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33</xdr:row>
      <xdr:rowOff>0</xdr:rowOff>
    </xdr:from>
    <xdr:to>
      <xdr:col>6</xdr:col>
      <xdr:colOff>571500</xdr:colOff>
      <xdr:row>33</xdr:row>
      <xdr:rowOff>0</xdr:rowOff>
    </xdr:to>
    <xdr:sp>
      <xdr:nvSpPr>
        <xdr:cNvPr id="95" name="Line 134"/>
        <xdr:cNvSpPr>
          <a:spLocks/>
        </xdr:cNvSpPr>
      </xdr:nvSpPr>
      <xdr:spPr>
        <a:xfrm>
          <a:off x="4076700" y="5381625"/>
          <a:ext cx="6000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25</xdr:row>
      <xdr:rowOff>152400</xdr:rowOff>
    </xdr:from>
    <xdr:to>
      <xdr:col>6</xdr:col>
      <xdr:colOff>257175</xdr:colOff>
      <xdr:row>27</xdr:row>
      <xdr:rowOff>47625</xdr:rowOff>
    </xdr:to>
    <xdr:sp>
      <xdr:nvSpPr>
        <xdr:cNvPr id="96" name="Line 135"/>
        <xdr:cNvSpPr>
          <a:spLocks/>
        </xdr:cNvSpPr>
      </xdr:nvSpPr>
      <xdr:spPr>
        <a:xfrm flipV="1">
          <a:off x="4362450" y="423862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25</xdr:row>
      <xdr:rowOff>152400</xdr:rowOff>
    </xdr:from>
    <xdr:to>
      <xdr:col>6</xdr:col>
      <xdr:colOff>295275</xdr:colOff>
      <xdr:row>27</xdr:row>
      <xdr:rowOff>47625</xdr:rowOff>
    </xdr:to>
    <xdr:sp>
      <xdr:nvSpPr>
        <xdr:cNvPr id="97" name="Line 136"/>
        <xdr:cNvSpPr>
          <a:spLocks/>
        </xdr:cNvSpPr>
      </xdr:nvSpPr>
      <xdr:spPr>
        <a:xfrm flipV="1">
          <a:off x="4400550" y="423862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26</xdr:row>
      <xdr:rowOff>38100</xdr:rowOff>
    </xdr:from>
    <xdr:to>
      <xdr:col>6</xdr:col>
      <xdr:colOff>257175</xdr:colOff>
      <xdr:row>26</xdr:row>
      <xdr:rowOff>38100</xdr:rowOff>
    </xdr:to>
    <xdr:sp>
      <xdr:nvSpPr>
        <xdr:cNvPr id="98" name="Line 137"/>
        <xdr:cNvSpPr>
          <a:spLocks/>
        </xdr:cNvSpPr>
      </xdr:nvSpPr>
      <xdr:spPr>
        <a:xfrm>
          <a:off x="4124325" y="4286250"/>
          <a:ext cx="2381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476250</xdr:colOff>
      <xdr:row>15</xdr:row>
      <xdr:rowOff>114300</xdr:rowOff>
    </xdr:from>
    <xdr:to>
      <xdr:col>6</xdr:col>
      <xdr:colOff>19050</xdr:colOff>
      <xdr:row>15</xdr:row>
      <xdr:rowOff>114300</xdr:rowOff>
    </xdr:to>
    <xdr:sp>
      <xdr:nvSpPr>
        <xdr:cNvPr id="99" name="Line 138"/>
        <xdr:cNvSpPr>
          <a:spLocks/>
        </xdr:cNvSpPr>
      </xdr:nvSpPr>
      <xdr:spPr>
        <a:xfrm flipH="1">
          <a:off x="3971925" y="258127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495300</xdr:colOff>
      <xdr:row>27</xdr:row>
      <xdr:rowOff>76200</xdr:rowOff>
    </xdr:from>
    <xdr:to>
      <xdr:col>5</xdr:col>
      <xdr:colOff>495300</xdr:colOff>
      <xdr:row>28</xdr:row>
      <xdr:rowOff>66675</xdr:rowOff>
    </xdr:to>
    <xdr:sp>
      <xdr:nvSpPr>
        <xdr:cNvPr id="100" name="Line 141"/>
        <xdr:cNvSpPr>
          <a:spLocks/>
        </xdr:cNvSpPr>
      </xdr:nvSpPr>
      <xdr:spPr>
        <a:xfrm flipV="1">
          <a:off x="3990975" y="4486275"/>
          <a:ext cx="0" cy="1524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495300</xdr:colOff>
      <xdr:row>26</xdr:row>
      <xdr:rowOff>28575</xdr:rowOff>
    </xdr:from>
    <xdr:to>
      <xdr:col>5</xdr:col>
      <xdr:colOff>495300</xdr:colOff>
      <xdr:row>27</xdr:row>
      <xdr:rowOff>19050</xdr:rowOff>
    </xdr:to>
    <xdr:sp>
      <xdr:nvSpPr>
        <xdr:cNvPr id="101" name="Line 142"/>
        <xdr:cNvSpPr>
          <a:spLocks/>
        </xdr:cNvSpPr>
      </xdr:nvSpPr>
      <xdr:spPr>
        <a:xfrm>
          <a:off x="3990975" y="4276725"/>
          <a:ext cx="0" cy="1524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27</xdr:row>
      <xdr:rowOff>76200</xdr:rowOff>
    </xdr:from>
    <xdr:to>
      <xdr:col>5</xdr:col>
      <xdr:colOff>552450</xdr:colOff>
      <xdr:row>27</xdr:row>
      <xdr:rowOff>76200</xdr:rowOff>
    </xdr:to>
    <xdr:sp>
      <xdr:nvSpPr>
        <xdr:cNvPr id="102" name="Line 143"/>
        <xdr:cNvSpPr>
          <a:spLocks/>
        </xdr:cNvSpPr>
      </xdr:nvSpPr>
      <xdr:spPr>
        <a:xfrm>
          <a:off x="3952875" y="44862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495300</xdr:colOff>
      <xdr:row>27</xdr:row>
      <xdr:rowOff>19050</xdr:rowOff>
    </xdr:from>
    <xdr:to>
      <xdr:col>5</xdr:col>
      <xdr:colOff>495300</xdr:colOff>
      <xdr:row>27</xdr:row>
      <xdr:rowOff>76200</xdr:rowOff>
    </xdr:to>
    <xdr:sp>
      <xdr:nvSpPr>
        <xdr:cNvPr id="103" name="Line 144"/>
        <xdr:cNvSpPr>
          <a:spLocks/>
        </xdr:cNvSpPr>
      </xdr:nvSpPr>
      <xdr:spPr>
        <a:xfrm>
          <a:off x="3990975" y="4429125"/>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11</xdr:row>
      <xdr:rowOff>85725</xdr:rowOff>
    </xdr:from>
    <xdr:to>
      <xdr:col>7</xdr:col>
      <xdr:colOff>152400</xdr:colOff>
      <xdr:row>11</xdr:row>
      <xdr:rowOff>85725</xdr:rowOff>
    </xdr:to>
    <xdr:sp>
      <xdr:nvSpPr>
        <xdr:cNvPr id="104" name="Line 195"/>
        <xdr:cNvSpPr>
          <a:spLocks/>
        </xdr:cNvSpPr>
      </xdr:nvSpPr>
      <xdr:spPr>
        <a:xfrm>
          <a:off x="4743450" y="1905000"/>
          <a:ext cx="1238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514350</xdr:colOff>
      <xdr:row>7</xdr:row>
      <xdr:rowOff>66675</xdr:rowOff>
    </xdr:from>
    <xdr:to>
      <xdr:col>6</xdr:col>
      <xdr:colOff>514350</xdr:colOff>
      <xdr:row>10</xdr:row>
      <xdr:rowOff>85725</xdr:rowOff>
    </xdr:to>
    <xdr:sp>
      <xdr:nvSpPr>
        <xdr:cNvPr id="105" name="Line 196"/>
        <xdr:cNvSpPr>
          <a:spLocks/>
        </xdr:cNvSpPr>
      </xdr:nvSpPr>
      <xdr:spPr>
        <a:xfrm flipV="1">
          <a:off x="4619625" y="1238250"/>
          <a:ext cx="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7</xdr:row>
      <xdr:rowOff>66675</xdr:rowOff>
    </xdr:from>
    <xdr:to>
      <xdr:col>7</xdr:col>
      <xdr:colOff>381000</xdr:colOff>
      <xdr:row>10</xdr:row>
      <xdr:rowOff>85725</xdr:rowOff>
    </xdr:to>
    <xdr:sp>
      <xdr:nvSpPr>
        <xdr:cNvPr id="106" name="Line 197"/>
        <xdr:cNvSpPr>
          <a:spLocks/>
        </xdr:cNvSpPr>
      </xdr:nvSpPr>
      <xdr:spPr>
        <a:xfrm>
          <a:off x="5095875" y="1238250"/>
          <a:ext cx="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7</xdr:row>
      <xdr:rowOff>57150</xdr:rowOff>
    </xdr:from>
    <xdr:to>
      <xdr:col>7</xdr:col>
      <xdr:colOff>152400</xdr:colOff>
      <xdr:row>10</xdr:row>
      <xdr:rowOff>76200</xdr:rowOff>
    </xdr:to>
    <xdr:sp>
      <xdr:nvSpPr>
        <xdr:cNvPr id="107" name="Line 198"/>
        <xdr:cNvSpPr>
          <a:spLocks/>
        </xdr:cNvSpPr>
      </xdr:nvSpPr>
      <xdr:spPr>
        <a:xfrm flipV="1">
          <a:off x="4867275" y="1228725"/>
          <a:ext cx="0" cy="5048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7</xdr:row>
      <xdr:rowOff>76200</xdr:rowOff>
    </xdr:from>
    <xdr:to>
      <xdr:col>7</xdr:col>
      <xdr:colOff>123825</xdr:colOff>
      <xdr:row>10</xdr:row>
      <xdr:rowOff>95250</xdr:rowOff>
    </xdr:to>
    <xdr:sp>
      <xdr:nvSpPr>
        <xdr:cNvPr id="108" name="Line 199"/>
        <xdr:cNvSpPr>
          <a:spLocks/>
        </xdr:cNvSpPr>
      </xdr:nvSpPr>
      <xdr:spPr>
        <a:xfrm>
          <a:off x="4838700" y="1247775"/>
          <a:ext cx="0" cy="5048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419100</xdr:colOff>
      <xdr:row>7</xdr:row>
      <xdr:rowOff>66675</xdr:rowOff>
    </xdr:from>
    <xdr:to>
      <xdr:col>7</xdr:col>
      <xdr:colOff>57150</xdr:colOff>
      <xdr:row>7</xdr:row>
      <xdr:rowOff>66675</xdr:rowOff>
    </xdr:to>
    <xdr:sp>
      <xdr:nvSpPr>
        <xdr:cNvPr id="109" name="Line 200"/>
        <xdr:cNvSpPr>
          <a:spLocks/>
        </xdr:cNvSpPr>
      </xdr:nvSpPr>
      <xdr:spPr>
        <a:xfrm>
          <a:off x="4524375" y="1238250"/>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7</xdr:row>
      <xdr:rowOff>66675</xdr:rowOff>
    </xdr:from>
    <xdr:to>
      <xdr:col>7</xdr:col>
      <xdr:colOff>466725</xdr:colOff>
      <xdr:row>7</xdr:row>
      <xdr:rowOff>66675</xdr:rowOff>
    </xdr:to>
    <xdr:sp>
      <xdr:nvSpPr>
        <xdr:cNvPr id="110" name="Line 201"/>
        <xdr:cNvSpPr>
          <a:spLocks/>
        </xdr:cNvSpPr>
      </xdr:nvSpPr>
      <xdr:spPr>
        <a:xfrm>
          <a:off x="4933950" y="1238250"/>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7</xdr:row>
      <xdr:rowOff>66675</xdr:rowOff>
    </xdr:from>
    <xdr:to>
      <xdr:col>7</xdr:col>
      <xdr:colOff>57150</xdr:colOff>
      <xdr:row>7</xdr:row>
      <xdr:rowOff>123825</xdr:rowOff>
    </xdr:to>
    <xdr:sp>
      <xdr:nvSpPr>
        <xdr:cNvPr id="111" name="Line 202"/>
        <xdr:cNvSpPr>
          <a:spLocks/>
        </xdr:cNvSpPr>
      </xdr:nvSpPr>
      <xdr:spPr>
        <a:xfrm>
          <a:off x="4772025" y="123825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7</xdr:row>
      <xdr:rowOff>9525</xdr:rowOff>
    </xdr:from>
    <xdr:to>
      <xdr:col>7</xdr:col>
      <xdr:colOff>219075</xdr:colOff>
      <xdr:row>7</xdr:row>
      <xdr:rowOff>66675</xdr:rowOff>
    </xdr:to>
    <xdr:sp>
      <xdr:nvSpPr>
        <xdr:cNvPr id="112" name="Line 203"/>
        <xdr:cNvSpPr>
          <a:spLocks/>
        </xdr:cNvSpPr>
      </xdr:nvSpPr>
      <xdr:spPr>
        <a:xfrm flipV="1">
          <a:off x="4933950" y="118110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7</xdr:row>
      <xdr:rowOff>9525</xdr:rowOff>
    </xdr:from>
    <xdr:to>
      <xdr:col>7</xdr:col>
      <xdr:colOff>219075</xdr:colOff>
      <xdr:row>7</xdr:row>
      <xdr:rowOff>123825</xdr:rowOff>
    </xdr:to>
    <xdr:sp>
      <xdr:nvSpPr>
        <xdr:cNvPr id="113" name="Line 204"/>
        <xdr:cNvSpPr>
          <a:spLocks/>
        </xdr:cNvSpPr>
      </xdr:nvSpPr>
      <xdr:spPr>
        <a:xfrm flipV="1">
          <a:off x="4772025" y="1181100"/>
          <a:ext cx="161925"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419100</xdr:colOff>
      <xdr:row>10</xdr:row>
      <xdr:rowOff>85725</xdr:rowOff>
    </xdr:from>
    <xdr:to>
      <xdr:col>7</xdr:col>
      <xdr:colOff>57150</xdr:colOff>
      <xdr:row>10</xdr:row>
      <xdr:rowOff>85725</xdr:rowOff>
    </xdr:to>
    <xdr:sp>
      <xdr:nvSpPr>
        <xdr:cNvPr id="114" name="Line 205"/>
        <xdr:cNvSpPr>
          <a:spLocks/>
        </xdr:cNvSpPr>
      </xdr:nvSpPr>
      <xdr:spPr>
        <a:xfrm>
          <a:off x="4524375" y="1743075"/>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10</xdr:row>
      <xdr:rowOff>85725</xdr:rowOff>
    </xdr:from>
    <xdr:to>
      <xdr:col>7</xdr:col>
      <xdr:colOff>466725</xdr:colOff>
      <xdr:row>10</xdr:row>
      <xdr:rowOff>85725</xdr:rowOff>
    </xdr:to>
    <xdr:sp>
      <xdr:nvSpPr>
        <xdr:cNvPr id="115" name="Line 206"/>
        <xdr:cNvSpPr>
          <a:spLocks/>
        </xdr:cNvSpPr>
      </xdr:nvSpPr>
      <xdr:spPr>
        <a:xfrm>
          <a:off x="4933950" y="1743075"/>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10</xdr:row>
      <xdr:rowOff>85725</xdr:rowOff>
    </xdr:from>
    <xdr:to>
      <xdr:col>7</xdr:col>
      <xdr:colOff>57150</xdr:colOff>
      <xdr:row>10</xdr:row>
      <xdr:rowOff>142875</xdr:rowOff>
    </xdr:to>
    <xdr:sp>
      <xdr:nvSpPr>
        <xdr:cNvPr id="116" name="Line 207"/>
        <xdr:cNvSpPr>
          <a:spLocks/>
        </xdr:cNvSpPr>
      </xdr:nvSpPr>
      <xdr:spPr>
        <a:xfrm>
          <a:off x="4772025" y="1743075"/>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10</xdr:row>
      <xdr:rowOff>28575</xdr:rowOff>
    </xdr:from>
    <xdr:to>
      <xdr:col>7</xdr:col>
      <xdr:colOff>219075</xdr:colOff>
      <xdr:row>10</xdr:row>
      <xdr:rowOff>85725</xdr:rowOff>
    </xdr:to>
    <xdr:sp>
      <xdr:nvSpPr>
        <xdr:cNvPr id="117" name="Line 208"/>
        <xdr:cNvSpPr>
          <a:spLocks/>
        </xdr:cNvSpPr>
      </xdr:nvSpPr>
      <xdr:spPr>
        <a:xfrm flipV="1">
          <a:off x="4933950" y="1685925"/>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10</xdr:row>
      <xdr:rowOff>28575</xdr:rowOff>
    </xdr:from>
    <xdr:to>
      <xdr:col>7</xdr:col>
      <xdr:colOff>219075</xdr:colOff>
      <xdr:row>10</xdr:row>
      <xdr:rowOff>142875</xdr:rowOff>
    </xdr:to>
    <xdr:sp>
      <xdr:nvSpPr>
        <xdr:cNvPr id="118" name="Line 209"/>
        <xdr:cNvSpPr>
          <a:spLocks/>
        </xdr:cNvSpPr>
      </xdr:nvSpPr>
      <xdr:spPr>
        <a:xfrm flipV="1">
          <a:off x="4772025" y="1685925"/>
          <a:ext cx="161925"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514350</xdr:colOff>
      <xdr:row>9</xdr:row>
      <xdr:rowOff>95250</xdr:rowOff>
    </xdr:from>
    <xdr:to>
      <xdr:col>7</xdr:col>
      <xdr:colOff>381000</xdr:colOff>
      <xdr:row>9</xdr:row>
      <xdr:rowOff>95250</xdr:rowOff>
    </xdr:to>
    <xdr:sp>
      <xdr:nvSpPr>
        <xdr:cNvPr id="119" name="Line 210"/>
        <xdr:cNvSpPr>
          <a:spLocks/>
        </xdr:cNvSpPr>
      </xdr:nvSpPr>
      <xdr:spPr>
        <a:xfrm>
          <a:off x="4619625" y="1590675"/>
          <a:ext cx="4762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9</xdr:row>
      <xdr:rowOff>95250</xdr:rowOff>
    </xdr:from>
    <xdr:to>
      <xdr:col>7</xdr:col>
      <xdr:colOff>590550</xdr:colOff>
      <xdr:row>9</xdr:row>
      <xdr:rowOff>95250</xdr:rowOff>
    </xdr:to>
    <xdr:sp>
      <xdr:nvSpPr>
        <xdr:cNvPr id="120" name="Line 211"/>
        <xdr:cNvSpPr>
          <a:spLocks/>
        </xdr:cNvSpPr>
      </xdr:nvSpPr>
      <xdr:spPr>
        <a:xfrm>
          <a:off x="5095875" y="159067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95250</xdr:rowOff>
    </xdr:from>
    <xdr:to>
      <xdr:col>7</xdr:col>
      <xdr:colOff>123825</xdr:colOff>
      <xdr:row>8</xdr:row>
      <xdr:rowOff>95250</xdr:rowOff>
    </xdr:to>
    <xdr:sp>
      <xdr:nvSpPr>
        <xdr:cNvPr id="121" name="Line 212"/>
        <xdr:cNvSpPr>
          <a:spLocks/>
        </xdr:cNvSpPr>
      </xdr:nvSpPr>
      <xdr:spPr>
        <a:xfrm>
          <a:off x="4714875" y="1428750"/>
          <a:ext cx="1238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8</xdr:row>
      <xdr:rowOff>95250</xdr:rowOff>
    </xdr:from>
    <xdr:to>
      <xdr:col>7</xdr:col>
      <xdr:colOff>590550</xdr:colOff>
      <xdr:row>8</xdr:row>
      <xdr:rowOff>95250</xdr:rowOff>
    </xdr:to>
    <xdr:sp>
      <xdr:nvSpPr>
        <xdr:cNvPr id="122" name="Line 213"/>
        <xdr:cNvSpPr>
          <a:spLocks/>
        </xdr:cNvSpPr>
      </xdr:nvSpPr>
      <xdr:spPr>
        <a:xfrm flipH="1">
          <a:off x="4867275" y="1428750"/>
          <a:ext cx="4381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190500</xdr:colOff>
      <xdr:row>12</xdr:row>
      <xdr:rowOff>133350</xdr:rowOff>
    </xdr:from>
    <xdr:to>
      <xdr:col>7</xdr:col>
      <xdr:colOff>190500</xdr:colOff>
      <xdr:row>15</xdr:row>
      <xdr:rowOff>76200</xdr:rowOff>
    </xdr:to>
    <xdr:sp>
      <xdr:nvSpPr>
        <xdr:cNvPr id="123" name="Line 214"/>
        <xdr:cNvSpPr>
          <a:spLocks/>
        </xdr:cNvSpPr>
      </xdr:nvSpPr>
      <xdr:spPr>
        <a:xfrm>
          <a:off x="4905375" y="2114550"/>
          <a:ext cx="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8</xdr:row>
      <xdr:rowOff>95250</xdr:rowOff>
    </xdr:from>
    <xdr:to>
      <xdr:col>7</xdr:col>
      <xdr:colOff>152400</xdr:colOff>
      <xdr:row>8</xdr:row>
      <xdr:rowOff>95250</xdr:rowOff>
    </xdr:to>
    <xdr:sp>
      <xdr:nvSpPr>
        <xdr:cNvPr id="124" name="Line 215"/>
        <xdr:cNvSpPr>
          <a:spLocks/>
        </xdr:cNvSpPr>
      </xdr:nvSpPr>
      <xdr:spPr>
        <a:xfrm>
          <a:off x="4838700" y="1428750"/>
          <a:ext cx="28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476250</xdr:colOff>
      <xdr:row>18</xdr:row>
      <xdr:rowOff>47625</xdr:rowOff>
    </xdr:from>
    <xdr:to>
      <xdr:col>6</xdr:col>
      <xdr:colOff>19050</xdr:colOff>
      <xdr:row>18</xdr:row>
      <xdr:rowOff>47625</xdr:rowOff>
    </xdr:to>
    <xdr:sp>
      <xdr:nvSpPr>
        <xdr:cNvPr id="125" name="Line 352"/>
        <xdr:cNvSpPr>
          <a:spLocks/>
        </xdr:cNvSpPr>
      </xdr:nvSpPr>
      <xdr:spPr>
        <a:xfrm flipH="1">
          <a:off x="3971925" y="300037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xdr:row>
      <xdr:rowOff>104775</xdr:rowOff>
    </xdr:from>
    <xdr:to>
      <xdr:col>7</xdr:col>
      <xdr:colOff>371475</xdr:colOff>
      <xdr:row>30</xdr:row>
      <xdr:rowOff>57150</xdr:rowOff>
    </xdr:to>
    <xdr:grpSp>
      <xdr:nvGrpSpPr>
        <xdr:cNvPr id="126" name="Group 353"/>
        <xdr:cNvGrpSpPr>
          <a:grpSpLocks/>
        </xdr:cNvGrpSpPr>
      </xdr:nvGrpSpPr>
      <xdr:grpSpPr>
        <a:xfrm>
          <a:off x="4924425" y="4514850"/>
          <a:ext cx="161925" cy="438150"/>
          <a:chOff x="517" y="185"/>
          <a:chExt cx="17" cy="46"/>
        </a:xfrm>
        <a:solidFill>
          <a:srgbClr val="FFFFFF"/>
        </a:solidFill>
      </xdr:grpSpPr>
      <xdr:sp>
        <xdr:nvSpPr>
          <xdr:cNvPr id="127" name="Line 354"/>
          <xdr:cNvSpPr>
            <a:spLocks/>
          </xdr:cNvSpPr>
        </xdr:nvSpPr>
        <xdr:spPr>
          <a:xfrm>
            <a:off x="517" y="186"/>
            <a:ext cx="17"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8" name="Line 355"/>
          <xdr:cNvSpPr>
            <a:spLocks/>
          </xdr:cNvSpPr>
        </xdr:nvSpPr>
        <xdr:spPr>
          <a:xfrm>
            <a:off x="517" y="231"/>
            <a:ext cx="17"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9" name="Line 356"/>
          <xdr:cNvSpPr>
            <a:spLocks/>
          </xdr:cNvSpPr>
        </xdr:nvSpPr>
        <xdr:spPr>
          <a:xfrm>
            <a:off x="533" y="185"/>
            <a:ext cx="0" cy="46"/>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38100</xdr:colOff>
      <xdr:row>27</xdr:row>
      <xdr:rowOff>95250</xdr:rowOff>
    </xdr:from>
    <xdr:to>
      <xdr:col>6</xdr:col>
      <xdr:colOff>85725</xdr:colOff>
      <xdr:row>30</xdr:row>
      <xdr:rowOff>57150</xdr:rowOff>
    </xdr:to>
    <xdr:grpSp>
      <xdr:nvGrpSpPr>
        <xdr:cNvPr id="130" name="Group 357"/>
        <xdr:cNvGrpSpPr>
          <a:grpSpLocks/>
        </xdr:cNvGrpSpPr>
      </xdr:nvGrpSpPr>
      <xdr:grpSpPr>
        <a:xfrm>
          <a:off x="4143375" y="4505325"/>
          <a:ext cx="47625" cy="447675"/>
          <a:chOff x="437" y="269"/>
          <a:chExt cx="5" cy="47"/>
        </a:xfrm>
        <a:solidFill>
          <a:srgbClr val="FFFFFF"/>
        </a:solidFill>
      </xdr:grpSpPr>
      <xdr:sp>
        <xdr:nvSpPr>
          <xdr:cNvPr id="131" name="Line 358"/>
          <xdr:cNvSpPr>
            <a:spLocks/>
          </xdr:cNvSpPr>
        </xdr:nvSpPr>
        <xdr:spPr>
          <a:xfrm>
            <a:off x="437" y="269"/>
            <a:ext cx="0" cy="47"/>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2" name="Line 359"/>
          <xdr:cNvSpPr>
            <a:spLocks/>
          </xdr:cNvSpPr>
        </xdr:nvSpPr>
        <xdr:spPr>
          <a:xfrm rot="5400000">
            <a:off x="439" y="269"/>
            <a:ext cx="0" cy="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466725</xdr:colOff>
      <xdr:row>27</xdr:row>
      <xdr:rowOff>95250</xdr:rowOff>
    </xdr:from>
    <xdr:to>
      <xdr:col>6</xdr:col>
      <xdr:colOff>514350</xdr:colOff>
      <xdr:row>30</xdr:row>
      <xdr:rowOff>57150</xdr:rowOff>
    </xdr:to>
    <xdr:grpSp>
      <xdr:nvGrpSpPr>
        <xdr:cNvPr id="133" name="Group 360"/>
        <xdr:cNvGrpSpPr>
          <a:grpSpLocks/>
        </xdr:cNvGrpSpPr>
      </xdr:nvGrpSpPr>
      <xdr:grpSpPr>
        <a:xfrm>
          <a:off x="4572000" y="4505325"/>
          <a:ext cx="47625" cy="447675"/>
          <a:chOff x="482" y="269"/>
          <a:chExt cx="5" cy="47"/>
        </a:xfrm>
        <a:solidFill>
          <a:srgbClr val="FFFFFF"/>
        </a:solidFill>
      </xdr:grpSpPr>
      <xdr:sp>
        <xdr:nvSpPr>
          <xdr:cNvPr id="134" name="Line 361"/>
          <xdr:cNvSpPr>
            <a:spLocks/>
          </xdr:cNvSpPr>
        </xdr:nvSpPr>
        <xdr:spPr>
          <a:xfrm flipH="1">
            <a:off x="487" y="269"/>
            <a:ext cx="0" cy="47"/>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5" name="Line 362"/>
          <xdr:cNvSpPr>
            <a:spLocks/>
          </xdr:cNvSpPr>
        </xdr:nvSpPr>
        <xdr:spPr>
          <a:xfrm rot="16200000" flipH="1">
            <a:off x="482" y="270"/>
            <a:ext cx="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209550</xdr:colOff>
      <xdr:row>15</xdr:row>
      <xdr:rowOff>104775</xdr:rowOff>
    </xdr:from>
    <xdr:to>
      <xdr:col>7</xdr:col>
      <xdr:colOff>371475</xdr:colOff>
      <xdr:row>18</xdr:row>
      <xdr:rowOff>57150</xdr:rowOff>
    </xdr:to>
    <xdr:grpSp>
      <xdr:nvGrpSpPr>
        <xdr:cNvPr id="136" name="Group 363"/>
        <xdr:cNvGrpSpPr>
          <a:grpSpLocks/>
        </xdr:cNvGrpSpPr>
      </xdr:nvGrpSpPr>
      <xdr:grpSpPr>
        <a:xfrm>
          <a:off x="4924425" y="2571750"/>
          <a:ext cx="161925" cy="438150"/>
          <a:chOff x="517" y="185"/>
          <a:chExt cx="17" cy="46"/>
        </a:xfrm>
        <a:solidFill>
          <a:srgbClr val="FFFFFF"/>
        </a:solidFill>
      </xdr:grpSpPr>
      <xdr:sp>
        <xdr:nvSpPr>
          <xdr:cNvPr id="137" name="Line 364"/>
          <xdr:cNvSpPr>
            <a:spLocks/>
          </xdr:cNvSpPr>
        </xdr:nvSpPr>
        <xdr:spPr>
          <a:xfrm>
            <a:off x="517" y="186"/>
            <a:ext cx="17"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8" name="Line 365"/>
          <xdr:cNvSpPr>
            <a:spLocks/>
          </xdr:cNvSpPr>
        </xdr:nvSpPr>
        <xdr:spPr>
          <a:xfrm>
            <a:off x="517" y="231"/>
            <a:ext cx="17"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9" name="Line 366"/>
          <xdr:cNvSpPr>
            <a:spLocks/>
          </xdr:cNvSpPr>
        </xdr:nvSpPr>
        <xdr:spPr>
          <a:xfrm>
            <a:off x="533" y="185"/>
            <a:ext cx="0" cy="46"/>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38100</xdr:colOff>
      <xdr:row>15</xdr:row>
      <xdr:rowOff>95250</xdr:rowOff>
    </xdr:from>
    <xdr:to>
      <xdr:col>6</xdr:col>
      <xdr:colOff>85725</xdr:colOff>
      <xdr:row>18</xdr:row>
      <xdr:rowOff>57150</xdr:rowOff>
    </xdr:to>
    <xdr:grpSp>
      <xdr:nvGrpSpPr>
        <xdr:cNvPr id="140" name="Group 367"/>
        <xdr:cNvGrpSpPr>
          <a:grpSpLocks/>
        </xdr:cNvGrpSpPr>
      </xdr:nvGrpSpPr>
      <xdr:grpSpPr>
        <a:xfrm>
          <a:off x="4143375" y="2562225"/>
          <a:ext cx="47625" cy="447675"/>
          <a:chOff x="437" y="269"/>
          <a:chExt cx="5" cy="47"/>
        </a:xfrm>
        <a:solidFill>
          <a:srgbClr val="FFFFFF"/>
        </a:solidFill>
      </xdr:grpSpPr>
      <xdr:sp>
        <xdr:nvSpPr>
          <xdr:cNvPr id="141" name="Line 368"/>
          <xdr:cNvSpPr>
            <a:spLocks/>
          </xdr:cNvSpPr>
        </xdr:nvSpPr>
        <xdr:spPr>
          <a:xfrm>
            <a:off x="437" y="269"/>
            <a:ext cx="0" cy="47"/>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2" name="Line 369"/>
          <xdr:cNvSpPr>
            <a:spLocks/>
          </xdr:cNvSpPr>
        </xdr:nvSpPr>
        <xdr:spPr>
          <a:xfrm rot="5400000">
            <a:off x="439" y="269"/>
            <a:ext cx="0" cy="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466725</xdr:colOff>
      <xdr:row>15</xdr:row>
      <xdr:rowOff>95250</xdr:rowOff>
    </xdr:from>
    <xdr:to>
      <xdr:col>6</xdr:col>
      <xdr:colOff>514350</xdr:colOff>
      <xdr:row>18</xdr:row>
      <xdr:rowOff>57150</xdr:rowOff>
    </xdr:to>
    <xdr:grpSp>
      <xdr:nvGrpSpPr>
        <xdr:cNvPr id="143" name="Group 370"/>
        <xdr:cNvGrpSpPr>
          <a:grpSpLocks/>
        </xdr:cNvGrpSpPr>
      </xdr:nvGrpSpPr>
      <xdr:grpSpPr>
        <a:xfrm>
          <a:off x="4572000" y="2562225"/>
          <a:ext cx="47625" cy="447675"/>
          <a:chOff x="482" y="269"/>
          <a:chExt cx="5" cy="47"/>
        </a:xfrm>
        <a:solidFill>
          <a:srgbClr val="FFFFFF"/>
        </a:solidFill>
      </xdr:grpSpPr>
      <xdr:sp>
        <xdr:nvSpPr>
          <xdr:cNvPr id="144" name="Line 371"/>
          <xdr:cNvSpPr>
            <a:spLocks/>
          </xdr:cNvSpPr>
        </xdr:nvSpPr>
        <xdr:spPr>
          <a:xfrm flipH="1">
            <a:off x="487" y="269"/>
            <a:ext cx="0" cy="47"/>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5" name="Line 372"/>
          <xdr:cNvSpPr>
            <a:spLocks/>
          </xdr:cNvSpPr>
        </xdr:nvSpPr>
        <xdr:spPr>
          <a:xfrm rot="16200000" flipH="1">
            <a:off x="482" y="270"/>
            <a:ext cx="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0</xdr:colOff>
      <xdr:row>13</xdr:row>
      <xdr:rowOff>28575</xdr:rowOff>
    </xdr:from>
    <xdr:to>
      <xdr:col>8</xdr:col>
      <xdr:colOff>800100</xdr:colOff>
      <xdr:row>13</xdr:row>
      <xdr:rowOff>28575</xdr:rowOff>
    </xdr:to>
    <xdr:sp>
      <xdr:nvSpPr>
        <xdr:cNvPr id="146" name="Line 373"/>
        <xdr:cNvSpPr>
          <a:spLocks/>
        </xdr:cNvSpPr>
      </xdr:nvSpPr>
      <xdr:spPr>
        <a:xfrm>
          <a:off x="5324475" y="217170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657225</xdr:colOff>
      <xdr:row>13</xdr:row>
      <xdr:rowOff>28575</xdr:rowOff>
    </xdr:from>
    <xdr:to>
      <xdr:col>8</xdr:col>
      <xdr:colOff>657225</xdr:colOff>
      <xdr:row>13</xdr:row>
      <xdr:rowOff>133350</xdr:rowOff>
    </xdr:to>
    <xdr:sp>
      <xdr:nvSpPr>
        <xdr:cNvPr id="147" name="Line 374"/>
        <xdr:cNvSpPr>
          <a:spLocks/>
        </xdr:cNvSpPr>
      </xdr:nvSpPr>
      <xdr:spPr>
        <a:xfrm>
          <a:off x="5981700" y="2171700"/>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657225</xdr:colOff>
      <xdr:row>13</xdr:row>
      <xdr:rowOff>28575</xdr:rowOff>
    </xdr:from>
    <xdr:to>
      <xdr:col>8</xdr:col>
      <xdr:colOff>762000</xdr:colOff>
      <xdr:row>13</xdr:row>
      <xdr:rowOff>133350</xdr:rowOff>
    </xdr:to>
    <xdr:sp>
      <xdr:nvSpPr>
        <xdr:cNvPr id="148" name="Line 375"/>
        <xdr:cNvSpPr>
          <a:spLocks/>
        </xdr:cNvSpPr>
      </xdr:nvSpPr>
      <xdr:spPr>
        <a:xfrm flipV="1">
          <a:off x="5981700" y="2171700"/>
          <a:ext cx="104775"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13</xdr:row>
      <xdr:rowOff>28575</xdr:rowOff>
    </xdr:from>
    <xdr:to>
      <xdr:col>8</xdr:col>
      <xdr:colOff>0</xdr:colOff>
      <xdr:row>15</xdr:row>
      <xdr:rowOff>104775</xdr:rowOff>
    </xdr:to>
    <xdr:sp>
      <xdr:nvSpPr>
        <xdr:cNvPr id="149" name="Line 376"/>
        <xdr:cNvSpPr>
          <a:spLocks/>
        </xdr:cNvSpPr>
      </xdr:nvSpPr>
      <xdr:spPr>
        <a:xfrm flipH="1">
          <a:off x="5095875" y="2171700"/>
          <a:ext cx="22860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13</xdr:row>
      <xdr:rowOff>28575</xdr:rowOff>
    </xdr:from>
    <xdr:to>
      <xdr:col>5</xdr:col>
      <xdr:colOff>428625</xdr:colOff>
      <xdr:row>13</xdr:row>
      <xdr:rowOff>28575</xdr:rowOff>
    </xdr:to>
    <xdr:sp>
      <xdr:nvSpPr>
        <xdr:cNvPr id="150" name="Line 380"/>
        <xdr:cNvSpPr>
          <a:spLocks/>
        </xdr:cNvSpPr>
      </xdr:nvSpPr>
      <xdr:spPr>
        <a:xfrm>
          <a:off x="3152775" y="21717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13</xdr:row>
      <xdr:rowOff>28575</xdr:rowOff>
    </xdr:from>
    <xdr:to>
      <xdr:col>5</xdr:col>
      <xdr:colOff>295275</xdr:colOff>
      <xdr:row>13</xdr:row>
      <xdr:rowOff>133350</xdr:rowOff>
    </xdr:to>
    <xdr:sp>
      <xdr:nvSpPr>
        <xdr:cNvPr id="151" name="Line 381"/>
        <xdr:cNvSpPr>
          <a:spLocks/>
        </xdr:cNvSpPr>
      </xdr:nvSpPr>
      <xdr:spPr>
        <a:xfrm flipV="1">
          <a:off x="3790950" y="2171700"/>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13</xdr:row>
      <xdr:rowOff>28575</xdr:rowOff>
    </xdr:from>
    <xdr:to>
      <xdr:col>5</xdr:col>
      <xdr:colOff>400050</xdr:colOff>
      <xdr:row>13</xdr:row>
      <xdr:rowOff>133350</xdr:rowOff>
    </xdr:to>
    <xdr:sp>
      <xdr:nvSpPr>
        <xdr:cNvPr id="152" name="Line 382"/>
        <xdr:cNvSpPr>
          <a:spLocks/>
        </xdr:cNvSpPr>
      </xdr:nvSpPr>
      <xdr:spPr>
        <a:xfrm flipV="1">
          <a:off x="3790950" y="2171700"/>
          <a:ext cx="104775"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428625</xdr:colOff>
      <xdr:row>13</xdr:row>
      <xdr:rowOff>28575</xdr:rowOff>
    </xdr:from>
    <xdr:to>
      <xdr:col>6</xdr:col>
      <xdr:colOff>38100</xdr:colOff>
      <xdr:row>15</xdr:row>
      <xdr:rowOff>95250</xdr:rowOff>
    </xdr:to>
    <xdr:sp>
      <xdr:nvSpPr>
        <xdr:cNvPr id="153" name="Line 383"/>
        <xdr:cNvSpPr>
          <a:spLocks/>
        </xdr:cNvSpPr>
      </xdr:nvSpPr>
      <xdr:spPr>
        <a:xfrm>
          <a:off x="3924300" y="2171700"/>
          <a:ext cx="219075"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xdr:row>
      <xdr:rowOff>57150</xdr:rowOff>
    </xdr:from>
    <xdr:to>
      <xdr:col>8</xdr:col>
      <xdr:colOff>209550</xdr:colOff>
      <xdr:row>16</xdr:row>
      <xdr:rowOff>57150</xdr:rowOff>
    </xdr:to>
    <xdr:grpSp>
      <xdr:nvGrpSpPr>
        <xdr:cNvPr id="154" name="Group 468"/>
        <xdr:cNvGrpSpPr>
          <a:grpSpLocks/>
        </xdr:cNvGrpSpPr>
      </xdr:nvGrpSpPr>
      <xdr:grpSpPr>
        <a:xfrm>
          <a:off x="5534025" y="2362200"/>
          <a:ext cx="0" cy="323850"/>
          <a:chOff x="580" y="163"/>
          <a:chExt cx="0" cy="34"/>
        </a:xfrm>
        <a:solidFill>
          <a:srgbClr val="FFFFFF"/>
        </a:solidFill>
      </xdr:grpSpPr>
      <xdr:sp>
        <xdr:nvSpPr>
          <xdr:cNvPr id="155" name="Line 469"/>
          <xdr:cNvSpPr>
            <a:spLocks/>
          </xdr:cNvSpPr>
        </xdr:nvSpPr>
        <xdr:spPr>
          <a:xfrm flipV="1">
            <a:off x="580" y="163"/>
            <a:ext cx="0" cy="13"/>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sp>
        <xdr:nvSpPr>
          <xdr:cNvPr id="156" name="Line 470"/>
          <xdr:cNvSpPr>
            <a:spLocks/>
          </xdr:cNvSpPr>
        </xdr:nvSpPr>
        <xdr:spPr>
          <a:xfrm>
            <a:off x="580" y="186"/>
            <a:ext cx="0" cy="11"/>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581025</xdr:colOff>
      <xdr:row>10</xdr:row>
      <xdr:rowOff>19050</xdr:rowOff>
    </xdr:from>
    <xdr:to>
      <xdr:col>6</xdr:col>
      <xdr:colOff>571500</xdr:colOff>
      <xdr:row>10</xdr:row>
      <xdr:rowOff>76200</xdr:rowOff>
    </xdr:to>
    <xdr:sp>
      <xdr:nvSpPr>
        <xdr:cNvPr id="1" name="Rectangle 1"/>
        <xdr:cNvSpPr>
          <a:spLocks/>
        </xdr:cNvSpPr>
      </xdr:nvSpPr>
      <xdr:spPr>
        <a:xfrm>
          <a:off x="4076700" y="1676400"/>
          <a:ext cx="600075"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13</xdr:row>
      <xdr:rowOff>152400</xdr:rowOff>
    </xdr:from>
    <xdr:to>
      <xdr:col>6</xdr:col>
      <xdr:colOff>571500</xdr:colOff>
      <xdr:row>14</xdr:row>
      <xdr:rowOff>47625</xdr:rowOff>
    </xdr:to>
    <xdr:sp>
      <xdr:nvSpPr>
        <xdr:cNvPr id="2" name="Rectangle 2"/>
        <xdr:cNvSpPr>
          <a:spLocks/>
        </xdr:cNvSpPr>
      </xdr:nvSpPr>
      <xdr:spPr>
        <a:xfrm>
          <a:off x="4076700" y="2295525"/>
          <a:ext cx="600075"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10</xdr:row>
      <xdr:rowOff>76200</xdr:rowOff>
    </xdr:from>
    <xdr:to>
      <xdr:col>6</xdr:col>
      <xdr:colOff>295275</xdr:colOff>
      <xdr:row>13</xdr:row>
      <xdr:rowOff>152400</xdr:rowOff>
    </xdr:to>
    <xdr:sp>
      <xdr:nvSpPr>
        <xdr:cNvPr id="3" name="Rectangle 3"/>
        <xdr:cNvSpPr>
          <a:spLocks/>
        </xdr:cNvSpPr>
      </xdr:nvSpPr>
      <xdr:spPr>
        <a:xfrm>
          <a:off x="4362450" y="1733550"/>
          <a:ext cx="38100"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10</xdr:row>
      <xdr:rowOff>114300</xdr:rowOff>
    </xdr:from>
    <xdr:to>
      <xdr:col>6</xdr:col>
      <xdr:colOff>257175</xdr:colOff>
      <xdr:row>13</xdr:row>
      <xdr:rowOff>57150</xdr:rowOff>
    </xdr:to>
    <xdr:sp>
      <xdr:nvSpPr>
        <xdr:cNvPr id="4" name="Rectangle 4"/>
        <xdr:cNvSpPr>
          <a:spLocks/>
        </xdr:cNvSpPr>
      </xdr:nvSpPr>
      <xdr:spPr>
        <a:xfrm>
          <a:off x="4152900" y="1771650"/>
          <a:ext cx="2095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10</xdr:row>
      <xdr:rowOff>114300</xdr:rowOff>
    </xdr:from>
    <xdr:to>
      <xdr:col>6</xdr:col>
      <xdr:colOff>257175</xdr:colOff>
      <xdr:row>13</xdr:row>
      <xdr:rowOff>57150</xdr:rowOff>
    </xdr:to>
    <xdr:sp>
      <xdr:nvSpPr>
        <xdr:cNvPr id="5" name="Rectangle 5"/>
        <xdr:cNvSpPr>
          <a:spLocks/>
        </xdr:cNvSpPr>
      </xdr:nvSpPr>
      <xdr:spPr>
        <a:xfrm>
          <a:off x="4324350" y="1771650"/>
          <a:ext cx="3810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10</xdr:row>
      <xdr:rowOff>114300</xdr:rowOff>
    </xdr:from>
    <xdr:to>
      <xdr:col>6</xdr:col>
      <xdr:colOff>504825</xdr:colOff>
      <xdr:row>13</xdr:row>
      <xdr:rowOff>57150</xdr:rowOff>
    </xdr:to>
    <xdr:sp>
      <xdr:nvSpPr>
        <xdr:cNvPr id="6" name="Rectangle 6"/>
        <xdr:cNvSpPr>
          <a:spLocks/>
        </xdr:cNvSpPr>
      </xdr:nvSpPr>
      <xdr:spPr>
        <a:xfrm>
          <a:off x="4400550" y="1771650"/>
          <a:ext cx="2095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10</xdr:row>
      <xdr:rowOff>114300</xdr:rowOff>
    </xdr:from>
    <xdr:to>
      <xdr:col>6</xdr:col>
      <xdr:colOff>333375</xdr:colOff>
      <xdr:row>13</xdr:row>
      <xdr:rowOff>57150</xdr:rowOff>
    </xdr:to>
    <xdr:sp>
      <xdr:nvSpPr>
        <xdr:cNvPr id="7" name="Rectangle 7"/>
        <xdr:cNvSpPr>
          <a:spLocks/>
        </xdr:cNvSpPr>
      </xdr:nvSpPr>
      <xdr:spPr>
        <a:xfrm>
          <a:off x="4400550" y="1771650"/>
          <a:ext cx="3810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9</xdr:row>
      <xdr:rowOff>142875</xdr:rowOff>
    </xdr:from>
    <xdr:to>
      <xdr:col>8</xdr:col>
      <xdr:colOff>95250</xdr:colOff>
      <xdr:row>11</xdr:row>
      <xdr:rowOff>142875</xdr:rowOff>
    </xdr:to>
    <xdr:sp>
      <xdr:nvSpPr>
        <xdr:cNvPr id="8" name="Line 14"/>
        <xdr:cNvSpPr>
          <a:spLocks/>
        </xdr:cNvSpPr>
      </xdr:nvSpPr>
      <xdr:spPr>
        <a:xfrm>
          <a:off x="5419725" y="163830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12</xdr:row>
      <xdr:rowOff>85725</xdr:rowOff>
    </xdr:from>
    <xdr:to>
      <xdr:col>8</xdr:col>
      <xdr:colOff>95250</xdr:colOff>
      <xdr:row>14</xdr:row>
      <xdr:rowOff>133350</xdr:rowOff>
    </xdr:to>
    <xdr:sp>
      <xdr:nvSpPr>
        <xdr:cNvPr id="9" name="Line 15"/>
        <xdr:cNvSpPr>
          <a:spLocks/>
        </xdr:cNvSpPr>
      </xdr:nvSpPr>
      <xdr:spPr>
        <a:xfrm>
          <a:off x="5419725" y="2066925"/>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11</xdr:row>
      <xdr:rowOff>142875</xdr:rowOff>
    </xdr:from>
    <xdr:to>
      <xdr:col>8</xdr:col>
      <xdr:colOff>95250</xdr:colOff>
      <xdr:row>11</xdr:row>
      <xdr:rowOff>142875</xdr:rowOff>
    </xdr:to>
    <xdr:sp>
      <xdr:nvSpPr>
        <xdr:cNvPr id="10" name="Line 16"/>
        <xdr:cNvSpPr>
          <a:spLocks/>
        </xdr:cNvSpPr>
      </xdr:nvSpPr>
      <xdr:spPr>
        <a:xfrm flipH="1">
          <a:off x="5362575" y="196215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12</xdr:row>
      <xdr:rowOff>85725</xdr:rowOff>
    </xdr:from>
    <xdr:to>
      <xdr:col>8</xdr:col>
      <xdr:colOff>152400</xdr:colOff>
      <xdr:row>12</xdr:row>
      <xdr:rowOff>85725</xdr:rowOff>
    </xdr:to>
    <xdr:sp>
      <xdr:nvSpPr>
        <xdr:cNvPr id="11" name="Line 17"/>
        <xdr:cNvSpPr>
          <a:spLocks/>
        </xdr:cNvSpPr>
      </xdr:nvSpPr>
      <xdr:spPr>
        <a:xfrm>
          <a:off x="5419725" y="2066925"/>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11</xdr:row>
      <xdr:rowOff>142875</xdr:rowOff>
    </xdr:from>
    <xdr:to>
      <xdr:col>8</xdr:col>
      <xdr:colOff>152400</xdr:colOff>
      <xdr:row>12</xdr:row>
      <xdr:rowOff>85725</xdr:rowOff>
    </xdr:to>
    <xdr:sp>
      <xdr:nvSpPr>
        <xdr:cNvPr id="12" name="Line 18"/>
        <xdr:cNvSpPr>
          <a:spLocks/>
        </xdr:cNvSpPr>
      </xdr:nvSpPr>
      <xdr:spPr>
        <a:xfrm>
          <a:off x="5362575" y="1962150"/>
          <a:ext cx="11430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10</xdr:row>
      <xdr:rowOff>114300</xdr:rowOff>
    </xdr:from>
    <xdr:to>
      <xdr:col>7</xdr:col>
      <xdr:colOff>361950</xdr:colOff>
      <xdr:row>13</xdr:row>
      <xdr:rowOff>57150</xdr:rowOff>
    </xdr:to>
    <xdr:sp>
      <xdr:nvSpPr>
        <xdr:cNvPr id="13" name="Rectangle 19"/>
        <xdr:cNvSpPr>
          <a:spLocks/>
        </xdr:cNvSpPr>
      </xdr:nvSpPr>
      <xdr:spPr>
        <a:xfrm>
          <a:off x="4867275" y="1771650"/>
          <a:ext cx="2095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10</xdr:row>
      <xdr:rowOff>114300</xdr:rowOff>
    </xdr:from>
    <xdr:to>
      <xdr:col>7</xdr:col>
      <xdr:colOff>190500</xdr:colOff>
      <xdr:row>13</xdr:row>
      <xdr:rowOff>57150</xdr:rowOff>
    </xdr:to>
    <xdr:sp>
      <xdr:nvSpPr>
        <xdr:cNvPr id="14" name="Rectangle 20"/>
        <xdr:cNvSpPr>
          <a:spLocks/>
        </xdr:cNvSpPr>
      </xdr:nvSpPr>
      <xdr:spPr>
        <a:xfrm>
          <a:off x="4867275" y="1771650"/>
          <a:ext cx="3810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xdr:row>
      <xdr:rowOff>114300</xdr:rowOff>
    </xdr:from>
    <xdr:to>
      <xdr:col>7</xdr:col>
      <xdr:colOff>209550</xdr:colOff>
      <xdr:row>13</xdr:row>
      <xdr:rowOff>57150</xdr:rowOff>
    </xdr:to>
    <xdr:sp>
      <xdr:nvSpPr>
        <xdr:cNvPr id="15" name="Line 21"/>
        <xdr:cNvSpPr>
          <a:spLocks/>
        </xdr:cNvSpPr>
      </xdr:nvSpPr>
      <xdr:spPr>
        <a:xfrm>
          <a:off x="4924425" y="1771650"/>
          <a:ext cx="0" cy="4286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xdr:row>
      <xdr:rowOff>76200</xdr:rowOff>
    </xdr:from>
    <xdr:to>
      <xdr:col>7</xdr:col>
      <xdr:colOff>209550</xdr:colOff>
      <xdr:row>10</xdr:row>
      <xdr:rowOff>114300</xdr:rowOff>
    </xdr:to>
    <xdr:sp>
      <xdr:nvSpPr>
        <xdr:cNvPr id="16" name="Line 22"/>
        <xdr:cNvSpPr>
          <a:spLocks/>
        </xdr:cNvSpPr>
      </xdr:nvSpPr>
      <xdr:spPr>
        <a:xfrm>
          <a:off x="4924425" y="1733550"/>
          <a:ext cx="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13</xdr:row>
      <xdr:rowOff>57150</xdr:rowOff>
    </xdr:from>
    <xdr:to>
      <xdr:col>7</xdr:col>
      <xdr:colOff>209550</xdr:colOff>
      <xdr:row>13</xdr:row>
      <xdr:rowOff>152400</xdr:rowOff>
    </xdr:to>
    <xdr:sp>
      <xdr:nvSpPr>
        <xdr:cNvPr id="17" name="Line 23"/>
        <xdr:cNvSpPr>
          <a:spLocks/>
        </xdr:cNvSpPr>
      </xdr:nvSpPr>
      <xdr:spPr>
        <a:xfrm>
          <a:off x="4924425" y="2200275"/>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10</xdr:row>
      <xdr:rowOff>76200</xdr:rowOff>
    </xdr:from>
    <xdr:to>
      <xdr:col>6</xdr:col>
      <xdr:colOff>295275</xdr:colOff>
      <xdr:row>10</xdr:row>
      <xdr:rowOff>76200</xdr:rowOff>
    </xdr:to>
    <xdr:sp>
      <xdr:nvSpPr>
        <xdr:cNvPr id="18" name="Line 30"/>
        <xdr:cNvSpPr>
          <a:spLocks/>
        </xdr:cNvSpPr>
      </xdr:nvSpPr>
      <xdr:spPr>
        <a:xfrm>
          <a:off x="4362450" y="1733550"/>
          <a:ext cx="3810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13</xdr:row>
      <xdr:rowOff>152400</xdr:rowOff>
    </xdr:from>
    <xdr:to>
      <xdr:col>6</xdr:col>
      <xdr:colOff>295275</xdr:colOff>
      <xdr:row>13</xdr:row>
      <xdr:rowOff>152400</xdr:rowOff>
    </xdr:to>
    <xdr:sp>
      <xdr:nvSpPr>
        <xdr:cNvPr id="19" name="Line 31"/>
        <xdr:cNvSpPr>
          <a:spLocks/>
        </xdr:cNvSpPr>
      </xdr:nvSpPr>
      <xdr:spPr>
        <a:xfrm>
          <a:off x="4362450" y="2295525"/>
          <a:ext cx="3810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10</xdr:row>
      <xdr:rowOff>114300</xdr:rowOff>
    </xdr:from>
    <xdr:to>
      <xdr:col>5</xdr:col>
      <xdr:colOff>523875</xdr:colOff>
      <xdr:row>13</xdr:row>
      <xdr:rowOff>47625</xdr:rowOff>
    </xdr:to>
    <xdr:sp>
      <xdr:nvSpPr>
        <xdr:cNvPr id="20" name="Line 37"/>
        <xdr:cNvSpPr>
          <a:spLocks/>
        </xdr:cNvSpPr>
      </xdr:nvSpPr>
      <xdr:spPr>
        <a:xfrm>
          <a:off x="4019550" y="1771650"/>
          <a:ext cx="0" cy="4191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13</xdr:row>
      <xdr:rowOff>85725</xdr:rowOff>
    </xdr:from>
    <xdr:to>
      <xdr:col>6</xdr:col>
      <xdr:colOff>47625</xdr:colOff>
      <xdr:row>15</xdr:row>
      <xdr:rowOff>47625</xdr:rowOff>
    </xdr:to>
    <xdr:sp>
      <xdr:nvSpPr>
        <xdr:cNvPr id="21" name="Line 38"/>
        <xdr:cNvSpPr>
          <a:spLocks/>
        </xdr:cNvSpPr>
      </xdr:nvSpPr>
      <xdr:spPr>
        <a:xfrm>
          <a:off x="4152900" y="2228850"/>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14</xdr:row>
      <xdr:rowOff>9525</xdr:rowOff>
    </xdr:from>
    <xdr:to>
      <xdr:col>6</xdr:col>
      <xdr:colOff>257175</xdr:colOff>
      <xdr:row>15</xdr:row>
      <xdr:rowOff>47625</xdr:rowOff>
    </xdr:to>
    <xdr:sp>
      <xdr:nvSpPr>
        <xdr:cNvPr id="22" name="Line 39"/>
        <xdr:cNvSpPr>
          <a:spLocks/>
        </xdr:cNvSpPr>
      </xdr:nvSpPr>
      <xdr:spPr>
        <a:xfrm>
          <a:off x="4362450" y="2314575"/>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15</xdr:row>
      <xdr:rowOff>0</xdr:rowOff>
    </xdr:from>
    <xdr:to>
      <xdr:col>6</xdr:col>
      <xdr:colOff>257175</xdr:colOff>
      <xdr:row>15</xdr:row>
      <xdr:rowOff>0</xdr:rowOff>
    </xdr:to>
    <xdr:sp>
      <xdr:nvSpPr>
        <xdr:cNvPr id="23" name="Line 40"/>
        <xdr:cNvSpPr>
          <a:spLocks/>
        </xdr:cNvSpPr>
      </xdr:nvSpPr>
      <xdr:spPr>
        <a:xfrm>
          <a:off x="4152900" y="2466975"/>
          <a:ext cx="2095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171450</xdr:colOff>
      <xdr:row>15</xdr:row>
      <xdr:rowOff>0</xdr:rowOff>
    </xdr:from>
    <xdr:to>
      <xdr:col>6</xdr:col>
      <xdr:colOff>47625</xdr:colOff>
      <xdr:row>15</xdr:row>
      <xdr:rowOff>0</xdr:rowOff>
    </xdr:to>
    <xdr:sp>
      <xdr:nvSpPr>
        <xdr:cNvPr id="24" name="Line 41"/>
        <xdr:cNvSpPr>
          <a:spLocks/>
        </xdr:cNvSpPr>
      </xdr:nvSpPr>
      <xdr:spPr>
        <a:xfrm flipH="1">
          <a:off x="3667125" y="2466975"/>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6</xdr:row>
      <xdr:rowOff>28575</xdr:rowOff>
    </xdr:from>
    <xdr:to>
      <xdr:col>7</xdr:col>
      <xdr:colOff>152400</xdr:colOff>
      <xdr:row>10</xdr:row>
      <xdr:rowOff>85725</xdr:rowOff>
    </xdr:to>
    <xdr:sp>
      <xdr:nvSpPr>
        <xdr:cNvPr id="25" name="Line 44"/>
        <xdr:cNvSpPr>
          <a:spLocks/>
        </xdr:cNvSpPr>
      </xdr:nvSpPr>
      <xdr:spPr>
        <a:xfrm flipV="1">
          <a:off x="4867275" y="1038225"/>
          <a:ext cx="0" cy="704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190500</xdr:colOff>
      <xdr:row>7</xdr:row>
      <xdr:rowOff>114300</xdr:rowOff>
    </xdr:from>
    <xdr:to>
      <xdr:col>7</xdr:col>
      <xdr:colOff>190500</xdr:colOff>
      <xdr:row>10</xdr:row>
      <xdr:rowOff>85725</xdr:rowOff>
    </xdr:to>
    <xdr:sp>
      <xdr:nvSpPr>
        <xdr:cNvPr id="26" name="Line 45"/>
        <xdr:cNvSpPr>
          <a:spLocks/>
        </xdr:cNvSpPr>
      </xdr:nvSpPr>
      <xdr:spPr>
        <a:xfrm flipV="1">
          <a:off x="4905375" y="128587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7</xdr:row>
      <xdr:rowOff>152400</xdr:rowOff>
    </xdr:from>
    <xdr:to>
      <xdr:col>7</xdr:col>
      <xdr:colOff>152400</xdr:colOff>
      <xdr:row>7</xdr:row>
      <xdr:rowOff>152400</xdr:rowOff>
    </xdr:to>
    <xdr:sp>
      <xdr:nvSpPr>
        <xdr:cNvPr id="27" name="Line 46"/>
        <xdr:cNvSpPr>
          <a:spLocks/>
        </xdr:cNvSpPr>
      </xdr:nvSpPr>
      <xdr:spPr>
        <a:xfrm>
          <a:off x="4733925" y="1323975"/>
          <a:ext cx="1333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190500</xdr:colOff>
      <xdr:row>7</xdr:row>
      <xdr:rowOff>152400</xdr:rowOff>
    </xdr:from>
    <xdr:to>
      <xdr:col>7</xdr:col>
      <xdr:colOff>323850</xdr:colOff>
      <xdr:row>7</xdr:row>
      <xdr:rowOff>152400</xdr:rowOff>
    </xdr:to>
    <xdr:sp>
      <xdr:nvSpPr>
        <xdr:cNvPr id="28" name="Line 47"/>
        <xdr:cNvSpPr>
          <a:spLocks/>
        </xdr:cNvSpPr>
      </xdr:nvSpPr>
      <xdr:spPr>
        <a:xfrm flipH="1">
          <a:off x="4905375" y="1323975"/>
          <a:ext cx="1333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7</xdr:row>
      <xdr:rowOff>152400</xdr:rowOff>
    </xdr:from>
    <xdr:to>
      <xdr:col>7</xdr:col>
      <xdr:colOff>190500</xdr:colOff>
      <xdr:row>7</xdr:row>
      <xdr:rowOff>152400</xdr:rowOff>
    </xdr:to>
    <xdr:sp>
      <xdr:nvSpPr>
        <xdr:cNvPr id="29" name="Line 48"/>
        <xdr:cNvSpPr>
          <a:spLocks/>
        </xdr:cNvSpPr>
      </xdr:nvSpPr>
      <xdr:spPr>
        <a:xfrm>
          <a:off x="4867275" y="1323975"/>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21</xdr:row>
      <xdr:rowOff>38100</xdr:rowOff>
    </xdr:from>
    <xdr:to>
      <xdr:col>6</xdr:col>
      <xdr:colOff>533400</xdr:colOff>
      <xdr:row>21</xdr:row>
      <xdr:rowOff>38100</xdr:rowOff>
    </xdr:to>
    <xdr:sp>
      <xdr:nvSpPr>
        <xdr:cNvPr id="30" name="Line 49"/>
        <xdr:cNvSpPr>
          <a:spLocks/>
        </xdr:cNvSpPr>
      </xdr:nvSpPr>
      <xdr:spPr>
        <a:xfrm flipH="1">
          <a:off x="4400550" y="3476625"/>
          <a:ext cx="2381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21</xdr:row>
      <xdr:rowOff>38100</xdr:rowOff>
    </xdr:from>
    <xdr:to>
      <xdr:col>6</xdr:col>
      <xdr:colOff>295275</xdr:colOff>
      <xdr:row>21</xdr:row>
      <xdr:rowOff>38100</xdr:rowOff>
    </xdr:to>
    <xdr:sp>
      <xdr:nvSpPr>
        <xdr:cNvPr id="31" name="Line 50"/>
        <xdr:cNvSpPr>
          <a:spLocks/>
        </xdr:cNvSpPr>
      </xdr:nvSpPr>
      <xdr:spPr>
        <a:xfrm>
          <a:off x="4362450" y="3476625"/>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xdr:row>
      <xdr:rowOff>19050</xdr:rowOff>
    </xdr:from>
    <xdr:to>
      <xdr:col>8</xdr:col>
      <xdr:colOff>95250</xdr:colOff>
      <xdr:row>10</xdr:row>
      <xdr:rowOff>76200</xdr:rowOff>
    </xdr:to>
    <xdr:sp>
      <xdr:nvSpPr>
        <xdr:cNvPr id="32" name="Rectangle 51"/>
        <xdr:cNvSpPr>
          <a:spLocks/>
        </xdr:cNvSpPr>
      </xdr:nvSpPr>
      <xdr:spPr>
        <a:xfrm>
          <a:off x="4924425" y="1676400"/>
          <a:ext cx="495300"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13</xdr:row>
      <xdr:rowOff>152400</xdr:rowOff>
    </xdr:from>
    <xdr:to>
      <xdr:col>8</xdr:col>
      <xdr:colOff>95250</xdr:colOff>
      <xdr:row>14</xdr:row>
      <xdr:rowOff>47625</xdr:rowOff>
    </xdr:to>
    <xdr:sp>
      <xdr:nvSpPr>
        <xdr:cNvPr id="33" name="Rectangle 52"/>
        <xdr:cNvSpPr>
          <a:spLocks/>
        </xdr:cNvSpPr>
      </xdr:nvSpPr>
      <xdr:spPr>
        <a:xfrm>
          <a:off x="4924425" y="2295525"/>
          <a:ext cx="495300"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10</xdr:row>
      <xdr:rowOff>19050</xdr:rowOff>
    </xdr:from>
    <xdr:to>
      <xdr:col>8</xdr:col>
      <xdr:colOff>247650</xdr:colOff>
      <xdr:row>10</xdr:row>
      <xdr:rowOff>19050</xdr:rowOff>
    </xdr:to>
    <xdr:sp>
      <xdr:nvSpPr>
        <xdr:cNvPr id="34" name="Line 53"/>
        <xdr:cNvSpPr>
          <a:spLocks/>
        </xdr:cNvSpPr>
      </xdr:nvSpPr>
      <xdr:spPr>
        <a:xfrm>
          <a:off x="5448300" y="1676400"/>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447675</xdr:colOff>
      <xdr:row>11</xdr:row>
      <xdr:rowOff>76200</xdr:rowOff>
    </xdr:from>
    <xdr:to>
      <xdr:col>7</xdr:col>
      <xdr:colOff>447675</xdr:colOff>
      <xdr:row>13</xdr:row>
      <xdr:rowOff>85725</xdr:rowOff>
    </xdr:to>
    <xdr:sp>
      <xdr:nvSpPr>
        <xdr:cNvPr id="35" name="Line 54"/>
        <xdr:cNvSpPr>
          <a:spLocks/>
        </xdr:cNvSpPr>
      </xdr:nvSpPr>
      <xdr:spPr>
        <a:xfrm>
          <a:off x="5162550" y="1895475"/>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10</xdr:row>
      <xdr:rowOff>114300</xdr:rowOff>
    </xdr:from>
    <xdr:to>
      <xdr:col>8</xdr:col>
      <xdr:colOff>257175</xdr:colOff>
      <xdr:row>10</xdr:row>
      <xdr:rowOff>114300</xdr:rowOff>
    </xdr:to>
    <xdr:sp>
      <xdr:nvSpPr>
        <xdr:cNvPr id="36" name="Line 55"/>
        <xdr:cNvSpPr>
          <a:spLocks/>
        </xdr:cNvSpPr>
      </xdr:nvSpPr>
      <xdr:spPr>
        <a:xfrm>
          <a:off x="5114925" y="177165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xdr:row>
      <xdr:rowOff>104775</xdr:rowOff>
    </xdr:from>
    <xdr:to>
      <xdr:col>7</xdr:col>
      <xdr:colOff>371475</xdr:colOff>
      <xdr:row>13</xdr:row>
      <xdr:rowOff>57150</xdr:rowOff>
    </xdr:to>
    <xdr:grpSp>
      <xdr:nvGrpSpPr>
        <xdr:cNvPr id="37" name="Group 292"/>
        <xdr:cNvGrpSpPr>
          <a:grpSpLocks/>
        </xdr:cNvGrpSpPr>
      </xdr:nvGrpSpPr>
      <xdr:grpSpPr>
        <a:xfrm>
          <a:off x="4924425" y="1762125"/>
          <a:ext cx="161925" cy="438150"/>
          <a:chOff x="517" y="185"/>
          <a:chExt cx="17" cy="46"/>
        </a:xfrm>
        <a:solidFill>
          <a:srgbClr val="FFFFFF"/>
        </a:solidFill>
      </xdr:grpSpPr>
      <xdr:sp>
        <xdr:nvSpPr>
          <xdr:cNvPr id="38" name="Line 57"/>
          <xdr:cNvSpPr>
            <a:spLocks/>
          </xdr:cNvSpPr>
        </xdr:nvSpPr>
        <xdr:spPr>
          <a:xfrm>
            <a:off x="517" y="186"/>
            <a:ext cx="17"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Line 58"/>
          <xdr:cNvSpPr>
            <a:spLocks/>
          </xdr:cNvSpPr>
        </xdr:nvSpPr>
        <xdr:spPr>
          <a:xfrm>
            <a:off x="517" y="231"/>
            <a:ext cx="17"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Line 59"/>
          <xdr:cNvSpPr>
            <a:spLocks/>
          </xdr:cNvSpPr>
        </xdr:nvSpPr>
        <xdr:spPr>
          <a:xfrm>
            <a:off x="533" y="185"/>
            <a:ext cx="0" cy="46"/>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152400</xdr:colOff>
      <xdr:row>13</xdr:row>
      <xdr:rowOff>85725</xdr:rowOff>
    </xdr:from>
    <xdr:to>
      <xdr:col>7</xdr:col>
      <xdr:colOff>152400</xdr:colOff>
      <xdr:row>16</xdr:row>
      <xdr:rowOff>142875</xdr:rowOff>
    </xdr:to>
    <xdr:sp>
      <xdr:nvSpPr>
        <xdr:cNvPr id="41" name="Line 60"/>
        <xdr:cNvSpPr>
          <a:spLocks/>
        </xdr:cNvSpPr>
      </xdr:nvSpPr>
      <xdr:spPr>
        <a:xfrm>
          <a:off x="4867275" y="2228850"/>
          <a:ext cx="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xdr:row>
      <xdr:rowOff>76200</xdr:rowOff>
    </xdr:from>
    <xdr:to>
      <xdr:col>7</xdr:col>
      <xdr:colOff>209550</xdr:colOff>
      <xdr:row>15</xdr:row>
      <xdr:rowOff>57150</xdr:rowOff>
    </xdr:to>
    <xdr:sp>
      <xdr:nvSpPr>
        <xdr:cNvPr id="42" name="Line 61"/>
        <xdr:cNvSpPr>
          <a:spLocks/>
        </xdr:cNvSpPr>
      </xdr:nvSpPr>
      <xdr:spPr>
        <a:xfrm>
          <a:off x="4924425" y="238125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15</xdr:row>
      <xdr:rowOff>0</xdr:rowOff>
    </xdr:from>
    <xdr:to>
      <xdr:col>7</xdr:col>
      <xdr:colOff>152400</xdr:colOff>
      <xdr:row>15</xdr:row>
      <xdr:rowOff>0</xdr:rowOff>
    </xdr:to>
    <xdr:sp>
      <xdr:nvSpPr>
        <xdr:cNvPr id="43" name="Line 62"/>
        <xdr:cNvSpPr>
          <a:spLocks/>
        </xdr:cNvSpPr>
      </xdr:nvSpPr>
      <xdr:spPr>
        <a:xfrm>
          <a:off x="4733925" y="2466975"/>
          <a:ext cx="1333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15</xdr:row>
      <xdr:rowOff>0</xdr:rowOff>
    </xdr:from>
    <xdr:to>
      <xdr:col>7</xdr:col>
      <xdr:colOff>209550</xdr:colOff>
      <xdr:row>15</xdr:row>
      <xdr:rowOff>0</xdr:rowOff>
    </xdr:to>
    <xdr:sp>
      <xdr:nvSpPr>
        <xdr:cNvPr id="44" name="Line 63"/>
        <xdr:cNvSpPr>
          <a:spLocks/>
        </xdr:cNvSpPr>
      </xdr:nvSpPr>
      <xdr:spPr>
        <a:xfrm>
          <a:off x="4867275" y="2466975"/>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xdr:row>
      <xdr:rowOff>0</xdr:rowOff>
    </xdr:from>
    <xdr:to>
      <xdr:col>7</xdr:col>
      <xdr:colOff>342900</xdr:colOff>
      <xdr:row>15</xdr:row>
      <xdr:rowOff>0</xdr:rowOff>
    </xdr:to>
    <xdr:sp>
      <xdr:nvSpPr>
        <xdr:cNvPr id="45" name="Line 64"/>
        <xdr:cNvSpPr>
          <a:spLocks/>
        </xdr:cNvSpPr>
      </xdr:nvSpPr>
      <xdr:spPr>
        <a:xfrm flipH="1">
          <a:off x="4924425" y="2466975"/>
          <a:ext cx="1333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361950</xdr:colOff>
      <xdr:row>13</xdr:row>
      <xdr:rowOff>95250</xdr:rowOff>
    </xdr:from>
    <xdr:to>
      <xdr:col>7</xdr:col>
      <xdr:colOff>361950</xdr:colOff>
      <xdr:row>14</xdr:row>
      <xdr:rowOff>114300</xdr:rowOff>
    </xdr:to>
    <xdr:sp>
      <xdr:nvSpPr>
        <xdr:cNvPr id="46" name="Line 65"/>
        <xdr:cNvSpPr>
          <a:spLocks/>
        </xdr:cNvSpPr>
      </xdr:nvSpPr>
      <xdr:spPr>
        <a:xfrm>
          <a:off x="5076825" y="223837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361950</xdr:colOff>
      <xdr:row>16</xdr:row>
      <xdr:rowOff>0</xdr:rowOff>
    </xdr:from>
    <xdr:to>
      <xdr:col>7</xdr:col>
      <xdr:colOff>361950</xdr:colOff>
      <xdr:row>16</xdr:row>
      <xdr:rowOff>142875</xdr:rowOff>
    </xdr:to>
    <xdr:sp>
      <xdr:nvSpPr>
        <xdr:cNvPr id="47" name="Line 66"/>
        <xdr:cNvSpPr>
          <a:spLocks/>
        </xdr:cNvSpPr>
      </xdr:nvSpPr>
      <xdr:spPr>
        <a:xfrm>
          <a:off x="5076825" y="262890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16</xdr:row>
      <xdr:rowOff>95250</xdr:rowOff>
    </xdr:from>
    <xdr:to>
      <xdr:col>7</xdr:col>
      <xdr:colOff>361950</xdr:colOff>
      <xdr:row>16</xdr:row>
      <xdr:rowOff>95250</xdr:rowOff>
    </xdr:to>
    <xdr:sp>
      <xdr:nvSpPr>
        <xdr:cNvPr id="48" name="Line 67"/>
        <xdr:cNvSpPr>
          <a:spLocks/>
        </xdr:cNvSpPr>
      </xdr:nvSpPr>
      <xdr:spPr>
        <a:xfrm>
          <a:off x="4867275" y="2724150"/>
          <a:ext cx="2095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371475</xdr:colOff>
      <xdr:row>8</xdr:row>
      <xdr:rowOff>28575</xdr:rowOff>
    </xdr:from>
    <xdr:to>
      <xdr:col>7</xdr:col>
      <xdr:colOff>600075</xdr:colOff>
      <xdr:row>10</xdr:row>
      <xdr:rowOff>104775</xdr:rowOff>
    </xdr:to>
    <xdr:sp>
      <xdr:nvSpPr>
        <xdr:cNvPr id="49" name="Line 68"/>
        <xdr:cNvSpPr>
          <a:spLocks/>
        </xdr:cNvSpPr>
      </xdr:nvSpPr>
      <xdr:spPr>
        <a:xfrm flipH="1">
          <a:off x="5086350" y="1362075"/>
          <a:ext cx="22860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xdr:row>
      <xdr:rowOff>28575</xdr:rowOff>
    </xdr:from>
    <xdr:to>
      <xdr:col>8</xdr:col>
      <xdr:colOff>800100</xdr:colOff>
      <xdr:row>8</xdr:row>
      <xdr:rowOff>28575</xdr:rowOff>
    </xdr:to>
    <xdr:sp>
      <xdr:nvSpPr>
        <xdr:cNvPr id="50" name="Line 69"/>
        <xdr:cNvSpPr>
          <a:spLocks/>
        </xdr:cNvSpPr>
      </xdr:nvSpPr>
      <xdr:spPr>
        <a:xfrm>
          <a:off x="5324475" y="1362075"/>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657225</xdr:colOff>
      <xdr:row>8</xdr:row>
      <xdr:rowOff>28575</xdr:rowOff>
    </xdr:from>
    <xdr:to>
      <xdr:col>8</xdr:col>
      <xdr:colOff>657225</xdr:colOff>
      <xdr:row>8</xdr:row>
      <xdr:rowOff>133350</xdr:rowOff>
    </xdr:to>
    <xdr:sp>
      <xdr:nvSpPr>
        <xdr:cNvPr id="51" name="Line 70"/>
        <xdr:cNvSpPr>
          <a:spLocks/>
        </xdr:cNvSpPr>
      </xdr:nvSpPr>
      <xdr:spPr>
        <a:xfrm>
          <a:off x="5981700" y="136207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657225</xdr:colOff>
      <xdr:row>8</xdr:row>
      <xdr:rowOff>28575</xdr:rowOff>
    </xdr:from>
    <xdr:to>
      <xdr:col>8</xdr:col>
      <xdr:colOff>762000</xdr:colOff>
      <xdr:row>8</xdr:row>
      <xdr:rowOff>133350</xdr:rowOff>
    </xdr:to>
    <xdr:sp>
      <xdr:nvSpPr>
        <xdr:cNvPr id="52" name="Line 71"/>
        <xdr:cNvSpPr>
          <a:spLocks/>
        </xdr:cNvSpPr>
      </xdr:nvSpPr>
      <xdr:spPr>
        <a:xfrm flipV="1">
          <a:off x="5981700" y="1362075"/>
          <a:ext cx="104775"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12</xdr:row>
      <xdr:rowOff>0</xdr:rowOff>
    </xdr:from>
    <xdr:to>
      <xdr:col>8</xdr:col>
      <xdr:colOff>371475</xdr:colOff>
      <xdr:row>12</xdr:row>
      <xdr:rowOff>0</xdr:rowOff>
    </xdr:to>
    <xdr:sp>
      <xdr:nvSpPr>
        <xdr:cNvPr id="53" name="Line 72"/>
        <xdr:cNvSpPr>
          <a:spLocks/>
        </xdr:cNvSpPr>
      </xdr:nvSpPr>
      <xdr:spPr>
        <a:xfrm>
          <a:off x="5448300" y="19812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22</xdr:row>
      <xdr:rowOff>19050</xdr:rowOff>
    </xdr:from>
    <xdr:to>
      <xdr:col>6</xdr:col>
      <xdr:colOff>571500</xdr:colOff>
      <xdr:row>22</xdr:row>
      <xdr:rowOff>76200</xdr:rowOff>
    </xdr:to>
    <xdr:sp>
      <xdr:nvSpPr>
        <xdr:cNvPr id="54" name="Rectangle 73"/>
        <xdr:cNvSpPr>
          <a:spLocks/>
        </xdr:cNvSpPr>
      </xdr:nvSpPr>
      <xdr:spPr>
        <a:xfrm>
          <a:off x="4076700" y="3619500"/>
          <a:ext cx="600075"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25</xdr:row>
      <xdr:rowOff>152400</xdr:rowOff>
    </xdr:from>
    <xdr:to>
      <xdr:col>6</xdr:col>
      <xdr:colOff>571500</xdr:colOff>
      <xdr:row>26</xdr:row>
      <xdr:rowOff>47625</xdr:rowOff>
    </xdr:to>
    <xdr:sp>
      <xdr:nvSpPr>
        <xdr:cNvPr id="55" name="Rectangle 74"/>
        <xdr:cNvSpPr>
          <a:spLocks/>
        </xdr:cNvSpPr>
      </xdr:nvSpPr>
      <xdr:spPr>
        <a:xfrm>
          <a:off x="4076700" y="4238625"/>
          <a:ext cx="600075"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22</xdr:row>
      <xdr:rowOff>76200</xdr:rowOff>
    </xdr:from>
    <xdr:to>
      <xdr:col>6</xdr:col>
      <xdr:colOff>295275</xdr:colOff>
      <xdr:row>25</xdr:row>
      <xdr:rowOff>152400</xdr:rowOff>
    </xdr:to>
    <xdr:sp>
      <xdr:nvSpPr>
        <xdr:cNvPr id="56" name="Rectangle 75"/>
        <xdr:cNvSpPr>
          <a:spLocks/>
        </xdr:cNvSpPr>
      </xdr:nvSpPr>
      <xdr:spPr>
        <a:xfrm>
          <a:off x="4362450" y="3676650"/>
          <a:ext cx="38100"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22</xdr:row>
      <xdr:rowOff>114300</xdr:rowOff>
    </xdr:from>
    <xdr:to>
      <xdr:col>6</xdr:col>
      <xdr:colOff>257175</xdr:colOff>
      <xdr:row>25</xdr:row>
      <xdr:rowOff>57150</xdr:rowOff>
    </xdr:to>
    <xdr:sp>
      <xdr:nvSpPr>
        <xdr:cNvPr id="57" name="Rectangle 76"/>
        <xdr:cNvSpPr>
          <a:spLocks/>
        </xdr:cNvSpPr>
      </xdr:nvSpPr>
      <xdr:spPr>
        <a:xfrm>
          <a:off x="4152900" y="3714750"/>
          <a:ext cx="2095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22</xdr:row>
      <xdr:rowOff>114300</xdr:rowOff>
    </xdr:from>
    <xdr:to>
      <xdr:col>6</xdr:col>
      <xdr:colOff>257175</xdr:colOff>
      <xdr:row>25</xdr:row>
      <xdr:rowOff>57150</xdr:rowOff>
    </xdr:to>
    <xdr:sp>
      <xdr:nvSpPr>
        <xdr:cNvPr id="58" name="Rectangle 77"/>
        <xdr:cNvSpPr>
          <a:spLocks/>
        </xdr:cNvSpPr>
      </xdr:nvSpPr>
      <xdr:spPr>
        <a:xfrm>
          <a:off x="4324350" y="3714750"/>
          <a:ext cx="3810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22</xdr:row>
      <xdr:rowOff>114300</xdr:rowOff>
    </xdr:from>
    <xdr:to>
      <xdr:col>6</xdr:col>
      <xdr:colOff>504825</xdr:colOff>
      <xdr:row>25</xdr:row>
      <xdr:rowOff>57150</xdr:rowOff>
    </xdr:to>
    <xdr:sp>
      <xdr:nvSpPr>
        <xdr:cNvPr id="59" name="Rectangle 78"/>
        <xdr:cNvSpPr>
          <a:spLocks/>
        </xdr:cNvSpPr>
      </xdr:nvSpPr>
      <xdr:spPr>
        <a:xfrm>
          <a:off x="4400550" y="3714750"/>
          <a:ext cx="2095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22</xdr:row>
      <xdr:rowOff>114300</xdr:rowOff>
    </xdr:from>
    <xdr:to>
      <xdr:col>6</xdr:col>
      <xdr:colOff>333375</xdr:colOff>
      <xdr:row>25</xdr:row>
      <xdr:rowOff>57150</xdr:rowOff>
    </xdr:to>
    <xdr:sp>
      <xdr:nvSpPr>
        <xdr:cNvPr id="60" name="Rectangle 79"/>
        <xdr:cNvSpPr>
          <a:spLocks/>
        </xdr:cNvSpPr>
      </xdr:nvSpPr>
      <xdr:spPr>
        <a:xfrm>
          <a:off x="4400550" y="3714750"/>
          <a:ext cx="3810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21</xdr:row>
      <xdr:rowOff>142875</xdr:rowOff>
    </xdr:from>
    <xdr:to>
      <xdr:col>8</xdr:col>
      <xdr:colOff>95250</xdr:colOff>
      <xdr:row>23</xdr:row>
      <xdr:rowOff>142875</xdr:rowOff>
    </xdr:to>
    <xdr:sp>
      <xdr:nvSpPr>
        <xdr:cNvPr id="61" name="Line 86"/>
        <xdr:cNvSpPr>
          <a:spLocks/>
        </xdr:cNvSpPr>
      </xdr:nvSpPr>
      <xdr:spPr>
        <a:xfrm>
          <a:off x="5419725" y="358140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24</xdr:row>
      <xdr:rowOff>85725</xdr:rowOff>
    </xdr:from>
    <xdr:to>
      <xdr:col>8</xdr:col>
      <xdr:colOff>95250</xdr:colOff>
      <xdr:row>26</xdr:row>
      <xdr:rowOff>133350</xdr:rowOff>
    </xdr:to>
    <xdr:sp>
      <xdr:nvSpPr>
        <xdr:cNvPr id="62" name="Line 87"/>
        <xdr:cNvSpPr>
          <a:spLocks/>
        </xdr:cNvSpPr>
      </xdr:nvSpPr>
      <xdr:spPr>
        <a:xfrm>
          <a:off x="5419725" y="4010025"/>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23</xdr:row>
      <xdr:rowOff>142875</xdr:rowOff>
    </xdr:from>
    <xdr:to>
      <xdr:col>8</xdr:col>
      <xdr:colOff>95250</xdr:colOff>
      <xdr:row>23</xdr:row>
      <xdr:rowOff>142875</xdr:rowOff>
    </xdr:to>
    <xdr:sp>
      <xdr:nvSpPr>
        <xdr:cNvPr id="63" name="Line 88"/>
        <xdr:cNvSpPr>
          <a:spLocks/>
        </xdr:cNvSpPr>
      </xdr:nvSpPr>
      <xdr:spPr>
        <a:xfrm flipH="1">
          <a:off x="5362575" y="390525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24</xdr:row>
      <xdr:rowOff>85725</xdr:rowOff>
    </xdr:from>
    <xdr:to>
      <xdr:col>8</xdr:col>
      <xdr:colOff>152400</xdr:colOff>
      <xdr:row>24</xdr:row>
      <xdr:rowOff>85725</xdr:rowOff>
    </xdr:to>
    <xdr:sp>
      <xdr:nvSpPr>
        <xdr:cNvPr id="64" name="Line 89"/>
        <xdr:cNvSpPr>
          <a:spLocks/>
        </xdr:cNvSpPr>
      </xdr:nvSpPr>
      <xdr:spPr>
        <a:xfrm>
          <a:off x="5419725" y="4010025"/>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23</xdr:row>
      <xdr:rowOff>142875</xdr:rowOff>
    </xdr:from>
    <xdr:to>
      <xdr:col>8</xdr:col>
      <xdr:colOff>152400</xdr:colOff>
      <xdr:row>24</xdr:row>
      <xdr:rowOff>85725</xdr:rowOff>
    </xdr:to>
    <xdr:sp>
      <xdr:nvSpPr>
        <xdr:cNvPr id="65" name="Line 90"/>
        <xdr:cNvSpPr>
          <a:spLocks/>
        </xdr:cNvSpPr>
      </xdr:nvSpPr>
      <xdr:spPr>
        <a:xfrm>
          <a:off x="5362575" y="3905250"/>
          <a:ext cx="11430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22</xdr:row>
      <xdr:rowOff>114300</xdr:rowOff>
    </xdr:from>
    <xdr:to>
      <xdr:col>7</xdr:col>
      <xdr:colOff>361950</xdr:colOff>
      <xdr:row>25</xdr:row>
      <xdr:rowOff>57150</xdr:rowOff>
    </xdr:to>
    <xdr:sp>
      <xdr:nvSpPr>
        <xdr:cNvPr id="66" name="Rectangle 91"/>
        <xdr:cNvSpPr>
          <a:spLocks/>
        </xdr:cNvSpPr>
      </xdr:nvSpPr>
      <xdr:spPr>
        <a:xfrm>
          <a:off x="4867275" y="3714750"/>
          <a:ext cx="2095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22</xdr:row>
      <xdr:rowOff>114300</xdr:rowOff>
    </xdr:from>
    <xdr:to>
      <xdr:col>7</xdr:col>
      <xdr:colOff>190500</xdr:colOff>
      <xdr:row>25</xdr:row>
      <xdr:rowOff>57150</xdr:rowOff>
    </xdr:to>
    <xdr:sp>
      <xdr:nvSpPr>
        <xdr:cNvPr id="67" name="Rectangle 92"/>
        <xdr:cNvSpPr>
          <a:spLocks/>
        </xdr:cNvSpPr>
      </xdr:nvSpPr>
      <xdr:spPr>
        <a:xfrm>
          <a:off x="4867275" y="3714750"/>
          <a:ext cx="3810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22</xdr:row>
      <xdr:rowOff>114300</xdr:rowOff>
    </xdr:from>
    <xdr:to>
      <xdr:col>7</xdr:col>
      <xdr:colOff>209550</xdr:colOff>
      <xdr:row>25</xdr:row>
      <xdr:rowOff>57150</xdr:rowOff>
    </xdr:to>
    <xdr:sp>
      <xdr:nvSpPr>
        <xdr:cNvPr id="68" name="Line 93"/>
        <xdr:cNvSpPr>
          <a:spLocks/>
        </xdr:cNvSpPr>
      </xdr:nvSpPr>
      <xdr:spPr>
        <a:xfrm>
          <a:off x="4924425" y="3714750"/>
          <a:ext cx="0" cy="4286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22</xdr:row>
      <xdr:rowOff>95250</xdr:rowOff>
    </xdr:from>
    <xdr:to>
      <xdr:col>7</xdr:col>
      <xdr:colOff>209550</xdr:colOff>
      <xdr:row>22</xdr:row>
      <xdr:rowOff>123825</xdr:rowOff>
    </xdr:to>
    <xdr:sp>
      <xdr:nvSpPr>
        <xdr:cNvPr id="69" name="Line 94"/>
        <xdr:cNvSpPr>
          <a:spLocks/>
        </xdr:cNvSpPr>
      </xdr:nvSpPr>
      <xdr:spPr>
        <a:xfrm>
          <a:off x="4924425" y="3695700"/>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25</xdr:row>
      <xdr:rowOff>28575</xdr:rowOff>
    </xdr:from>
    <xdr:to>
      <xdr:col>7</xdr:col>
      <xdr:colOff>209550</xdr:colOff>
      <xdr:row>25</xdr:row>
      <xdr:rowOff>123825</xdr:rowOff>
    </xdr:to>
    <xdr:sp>
      <xdr:nvSpPr>
        <xdr:cNvPr id="70" name="Line 95"/>
        <xdr:cNvSpPr>
          <a:spLocks/>
        </xdr:cNvSpPr>
      </xdr:nvSpPr>
      <xdr:spPr>
        <a:xfrm>
          <a:off x="4924425" y="41148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22</xdr:row>
      <xdr:rowOff>76200</xdr:rowOff>
    </xdr:from>
    <xdr:to>
      <xdr:col>6</xdr:col>
      <xdr:colOff>295275</xdr:colOff>
      <xdr:row>22</xdr:row>
      <xdr:rowOff>76200</xdr:rowOff>
    </xdr:to>
    <xdr:sp>
      <xdr:nvSpPr>
        <xdr:cNvPr id="71" name="Line 102"/>
        <xdr:cNvSpPr>
          <a:spLocks/>
        </xdr:cNvSpPr>
      </xdr:nvSpPr>
      <xdr:spPr>
        <a:xfrm>
          <a:off x="4362450" y="3676650"/>
          <a:ext cx="3810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25</xdr:row>
      <xdr:rowOff>152400</xdr:rowOff>
    </xdr:from>
    <xdr:to>
      <xdr:col>6</xdr:col>
      <xdr:colOff>295275</xdr:colOff>
      <xdr:row>25</xdr:row>
      <xdr:rowOff>152400</xdr:rowOff>
    </xdr:to>
    <xdr:sp>
      <xdr:nvSpPr>
        <xdr:cNvPr id="72" name="Line 103"/>
        <xdr:cNvSpPr>
          <a:spLocks/>
        </xdr:cNvSpPr>
      </xdr:nvSpPr>
      <xdr:spPr>
        <a:xfrm>
          <a:off x="4362450" y="4238625"/>
          <a:ext cx="3810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22</xdr:row>
      <xdr:rowOff>76200</xdr:rowOff>
    </xdr:from>
    <xdr:to>
      <xdr:col>8</xdr:col>
      <xdr:colOff>95250</xdr:colOff>
      <xdr:row>22</xdr:row>
      <xdr:rowOff>76200</xdr:rowOff>
    </xdr:to>
    <xdr:sp>
      <xdr:nvSpPr>
        <xdr:cNvPr id="73" name="Line 104"/>
        <xdr:cNvSpPr>
          <a:spLocks/>
        </xdr:cNvSpPr>
      </xdr:nvSpPr>
      <xdr:spPr>
        <a:xfrm>
          <a:off x="5133975" y="367665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22</xdr:row>
      <xdr:rowOff>19050</xdr:rowOff>
    </xdr:from>
    <xdr:to>
      <xdr:col>8</xdr:col>
      <xdr:colOff>95250</xdr:colOff>
      <xdr:row>22</xdr:row>
      <xdr:rowOff>19050</xdr:rowOff>
    </xdr:to>
    <xdr:sp>
      <xdr:nvSpPr>
        <xdr:cNvPr id="74" name="Line 105"/>
        <xdr:cNvSpPr>
          <a:spLocks/>
        </xdr:cNvSpPr>
      </xdr:nvSpPr>
      <xdr:spPr>
        <a:xfrm>
          <a:off x="5133975" y="361950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22</xdr:row>
      <xdr:rowOff>95250</xdr:rowOff>
    </xdr:from>
    <xdr:to>
      <xdr:col>7</xdr:col>
      <xdr:colOff>400050</xdr:colOff>
      <xdr:row>22</xdr:row>
      <xdr:rowOff>95250</xdr:rowOff>
    </xdr:to>
    <xdr:sp>
      <xdr:nvSpPr>
        <xdr:cNvPr id="75" name="Line 106"/>
        <xdr:cNvSpPr>
          <a:spLocks/>
        </xdr:cNvSpPr>
      </xdr:nvSpPr>
      <xdr:spPr>
        <a:xfrm>
          <a:off x="4924425" y="369570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22</xdr:row>
      <xdr:rowOff>76200</xdr:rowOff>
    </xdr:from>
    <xdr:to>
      <xdr:col>7</xdr:col>
      <xdr:colOff>419100</xdr:colOff>
      <xdr:row>22</xdr:row>
      <xdr:rowOff>95250</xdr:rowOff>
    </xdr:to>
    <xdr:sp>
      <xdr:nvSpPr>
        <xdr:cNvPr id="76" name="Line 107"/>
        <xdr:cNvSpPr>
          <a:spLocks/>
        </xdr:cNvSpPr>
      </xdr:nvSpPr>
      <xdr:spPr>
        <a:xfrm flipV="1">
          <a:off x="5114925" y="3676650"/>
          <a:ext cx="190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22</xdr:row>
      <xdr:rowOff>19050</xdr:rowOff>
    </xdr:from>
    <xdr:to>
      <xdr:col>7</xdr:col>
      <xdr:colOff>419100</xdr:colOff>
      <xdr:row>22</xdr:row>
      <xdr:rowOff>76200</xdr:rowOff>
    </xdr:to>
    <xdr:sp>
      <xdr:nvSpPr>
        <xdr:cNvPr id="77" name="Line 108"/>
        <xdr:cNvSpPr>
          <a:spLocks/>
        </xdr:cNvSpPr>
      </xdr:nvSpPr>
      <xdr:spPr>
        <a:xfrm>
          <a:off x="5133975" y="361950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25</xdr:row>
      <xdr:rowOff>123825</xdr:rowOff>
    </xdr:from>
    <xdr:to>
      <xdr:col>7</xdr:col>
      <xdr:colOff>400050</xdr:colOff>
      <xdr:row>25</xdr:row>
      <xdr:rowOff>123825</xdr:rowOff>
    </xdr:to>
    <xdr:sp>
      <xdr:nvSpPr>
        <xdr:cNvPr id="78" name="Line 109"/>
        <xdr:cNvSpPr>
          <a:spLocks/>
        </xdr:cNvSpPr>
      </xdr:nvSpPr>
      <xdr:spPr>
        <a:xfrm>
          <a:off x="4924425" y="421005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25</xdr:row>
      <xdr:rowOff>123825</xdr:rowOff>
    </xdr:from>
    <xdr:to>
      <xdr:col>7</xdr:col>
      <xdr:colOff>419100</xdr:colOff>
      <xdr:row>25</xdr:row>
      <xdr:rowOff>142875</xdr:rowOff>
    </xdr:to>
    <xdr:sp>
      <xdr:nvSpPr>
        <xdr:cNvPr id="79" name="Line 110"/>
        <xdr:cNvSpPr>
          <a:spLocks/>
        </xdr:cNvSpPr>
      </xdr:nvSpPr>
      <xdr:spPr>
        <a:xfrm>
          <a:off x="5114925" y="4210050"/>
          <a:ext cx="190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25</xdr:row>
      <xdr:rowOff>142875</xdr:rowOff>
    </xdr:from>
    <xdr:to>
      <xdr:col>8</xdr:col>
      <xdr:colOff>95250</xdr:colOff>
      <xdr:row>25</xdr:row>
      <xdr:rowOff>142875</xdr:rowOff>
    </xdr:to>
    <xdr:sp>
      <xdr:nvSpPr>
        <xdr:cNvPr id="80" name="Line 111"/>
        <xdr:cNvSpPr>
          <a:spLocks/>
        </xdr:cNvSpPr>
      </xdr:nvSpPr>
      <xdr:spPr>
        <a:xfrm>
          <a:off x="5133975" y="422910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26</xdr:row>
      <xdr:rowOff>38100</xdr:rowOff>
    </xdr:from>
    <xdr:to>
      <xdr:col>8</xdr:col>
      <xdr:colOff>95250</xdr:colOff>
      <xdr:row>26</xdr:row>
      <xdr:rowOff>38100</xdr:rowOff>
    </xdr:to>
    <xdr:sp>
      <xdr:nvSpPr>
        <xdr:cNvPr id="81" name="Line 112"/>
        <xdr:cNvSpPr>
          <a:spLocks/>
        </xdr:cNvSpPr>
      </xdr:nvSpPr>
      <xdr:spPr>
        <a:xfrm>
          <a:off x="5133975" y="428625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25</xdr:row>
      <xdr:rowOff>142875</xdr:rowOff>
    </xdr:from>
    <xdr:to>
      <xdr:col>7</xdr:col>
      <xdr:colOff>419100</xdr:colOff>
      <xdr:row>26</xdr:row>
      <xdr:rowOff>38100</xdr:rowOff>
    </xdr:to>
    <xdr:sp>
      <xdr:nvSpPr>
        <xdr:cNvPr id="82" name="Line 113"/>
        <xdr:cNvSpPr>
          <a:spLocks/>
        </xdr:cNvSpPr>
      </xdr:nvSpPr>
      <xdr:spPr>
        <a:xfrm>
          <a:off x="5133975" y="422910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20</xdr:row>
      <xdr:rowOff>142875</xdr:rowOff>
    </xdr:from>
    <xdr:to>
      <xdr:col>7</xdr:col>
      <xdr:colOff>209550</xdr:colOff>
      <xdr:row>22</xdr:row>
      <xdr:rowOff>57150</xdr:rowOff>
    </xdr:to>
    <xdr:sp>
      <xdr:nvSpPr>
        <xdr:cNvPr id="83" name="Line 114"/>
        <xdr:cNvSpPr>
          <a:spLocks/>
        </xdr:cNvSpPr>
      </xdr:nvSpPr>
      <xdr:spPr>
        <a:xfrm flipV="1">
          <a:off x="4924425" y="3419475"/>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20</xdr:row>
      <xdr:rowOff>142875</xdr:rowOff>
    </xdr:from>
    <xdr:to>
      <xdr:col>7</xdr:col>
      <xdr:colOff>419100</xdr:colOff>
      <xdr:row>21</xdr:row>
      <xdr:rowOff>142875</xdr:rowOff>
    </xdr:to>
    <xdr:sp>
      <xdr:nvSpPr>
        <xdr:cNvPr id="84" name="Line 115"/>
        <xdr:cNvSpPr>
          <a:spLocks/>
        </xdr:cNvSpPr>
      </xdr:nvSpPr>
      <xdr:spPr>
        <a:xfrm flipV="1">
          <a:off x="5133975" y="341947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447675</xdr:colOff>
      <xdr:row>22</xdr:row>
      <xdr:rowOff>95250</xdr:rowOff>
    </xdr:from>
    <xdr:to>
      <xdr:col>8</xdr:col>
      <xdr:colOff>276225</xdr:colOff>
      <xdr:row>22</xdr:row>
      <xdr:rowOff>95250</xdr:rowOff>
    </xdr:to>
    <xdr:sp>
      <xdr:nvSpPr>
        <xdr:cNvPr id="85" name="Line 116"/>
        <xdr:cNvSpPr>
          <a:spLocks/>
        </xdr:cNvSpPr>
      </xdr:nvSpPr>
      <xdr:spPr>
        <a:xfrm>
          <a:off x="5162550" y="36957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22</xdr:row>
      <xdr:rowOff>19050</xdr:rowOff>
    </xdr:from>
    <xdr:to>
      <xdr:col>8</xdr:col>
      <xdr:colOff>276225</xdr:colOff>
      <xdr:row>22</xdr:row>
      <xdr:rowOff>19050</xdr:rowOff>
    </xdr:to>
    <xdr:sp>
      <xdr:nvSpPr>
        <xdr:cNvPr id="86" name="Line 117"/>
        <xdr:cNvSpPr>
          <a:spLocks/>
        </xdr:cNvSpPr>
      </xdr:nvSpPr>
      <xdr:spPr>
        <a:xfrm>
          <a:off x="5448300" y="361950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447675</xdr:colOff>
      <xdr:row>25</xdr:row>
      <xdr:rowOff>123825</xdr:rowOff>
    </xdr:from>
    <xdr:to>
      <xdr:col>8</xdr:col>
      <xdr:colOff>276225</xdr:colOff>
      <xdr:row>25</xdr:row>
      <xdr:rowOff>123825</xdr:rowOff>
    </xdr:to>
    <xdr:sp>
      <xdr:nvSpPr>
        <xdr:cNvPr id="87" name="Line 118"/>
        <xdr:cNvSpPr>
          <a:spLocks/>
        </xdr:cNvSpPr>
      </xdr:nvSpPr>
      <xdr:spPr>
        <a:xfrm>
          <a:off x="5162550" y="421005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26</xdr:row>
      <xdr:rowOff>38100</xdr:rowOff>
    </xdr:from>
    <xdr:to>
      <xdr:col>8</xdr:col>
      <xdr:colOff>276225</xdr:colOff>
      <xdr:row>26</xdr:row>
      <xdr:rowOff>38100</xdr:rowOff>
    </xdr:to>
    <xdr:sp>
      <xdr:nvSpPr>
        <xdr:cNvPr id="88" name="Line 119"/>
        <xdr:cNvSpPr>
          <a:spLocks/>
        </xdr:cNvSpPr>
      </xdr:nvSpPr>
      <xdr:spPr>
        <a:xfrm>
          <a:off x="5448300" y="428625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21</xdr:row>
      <xdr:rowOff>38100</xdr:rowOff>
    </xdr:from>
    <xdr:to>
      <xdr:col>7</xdr:col>
      <xdr:colOff>419100</xdr:colOff>
      <xdr:row>21</xdr:row>
      <xdr:rowOff>38100</xdr:rowOff>
    </xdr:to>
    <xdr:sp>
      <xdr:nvSpPr>
        <xdr:cNvPr id="89" name="Line 120"/>
        <xdr:cNvSpPr>
          <a:spLocks/>
        </xdr:cNvSpPr>
      </xdr:nvSpPr>
      <xdr:spPr>
        <a:xfrm>
          <a:off x="4924425" y="3476625"/>
          <a:ext cx="2095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21</xdr:row>
      <xdr:rowOff>0</xdr:rowOff>
    </xdr:from>
    <xdr:to>
      <xdr:col>8</xdr:col>
      <xdr:colOff>209550</xdr:colOff>
      <xdr:row>22</xdr:row>
      <xdr:rowOff>19050</xdr:rowOff>
    </xdr:to>
    <xdr:sp>
      <xdr:nvSpPr>
        <xdr:cNvPr id="90" name="Line 121"/>
        <xdr:cNvSpPr>
          <a:spLocks/>
        </xdr:cNvSpPr>
      </xdr:nvSpPr>
      <xdr:spPr>
        <a:xfrm>
          <a:off x="5534025" y="3438525"/>
          <a:ext cx="0" cy="1809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24</xdr:row>
      <xdr:rowOff>104775</xdr:rowOff>
    </xdr:from>
    <xdr:to>
      <xdr:col>8</xdr:col>
      <xdr:colOff>209550</xdr:colOff>
      <xdr:row>25</xdr:row>
      <xdr:rowOff>123825</xdr:rowOff>
    </xdr:to>
    <xdr:sp>
      <xdr:nvSpPr>
        <xdr:cNvPr id="91" name="Line 122"/>
        <xdr:cNvSpPr>
          <a:spLocks/>
        </xdr:cNvSpPr>
      </xdr:nvSpPr>
      <xdr:spPr>
        <a:xfrm>
          <a:off x="5534025" y="4029075"/>
          <a:ext cx="0" cy="1809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22</xdr:row>
      <xdr:rowOff>95250</xdr:rowOff>
    </xdr:from>
    <xdr:to>
      <xdr:col>8</xdr:col>
      <xdr:colOff>209550</xdr:colOff>
      <xdr:row>23</xdr:row>
      <xdr:rowOff>114300</xdr:rowOff>
    </xdr:to>
    <xdr:sp>
      <xdr:nvSpPr>
        <xdr:cNvPr id="92" name="Line 123"/>
        <xdr:cNvSpPr>
          <a:spLocks/>
        </xdr:cNvSpPr>
      </xdr:nvSpPr>
      <xdr:spPr>
        <a:xfrm flipV="1">
          <a:off x="5534025" y="3695700"/>
          <a:ext cx="0" cy="1809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xdr:row>
      <xdr:rowOff>38100</xdr:rowOff>
    </xdr:from>
    <xdr:to>
      <xdr:col>8</xdr:col>
      <xdr:colOff>209550</xdr:colOff>
      <xdr:row>27</xdr:row>
      <xdr:rowOff>47625</xdr:rowOff>
    </xdr:to>
    <xdr:sp>
      <xdr:nvSpPr>
        <xdr:cNvPr id="93" name="Line 124"/>
        <xdr:cNvSpPr>
          <a:spLocks/>
        </xdr:cNvSpPr>
      </xdr:nvSpPr>
      <xdr:spPr>
        <a:xfrm flipV="1">
          <a:off x="5534025" y="4286250"/>
          <a:ext cx="0" cy="1714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xdr:row>
      <xdr:rowOff>0</xdr:rowOff>
    </xdr:from>
    <xdr:to>
      <xdr:col>7</xdr:col>
      <xdr:colOff>209550</xdr:colOff>
      <xdr:row>28</xdr:row>
      <xdr:rowOff>47625</xdr:rowOff>
    </xdr:to>
    <xdr:sp>
      <xdr:nvSpPr>
        <xdr:cNvPr id="94" name="Line 125"/>
        <xdr:cNvSpPr>
          <a:spLocks/>
        </xdr:cNvSpPr>
      </xdr:nvSpPr>
      <xdr:spPr>
        <a:xfrm>
          <a:off x="4924425" y="4248150"/>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26</xdr:row>
      <xdr:rowOff>76200</xdr:rowOff>
    </xdr:from>
    <xdr:to>
      <xdr:col>7</xdr:col>
      <xdr:colOff>419100</xdr:colOff>
      <xdr:row>28</xdr:row>
      <xdr:rowOff>38100</xdr:rowOff>
    </xdr:to>
    <xdr:sp>
      <xdr:nvSpPr>
        <xdr:cNvPr id="95" name="Line 126"/>
        <xdr:cNvSpPr>
          <a:spLocks/>
        </xdr:cNvSpPr>
      </xdr:nvSpPr>
      <xdr:spPr>
        <a:xfrm>
          <a:off x="5133975" y="4324350"/>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28</xdr:row>
      <xdr:rowOff>0</xdr:rowOff>
    </xdr:from>
    <xdr:to>
      <xdr:col>7</xdr:col>
      <xdr:colOff>419100</xdr:colOff>
      <xdr:row>28</xdr:row>
      <xdr:rowOff>0</xdr:rowOff>
    </xdr:to>
    <xdr:sp>
      <xdr:nvSpPr>
        <xdr:cNvPr id="96" name="Line 127"/>
        <xdr:cNvSpPr>
          <a:spLocks/>
        </xdr:cNvSpPr>
      </xdr:nvSpPr>
      <xdr:spPr>
        <a:xfrm>
          <a:off x="4924425" y="4572000"/>
          <a:ext cx="2095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352425</xdr:colOff>
      <xdr:row>22</xdr:row>
      <xdr:rowOff>19050</xdr:rowOff>
    </xdr:from>
    <xdr:to>
      <xdr:col>5</xdr:col>
      <xdr:colOff>552450</xdr:colOff>
      <xdr:row>22</xdr:row>
      <xdr:rowOff>19050</xdr:rowOff>
    </xdr:to>
    <xdr:sp>
      <xdr:nvSpPr>
        <xdr:cNvPr id="97" name="Line 128"/>
        <xdr:cNvSpPr>
          <a:spLocks/>
        </xdr:cNvSpPr>
      </xdr:nvSpPr>
      <xdr:spPr>
        <a:xfrm flipH="1">
          <a:off x="3848100" y="36195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352425</xdr:colOff>
      <xdr:row>26</xdr:row>
      <xdr:rowOff>47625</xdr:rowOff>
    </xdr:from>
    <xdr:to>
      <xdr:col>5</xdr:col>
      <xdr:colOff>552450</xdr:colOff>
      <xdr:row>26</xdr:row>
      <xdr:rowOff>47625</xdr:rowOff>
    </xdr:to>
    <xdr:sp>
      <xdr:nvSpPr>
        <xdr:cNvPr id="98" name="Line 129"/>
        <xdr:cNvSpPr>
          <a:spLocks/>
        </xdr:cNvSpPr>
      </xdr:nvSpPr>
      <xdr:spPr>
        <a:xfrm flipH="1">
          <a:off x="3848100" y="429577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22</xdr:row>
      <xdr:rowOff>19050</xdr:rowOff>
    </xdr:from>
    <xdr:to>
      <xdr:col>5</xdr:col>
      <xdr:colOff>400050</xdr:colOff>
      <xdr:row>26</xdr:row>
      <xdr:rowOff>47625</xdr:rowOff>
    </xdr:to>
    <xdr:sp>
      <xdr:nvSpPr>
        <xdr:cNvPr id="99" name="Line 130"/>
        <xdr:cNvSpPr>
          <a:spLocks/>
        </xdr:cNvSpPr>
      </xdr:nvSpPr>
      <xdr:spPr>
        <a:xfrm>
          <a:off x="3895725" y="3619500"/>
          <a:ext cx="0" cy="6762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22</xdr:row>
      <xdr:rowOff>19050</xdr:rowOff>
    </xdr:from>
    <xdr:to>
      <xdr:col>8</xdr:col>
      <xdr:colOff>209550</xdr:colOff>
      <xdr:row>22</xdr:row>
      <xdr:rowOff>95250</xdr:rowOff>
    </xdr:to>
    <xdr:sp>
      <xdr:nvSpPr>
        <xdr:cNvPr id="100" name="Line 131"/>
        <xdr:cNvSpPr>
          <a:spLocks/>
        </xdr:cNvSpPr>
      </xdr:nvSpPr>
      <xdr:spPr>
        <a:xfrm flipV="1">
          <a:off x="5534025" y="36195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25</xdr:row>
      <xdr:rowOff>123825</xdr:rowOff>
    </xdr:from>
    <xdr:to>
      <xdr:col>8</xdr:col>
      <xdr:colOff>209550</xdr:colOff>
      <xdr:row>26</xdr:row>
      <xdr:rowOff>38100</xdr:rowOff>
    </xdr:to>
    <xdr:sp>
      <xdr:nvSpPr>
        <xdr:cNvPr id="101" name="Line 132"/>
        <xdr:cNvSpPr>
          <a:spLocks/>
        </xdr:cNvSpPr>
      </xdr:nvSpPr>
      <xdr:spPr>
        <a:xfrm>
          <a:off x="5534025" y="421005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26</xdr:row>
      <xdr:rowOff>76200</xdr:rowOff>
    </xdr:from>
    <xdr:to>
      <xdr:col>5</xdr:col>
      <xdr:colOff>581025</xdr:colOff>
      <xdr:row>28</xdr:row>
      <xdr:rowOff>66675</xdr:rowOff>
    </xdr:to>
    <xdr:sp>
      <xdr:nvSpPr>
        <xdr:cNvPr id="102" name="Line 133"/>
        <xdr:cNvSpPr>
          <a:spLocks/>
        </xdr:cNvSpPr>
      </xdr:nvSpPr>
      <xdr:spPr>
        <a:xfrm>
          <a:off x="4076700" y="4324350"/>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26</xdr:row>
      <xdr:rowOff>76200</xdr:rowOff>
    </xdr:from>
    <xdr:to>
      <xdr:col>6</xdr:col>
      <xdr:colOff>571500</xdr:colOff>
      <xdr:row>28</xdr:row>
      <xdr:rowOff>66675</xdr:rowOff>
    </xdr:to>
    <xdr:sp>
      <xdr:nvSpPr>
        <xdr:cNvPr id="103" name="Line 134"/>
        <xdr:cNvSpPr>
          <a:spLocks/>
        </xdr:cNvSpPr>
      </xdr:nvSpPr>
      <xdr:spPr>
        <a:xfrm>
          <a:off x="4676775" y="4324350"/>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28</xdr:row>
      <xdr:rowOff>0</xdr:rowOff>
    </xdr:from>
    <xdr:to>
      <xdr:col>6</xdr:col>
      <xdr:colOff>571500</xdr:colOff>
      <xdr:row>28</xdr:row>
      <xdr:rowOff>0</xdr:rowOff>
    </xdr:to>
    <xdr:sp>
      <xdr:nvSpPr>
        <xdr:cNvPr id="104" name="Line 135"/>
        <xdr:cNvSpPr>
          <a:spLocks/>
        </xdr:cNvSpPr>
      </xdr:nvSpPr>
      <xdr:spPr>
        <a:xfrm>
          <a:off x="4076700" y="4572000"/>
          <a:ext cx="6000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20</xdr:row>
      <xdr:rowOff>152400</xdr:rowOff>
    </xdr:from>
    <xdr:to>
      <xdr:col>6</xdr:col>
      <xdr:colOff>257175</xdr:colOff>
      <xdr:row>22</xdr:row>
      <xdr:rowOff>47625</xdr:rowOff>
    </xdr:to>
    <xdr:sp>
      <xdr:nvSpPr>
        <xdr:cNvPr id="105" name="Line 136"/>
        <xdr:cNvSpPr>
          <a:spLocks/>
        </xdr:cNvSpPr>
      </xdr:nvSpPr>
      <xdr:spPr>
        <a:xfrm flipV="1">
          <a:off x="4362450" y="342900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20</xdr:row>
      <xdr:rowOff>152400</xdr:rowOff>
    </xdr:from>
    <xdr:to>
      <xdr:col>6</xdr:col>
      <xdr:colOff>295275</xdr:colOff>
      <xdr:row>22</xdr:row>
      <xdr:rowOff>47625</xdr:rowOff>
    </xdr:to>
    <xdr:sp>
      <xdr:nvSpPr>
        <xdr:cNvPr id="106" name="Line 137"/>
        <xdr:cNvSpPr>
          <a:spLocks/>
        </xdr:cNvSpPr>
      </xdr:nvSpPr>
      <xdr:spPr>
        <a:xfrm flipV="1">
          <a:off x="4400550" y="342900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21</xdr:row>
      <xdr:rowOff>38100</xdr:rowOff>
    </xdr:from>
    <xdr:to>
      <xdr:col>6</xdr:col>
      <xdr:colOff>257175</xdr:colOff>
      <xdr:row>21</xdr:row>
      <xdr:rowOff>38100</xdr:rowOff>
    </xdr:to>
    <xdr:sp>
      <xdr:nvSpPr>
        <xdr:cNvPr id="107" name="Line 138"/>
        <xdr:cNvSpPr>
          <a:spLocks/>
        </xdr:cNvSpPr>
      </xdr:nvSpPr>
      <xdr:spPr>
        <a:xfrm>
          <a:off x="4124325" y="3476625"/>
          <a:ext cx="2381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476250</xdr:colOff>
      <xdr:row>10</xdr:row>
      <xdr:rowOff>114300</xdr:rowOff>
    </xdr:from>
    <xdr:to>
      <xdr:col>6</xdr:col>
      <xdr:colOff>19050</xdr:colOff>
      <xdr:row>10</xdr:row>
      <xdr:rowOff>114300</xdr:rowOff>
    </xdr:to>
    <xdr:sp>
      <xdr:nvSpPr>
        <xdr:cNvPr id="108" name="Line 139"/>
        <xdr:cNvSpPr>
          <a:spLocks/>
        </xdr:cNvSpPr>
      </xdr:nvSpPr>
      <xdr:spPr>
        <a:xfrm flipH="1">
          <a:off x="3971925" y="177165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495300</xdr:colOff>
      <xdr:row>22</xdr:row>
      <xdr:rowOff>76200</xdr:rowOff>
    </xdr:from>
    <xdr:to>
      <xdr:col>5</xdr:col>
      <xdr:colOff>495300</xdr:colOff>
      <xdr:row>23</xdr:row>
      <xdr:rowOff>66675</xdr:rowOff>
    </xdr:to>
    <xdr:sp>
      <xdr:nvSpPr>
        <xdr:cNvPr id="109" name="Line 142"/>
        <xdr:cNvSpPr>
          <a:spLocks/>
        </xdr:cNvSpPr>
      </xdr:nvSpPr>
      <xdr:spPr>
        <a:xfrm flipV="1">
          <a:off x="3990975" y="3676650"/>
          <a:ext cx="0" cy="1524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495300</xdr:colOff>
      <xdr:row>21</xdr:row>
      <xdr:rowOff>28575</xdr:rowOff>
    </xdr:from>
    <xdr:to>
      <xdr:col>5</xdr:col>
      <xdr:colOff>495300</xdr:colOff>
      <xdr:row>22</xdr:row>
      <xdr:rowOff>19050</xdr:rowOff>
    </xdr:to>
    <xdr:sp>
      <xdr:nvSpPr>
        <xdr:cNvPr id="110" name="Line 143"/>
        <xdr:cNvSpPr>
          <a:spLocks/>
        </xdr:cNvSpPr>
      </xdr:nvSpPr>
      <xdr:spPr>
        <a:xfrm>
          <a:off x="3990975" y="3467100"/>
          <a:ext cx="0" cy="1524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22</xdr:row>
      <xdr:rowOff>76200</xdr:rowOff>
    </xdr:from>
    <xdr:to>
      <xdr:col>5</xdr:col>
      <xdr:colOff>552450</xdr:colOff>
      <xdr:row>22</xdr:row>
      <xdr:rowOff>76200</xdr:rowOff>
    </xdr:to>
    <xdr:sp>
      <xdr:nvSpPr>
        <xdr:cNvPr id="111" name="Line 144"/>
        <xdr:cNvSpPr>
          <a:spLocks/>
        </xdr:cNvSpPr>
      </xdr:nvSpPr>
      <xdr:spPr>
        <a:xfrm>
          <a:off x="3952875" y="36766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495300</xdr:colOff>
      <xdr:row>22</xdr:row>
      <xdr:rowOff>19050</xdr:rowOff>
    </xdr:from>
    <xdr:to>
      <xdr:col>5</xdr:col>
      <xdr:colOff>495300</xdr:colOff>
      <xdr:row>22</xdr:row>
      <xdr:rowOff>76200</xdr:rowOff>
    </xdr:to>
    <xdr:sp>
      <xdr:nvSpPr>
        <xdr:cNvPr id="112" name="Line 145"/>
        <xdr:cNvSpPr>
          <a:spLocks/>
        </xdr:cNvSpPr>
      </xdr:nvSpPr>
      <xdr:spPr>
        <a:xfrm>
          <a:off x="3990975" y="361950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6</xdr:row>
      <xdr:rowOff>85725</xdr:rowOff>
    </xdr:from>
    <xdr:to>
      <xdr:col>7</xdr:col>
      <xdr:colOff>152400</xdr:colOff>
      <xdr:row>6</xdr:row>
      <xdr:rowOff>85725</xdr:rowOff>
    </xdr:to>
    <xdr:sp>
      <xdr:nvSpPr>
        <xdr:cNvPr id="113" name="Line 146"/>
        <xdr:cNvSpPr>
          <a:spLocks/>
        </xdr:cNvSpPr>
      </xdr:nvSpPr>
      <xdr:spPr>
        <a:xfrm>
          <a:off x="4743450" y="1095375"/>
          <a:ext cx="1238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476250</xdr:colOff>
      <xdr:row>13</xdr:row>
      <xdr:rowOff>47625</xdr:rowOff>
    </xdr:from>
    <xdr:to>
      <xdr:col>6</xdr:col>
      <xdr:colOff>19050</xdr:colOff>
      <xdr:row>13</xdr:row>
      <xdr:rowOff>47625</xdr:rowOff>
    </xdr:to>
    <xdr:sp>
      <xdr:nvSpPr>
        <xdr:cNvPr id="114" name="Line 290"/>
        <xdr:cNvSpPr>
          <a:spLocks/>
        </xdr:cNvSpPr>
      </xdr:nvSpPr>
      <xdr:spPr>
        <a:xfrm flipH="1">
          <a:off x="3971925" y="219075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200025</xdr:colOff>
      <xdr:row>9</xdr:row>
      <xdr:rowOff>57150</xdr:rowOff>
    </xdr:from>
    <xdr:to>
      <xdr:col>8</xdr:col>
      <xdr:colOff>200025</xdr:colOff>
      <xdr:row>11</xdr:row>
      <xdr:rowOff>57150</xdr:rowOff>
    </xdr:to>
    <xdr:grpSp>
      <xdr:nvGrpSpPr>
        <xdr:cNvPr id="115" name="Group 451"/>
        <xdr:cNvGrpSpPr>
          <a:grpSpLocks/>
        </xdr:cNvGrpSpPr>
      </xdr:nvGrpSpPr>
      <xdr:grpSpPr>
        <a:xfrm>
          <a:off x="5524500" y="1552575"/>
          <a:ext cx="0" cy="323850"/>
          <a:chOff x="580" y="163"/>
          <a:chExt cx="0" cy="34"/>
        </a:xfrm>
        <a:solidFill>
          <a:srgbClr val="FFFFFF"/>
        </a:solidFill>
      </xdr:grpSpPr>
      <xdr:sp>
        <xdr:nvSpPr>
          <xdr:cNvPr id="116" name="Line 56"/>
          <xdr:cNvSpPr>
            <a:spLocks/>
          </xdr:cNvSpPr>
        </xdr:nvSpPr>
        <xdr:spPr>
          <a:xfrm flipV="1">
            <a:off x="580" y="163"/>
            <a:ext cx="0" cy="13"/>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sp>
        <xdr:nvSpPr>
          <xdr:cNvPr id="117" name="Line 291"/>
          <xdr:cNvSpPr>
            <a:spLocks/>
          </xdr:cNvSpPr>
        </xdr:nvSpPr>
        <xdr:spPr>
          <a:xfrm>
            <a:off x="580" y="186"/>
            <a:ext cx="0" cy="11"/>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209550</xdr:colOff>
      <xdr:row>22</xdr:row>
      <xdr:rowOff>104775</xdr:rowOff>
    </xdr:from>
    <xdr:to>
      <xdr:col>7</xdr:col>
      <xdr:colOff>371475</xdr:colOff>
      <xdr:row>25</xdr:row>
      <xdr:rowOff>57150</xdr:rowOff>
    </xdr:to>
    <xdr:grpSp>
      <xdr:nvGrpSpPr>
        <xdr:cNvPr id="118" name="Group 293"/>
        <xdr:cNvGrpSpPr>
          <a:grpSpLocks/>
        </xdr:cNvGrpSpPr>
      </xdr:nvGrpSpPr>
      <xdr:grpSpPr>
        <a:xfrm>
          <a:off x="4924425" y="3705225"/>
          <a:ext cx="161925" cy="438150"/>
          <a:chOff x="517" y="185"/>
          <a:chExt cx="17" cy="46"/>
        </a:xfrm>
        <a:solidFill>
          <a:srgbClr val="FFFFFF"/>
        </a:solidFill>
      </xdr:grpSpPr>
      <xdr:sp>
        <xdr:nvSpPr>
          <xdr:cNvPr id="119" name="Line 294"/>
          <xdr:cNvSpPr>
            <a:spLocks/>
          </xdr:cNvSpPr>
        </xdr:nvSpPr>
        <xdr:spPr>
          <a:xfrm>
            <a:off x="517" y="186"/>
            <a:ext cx="17"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0" name="Line 295"/>
          <xdr:cNvSpPr>
            <a:spLocks/>
          </xdr:cNvSpPr>
        </xdr:nvSpPr>
        <xdr:spPr>
          <a:xfrm>
            <a:off x="517" y="231"/>
            <a:ext cx="17"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1" name="Line 296"/>
          <xdr:cNvSpPr>
            <a:spLocks/>
          </xdr:cNvSpPr>
        </xdr:nvSpPr>
        <xdr:spPr>
          <a:xfrm>
            <a:off x="533" y="185"/>
            <a:ext cx="0" cy="46"/>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38100</xdr:colOff>
      <xdr:row>10</xdr:row>
      <xdr:rowOff>95250</xdr:rowOff>
    </xdr:from>
    <xdr:to>
      <xdr:col>6</xdr:col>
      <xdr:colOff>85725</xdr:colOff>
      <xdr:row>13</xdr:row>
      <xdr:rowOff>57150</xdr:rowOff>
    </xdr:to>
    <xdr:grpSp>
      <xdr:nvGrpSpPr>
        <xdr:cNvPr id="122" name="Group 297"/>
        <xdr:cNvGrpSpPr>
          <a:grpSpLocks/>
        </xdr:cNvGrpSpPr>
      </xdr:nvGrpSpPr>
      <xdr:grpSpPr>
        <a:xfrm>
          <a:off x="4143375" y="1752600"/>
          <a:ext cx="47625" cy="447675"/>
          <a:chOff x="437" y="269"/>
          <a:chExt cx="5" cy="47"/>
        </a:xfrm>
        <a:solidFill>
          <a:srgbClr val="FFFFFF"/>
        </a:solidFill>
      </xdr:grpSpPr>
      <xdr:sp>
        <xdr:nvSpPr>
          <xdr:cNvPr id="123" name="Line 298"/>
          <xdr:cNvSpPr>
            <a:spLocks/>
          </xdr:cNvSpPr>
        </xdr:nvSpPr>
        <xdr:spPr>
          <a:xfrm>
            <a:off x="437" y="269"/>
            <a:ext cx="0" cy="47"/>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4" name="Line 299"/>
          <xdr:cNvSpPr>
            <a:spLocks/>
          </xdr:cNvSpPr>
        </xdr:nvSpPr>
        <xdr:spPr>
          <a:xfrm rot="5400000">
            <a:off x="439" y="269"/>
            <a:ext cx="0" cy="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466725</xdr:colOff>
      <xdr:row>10</xdr:row>
      <xdr:rowOff>95250</xdr:rowOff>
    </xdr:from>
    <xdr:to>
      <xdr:col>6</xdr:col>
      <xdr:colOff>514350</xdr:colOff>
      <xdr:row>13</xdr:row>
      <xdr:rowOff>57150</xdr:rowOff>
    </xdr:to>
    <xdr:grpSp>
      <xdr:nvGrpSpPr>
        <xdr:cNvPr id="125" name="Group 300"/>
        <xdr:cNvGrpSpPr>
          <a:grpSpLocks/>
        </xdr:cNvGrpSpPr>
      </xdr:nvGrpSpPr>
      <xdr:grpSpPr>
        <a:xfrm>
          <a:off x="4572000" y="1752600"/>
          <a:ext cx="47625" cy="447675"/>
          <a:chOff x="482" y="269"/>
          <a:chExt cx="5" cy="47"/>
        </a:xfrm>
        <a:solidFill>
          <a:srgbClr val="FFFFFF"/>
        </a:solidFill>
      </xdr:grpSpPr>
      <xdr:sp>
        <xdr:nvSpPr>
          <xdr:cNvPr id="126" name="Line 301"/>
          <xdr:cNvSpPr>
            <a:spLocks/>
          </xdr:cNvSpPr>
        </xdr:nvSpPr>
        <xdr:spPr>
          <a:xfrm flipH="1">
            <a:off x="487" y="269"/>
            <a:ext cx="0" cy="47"/>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7" name="Line 302"/>
          <xdr:cNvSpPr>
            <a:spLocks/>
          </xdr:cNvSpPr>
        </xdr:nvSpPr>
        <xdr:spPr>
          <a:xfrm rot="16200000" flipH="1">
            <a:off x="482" y="270"/>
            <a:ext cx="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38100</xdr:colOff>
      <xdr:row>22</xdr:row>
      <xdr:rowOff>95250</xdr:rowOff>
    </xdr:from>
    <xdr:to>
      <xdr:col>6</xdr:col>
      <xdr:colOff>85725</xdr:colOff>
      <xdr:row>25</xdr:row>
      <xdr:rowOff>57150</xdr:rowOff>
    </xdr:to>
    <xdr:grpSp>
      <xdr:nvGrpSpPr>
        <xdr:cNvPr id="128" name="Group 303"/>
        <xdr:cNvGrpSpPr>
          <a:grpSpLocks/>
        </xdr:cNvGrpSpPr>
      </xdr:nvGrpSpPr>
      <xdr:grpSpPr>
        <a:xfrm>
          <a:off x="4143375" y="3695700"/>
          <a:ext cx="47625" cy="447675"/>
          <a:chOff x="437" y="269"/>
          <a:chExt cx="5" cy="47"/>
        </a:xfrm>
        <a:solidFill>
          <a:srgbClr val="FFFFFF"/>
        </a:solidFill>
      </xdr:grpSpPr>
      <xdr:sp>
        <xdr:nvSpPr>
          <xdr:cNvPr id="129" name="Line 304"/>
          <xdr:cNvSpPr>
            <a:spLocks/>
          </xdr:cNvSpPr>
        </xdr:nvSpPr>
        <xdr:spPr>
          <a:xfrm>
            <a:off x="437" y="269"/>
            <a:ext cx="0" cy="47"/>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0" name="Line 305"/>
          <xdr:cNvSpPr>
            <a:spLocks/>
          </xdr:cNvSpPr>
        </xdr:nvSpPr>
        <xdr:spPr>
          <a:xfrm rot="5400000">
            <a:off x="439" y="269"/>
            <a:ext cx="0" cy="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466725</xdr:colOff>
      <xdr:row>22</xdr:row>
      <xdr:rowOff>95250</xdr:rowOff>
    </xdr:from>
    <xdr:to>
      <xdr:col>6</xdr:col>
      <xdr:colOff>514350</xdr:colOff>
      <xdr:row>25</xdr:row>
      <xdr:rowOff>57150</xdr:rowOff>
    </xdr:to>
    <xdr:grpSp>
      <xdr:nvGrpSpPr>
        <xdr:cNvPr id="131" name="Group 306"/>
        <xdr:cNvGrpSpPr>
          <a:grpSpLocks/>
        </xdr:cNvGrpSpPr>
      </xdr:nvGrpSpPr>
      <xdr:grpSpPr>
        <a:xfrm>
          <a:off x="4572000" y="3695700"/>
          <a:ext cx="47625" cy="447675"/>
          <a:chOff x="482" y="269"/>
          <a:chExt cx="5" cy="47"/>
        </a:xfrm>
        <a:solidFill>
          <a:srgbClr val="FFFFFF"/>
        </a:solidFill>
      </xdr:grpSpPr>
      <xdr:sp>
        <xdr:nvSpPr>
          <xdr:cNvPr id="132" name="Line 307"/>
          <xdr:cNvSpPr>
            <a:spLocks/>
          </xdr:cNvSpPr>
        </xdr:nvSpPr>
        <xdr:spPr>
          <a:xfrm flipH="1">
            <a:off x="487" y="269"/>
            <a:ext cx="0" cy="47"/>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3" name="Line 308"/>
          <xdr:cNvSpPr>
            <a:spLocks/>
          </xdr:cNvSpPr>
        </xdr:nvSpPr>
        <xdr:spPr>
          <a:xfrm rot="16200000" flipH="1">
            <a:off x="482" y="270"/>
            <a:ext cx="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266700</xdr:colOff>
      <xdr:row>8</xdr:row>
      <xdr:rowOff>28575</xdr:rowOff>
    </xdr:from>
    <xdr:to>
      <xdr:col>5</xdr:col>
      <xdr:colOff>428625</xdr:colOff>
      <xdr:row>8</xdr:row>
      <xdr:rowOff>28575</xdr:rowOff>
    </xdr:to>
    <xdr:sp>
      <xdr:nvSpPr>
        <xdr:cNvPr id="134" name="Line 309"/>
        <xdr:cNvSpPr>
          <a:spLocks/>
        </xdr:cNvSpPr>
      </xdr:nvSpPr>
      <xdr:spPr>
        <a:xfrm>
          <a:off x="3152775" y="136207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8</xdr:row>
      <xdr:rowOff>28575</xdr:rowOff>
    </xdr:from>
    <xdr:to>
      <xdr:col>5</xdr:col>
      <xdr:colOff>295275</xdr:colOff>
      <xdr:row>8</xdr:row>
      <xdr:rowOff>133350</xdr:rowOff>
    </xdr:to>
    <xdr:sp>
      <xdr:nvSpPr>
        <xdr:cNvPr id="135" name="Line 311"/>
        <xdr:cNvSpPr>
          <a:spLocks/>
        </xdr:cNvSpPr>
      </xdr:nvSpPr>
      <xdr:spPr>
        <a:xfrm flipV="1">
          <a:off x="3790950" y="136207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8</xdr:row>
      <xdr:rowOff>28575</xdr:rowOff>
    </xdr:from>
    <xdr:to>
      <xdr:col>5</xdr:col>
      <xdr:colOff>400050</xdr:colOff>
      <xdr:row>8</xdr:row>
      <xdr:rowOff>133350</xdr:rowOff>
    </xdr:to>
    <xdr:sp>
      <xdr:nvSpPr>
        <xdr:cNvPr id="136" name="Line 312"/>
        <xdr:cNvSpPr>
          <a:spLocks/>
        </xdr:cNvSpPr>
      </xdr:nvSpPr>
      <xdr:spPr>
        <a:xfrm flipV="1">
          <a:off x="3790950" y="1362075"/>
          <a:ext cx="104775"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428625</xdr:colOff>
      <xdr:row>8</xdr:row>
      <xdr:rowOff>28575</xdr:rowOff>
    </xdr:from>
    <xdr:to>
      <xdr:col>6</xdr:col>
      <xdr:colOff>38100</xdr:colOff>
      <xdr:row>10</xdr:row>
      <xdr:rowOff>95250</xdr:rowOff>
    </xdr:to>
    <xdr:sp>
      <xdr:nvSpPr>
        <xdr:cNvPr id="137" name="Line 313"/>
        <xdr:cNvSpPr>
          <a:spLocks/>
        </xdr:cNvSpPr>
      </xdr:nvSpPr>
      <xdr:spPr>
        <a:xfrm>
          <a:off x="3924300" y="1362075"/>
          <a:ext cx="219075"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9</xdr:row>
      <xdr:rowOff>19050</xdr:rowOff>
    </xdr:from>
    <xdr:to>
      <xdr:col>6</xdr:col>
      <xdr:colOff>561975</xdr:colOff>
      <xdr:row>9</xdr:row>
      <xdr:rowOff>76200</xdr:rowOff>
    </xdr:to>
    <xdr:sp>
      <xdr:nvSpPr>
        <xdr:cNvPr id="1" name="Rectangle 1"/>
        <xdr:cNvSpPr>
          <a:spLocks/>
        </xdr:cNvSpPr>
      </xdr:nvSpPr>
      <xdr:spPr>
        <a:xfrm>
          <a:off x="3733800" y="1514475"/>
          <a:ext cx="600075"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571500</xdr:colOff>
      <xdr:row>12</xdr:row>
      <xdr:rowOff>152400</xdr:rowOff>
    </xdr:from>
    <xdr:to>
      <xdr:col>6</xdr:col>
      <xdr:colOff>561975</xdr:colOff>
      <xdr:row>13</xdr:row>
      <xdr:rowOff>47625</xdr:rowOff>
    </xdr:to>
    <xdr:sp>
      <xdr:nvSpPr>
        <xdr:cNvPr id="2" name="Rectangle 2"/>
        <xdr:cNvSpPr>
          <a:spLocks/>
        </xdr:cNvSpPr>
      </xdr:nvSpPr>
      <xdr:spPr>
        <a:xfrm>
          <a:off x="3733800" y="2133600"/>
          <a:ext cx="600075"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9</xdr:row>
      <xdr:rowOff>76200</xdr:rowOff>
    </xdr:from>
    <xdr:to>
      <xdr:col>6</xdr:col>
      <xdr:colOff>295275</xdr:colOff>
      <xdr:row>12</xdr:row>
      <xdr:rowOff>152400</xdr:rowOff>
    </xdr:to>
    <xdr:sp>
      <xdr:nvSpPr>
        <xdr:cNvPr id="3" name="Rectangle 3"/>
        <xdr:cNvSpPr>
          <a:spLocks/>
        </xdr:cNvSpPr>
      </xdr:nvSpPr>
      <xdr:spPr>
        <a:xfrm>
          <a:off x="4029075" y="1571625"/>
          <a:ext cx="38100"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9</xdr:row>
      <xdr:rowOff>114300</xdr:rowOff>
    </xdr:from>
    <xdr:to>
      <xdr:col>6</xdr:col>
      <xdr:colOff>257175</xdr:colOff>
      <xdr:row>12</xdr:row>
      <xdr:rowOff>57150</xdr:rowOff>
    </xdr:to>
    <xdr:sp>
      <xdr:nvSpPr>
        <xdr:cNvPr id="4" name="Rectangle 4"/>
        <xdr:cNvSpPr>
          <a:spLocks/>
        </xdr:cNvSpPr>
      </xdr:nvSpPr>
      <xdr:spPr>
        <a:xfrm>
          <a:off x="3819525" y="1609725"/>
          <a:ext cx="2095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9</xdr:row>
      <xdr:rowOff>114300</xdr:rowOff>
    </xdr:from>
    <xdr:to>
      <xdr:col>6</xdr:col>
      <xdr:colOff>257175</xdr:colOff>
      <xdr:row>12</xdr:row>
      <xdr:rowOff>57150</xdr:rowOff>
    </xdr:to>
    <xdr:sp>
      <xdr:nvSpPr>
        <xdr:cNvPr id="5" name="Rectangle 5"/>
        <xdr:cNvSpPr>
          <a:spLocks/>
        </xdr:cNvSpPr>
      </xdr:nvSpPr>
      <xdr:spPr>
        <a:xfrm>
          <a:off x="3990975" y="1609725"/>
          <a:ext cx="3810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9</xdr:row>
      <xdr:rowOff>114300</xdr:rowOff>
    </xdr:from>
    <xdr:to>
      <xdr:col>6</xdr:col>
      <xdr:colOff>504825</xdr:colOff>
      <xdr:row>12</xdr:row>
      <xdr:rowOff>57150</xdr:rowOff>
    </xdr:to>
    <xdr:sp>
      <xdr:nvSpPr>
        <xdr:cNvPr id="6" name="Rectangle 6"/>
        <xdr:cNvSpPr>
          <a:spLocks/>
        </xdr:cNvSpPr>
      </xdr:nvSpPr>
      <xdr:spPr>
        <a:xfrm>
          <a:off x="4067175" y="1609725"/>
          <a:ext cx="2095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9</xdr:row>
      <xdr:rowOff>114300</xdr:rowOff>
    </xdr:from>
    <xdr:to>
      <xdr:col>6</xdr:col>
      <xdr:colOff>333375</xdr:colOff>
      <xdr:row>12</xdr:row>
      <xdr:rowOff>57150</xdr:rowOff>
    </xdr:to>
    <xdr:sp>
      <xdr:nvSpPr>
        <xdr:cNvPr id="7" name="Rectangle 7"/>
        <xdr:cNvSpPr>
          <a:spLocks/>
        </xdr:cNvSpPr>
      </xdr:nvSpPr>
      <xdr:spPr>
        <a:xfrm>
          <a:off x="4067175" y="1609725"/>
          <a:ext cx="3810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8</xdr:row>
      <xdr:rowOff>142875</xdr:rowOff>
    </xdr:from>
    <xdr:to>
      <xdr:col>8</xdr:col>
      <xdr:colOff>95250</xdr:colOff>
      <xdr:row>10</xdr:row>
      <xdr:rowOff>142875</xdr:rowOff>
    </xdr:to>
    <xdr:sp>
      <xdr:nvSpPr>
        <xdr:cNvPr id="8" name="Line 14"/>
        <xdr:cNvSpPr>
          <a:spLocks/>
        </xdr:cNvSpPr>
      </xdr:nvSpPr>
      <xdr:spPr>
        <a:xfrm>
          <a:off x="5029200" y="14763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11</xdr:row>
      <xdr:rowOff>85725</xdr:rowOff>
    </xdr:from>
    <xdr:to>
      <xdr:col>8</xdr:col>
      <xdr:colOff>95250</xdr:colOff>
      <xdr:row>13</xdr:row>
      <xdr:rowOff>133350</xdr:rowOff>
    </xdr:to>
    <xdr:sp>
      <xdr:nvSpPr>
        <xdr:cNvPr id="9" name="Line 15"/>
        <xdr:cNvSpPr>
          <a:spLocks/>
        </xdr:cNvSpPr>
      </xdr:nvSpPr>
      <xdr:spPr>
        <a:xfrm>
          <a:off x="5029200" y="1905000"/>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10</xdr:row>
      <xdr:rowOff>142875</xdr:rowOff>
    </xdr:from>
    <xdr:to>
      <xdr:col>8</xdr:col>
      <xdr:colOff>95250</xdr:colOff>
      <xdr:row>10</xdr:row>
      <xdr:rowOff>142875</xdr:rowOff>
    </xdr:to>
    <xdr:sp>
      <xdr:nvSpPr>
        <xdr:cNvPr id="10" name="Line 16"/>
        <xdr:cNvSpPr>
          <a:spLocks/>
        </xdr:cNvSpPr>
      </xdr:nvSpPr>
      <xdr:spPr>
        <a:xfrm flipH="1">
          <a:off x="4972050" y="1800225"/>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11</xdr:row>
      <xdr:rowOff>85725</xdr:rowOff>
    </xdr:from>
    <xdr:to>
      <xdr:col>8</xdr:col>
      <xdr:colOff>152400</xdr:colOff>
      <xdr:row>11</xdr:row>
      <xdr:rowOff>85725</xdr:rowOff>
    </xdr:to>
    <xdr:sp>
      <xdr:nvSpPr>
        <xdr:cNvPr id="11" name="Line 17"/>
        <xdr:cNvSpPr>
          <a:spLocks/>
        </xdr:cNvSpPr>
      </xdr:nvSpPr>
      <xdr:spPr>
        <a:xfrm>
          <a:off x="5029200" y="19050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10</xdr:row>
      <xdr:rowOff>142875</xdr:rowOff>
    </xdr:from>
    <xdr:to>
      <xdr:col>8</xdr:col>
      <xdr:colOff>152400</xdr:colOff>
      <xdr:row>11</xdr:row>
      <xdr:rowOff>85725</xdr:rowOff>
    </xdr:to>
    <xdr:sp>
      <xdr:nvSpPr>
        <xdr:cNvPr id="12" name="Line 18"/>
        <xdr:cNvSpPr>
          <a:spLocks/>
        </xdr:cNvSpPr>
      </xdr:nvSpPr>
      <xdr:spPr>
        <a:xfrm>
          <a:off x="4972050" y="1800225"/>
          <a:ext cx="11430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9</xdr:row>
      <xdr:rowOff>114300</xdr:rowOff>
    </xdr:from>
    <xdr:to>
      <xdr:col>7</xdr:col>
      <xdr:colOff>361950</xdr:colOff>
      <xdr:row>12</xdr:row>
      <xdr:rowOff>57150</xdr:rowOff>
    </xdr:to>
    <xdr:sp>
      <xdr:nvSpPr>
        <xdr:cNvPr id="13" name="Rectangle 19"/>
        <xdr:cNvSpPr>
          <a:spLocks/>
        </xdr:cNvSpPr>
      </xdr:nvSpPr>
      <xdr:spPr>
        <a:xfrm>
          <a:off x="4505325" y="1609725"/>
          <a:ext cx="2095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9</xdr:row>
      <xdr:rowOff>114300</xdr:rowOff>
    </xdr:from>
    <xdr:to>
      <xdr:col>7</xdr:col>
      <xdr:colOff>190500</xdr:colOff>
      <xdr:row>12</xdr:row>
      <xdr:rowOff>57150</xdr:rowOff>
    </xdr:to>
    <xdr:sp>
      <xdr:nvSpPr>
        <xdr:cNvPr id="14" name="Rectangle 20"/>
        <xdr:cNvSpPr>
          <a:spLocks/>
        </xdr:cNvSpPr>
      </xdr:nvSpPr>
      <xdr:spPr>
        <a:xfrm>
          <a:off x="4505325" y="1609725"/>
          <a:ext cx="3810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xdr:row>
      <xdr:rowOff>114300</xdr:rowOff>
    </xdr:from>
    <xdr:to>
      <xdr:col>7</xdr:col>
      <xdr:colOff>209550</xdr:colOff>
      <xdr:row>12</xdr:row>
      <xdr:rowOff>57150</xdr:rowOff>
    </xdr:to>
    <xdr:sp>
      <xdr:nvSpPr>
        <xdr:cNvPr id="15" name="Line 21"/>
        <xdr:cNvSpPr>
          <a:spLocks/>
        </xdr:cNvSpPr>
      </xdr:nvSpPr>
      <xdr:spPr>
        <a:xfrm>
          <a:off x="4562475" y="1609725"/>
          <a:ext cx="0" cy="4286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xdr:row>
      <xdr:rowOff>76200</xdr:rowOff>
    </xdr:from>
    <xdr:to>
      <xdr:col>7</xdr:col>
      <xdr:colOff>209550</xdr:colOff>
      <xdr:row>9</xdr:row>
      <xdr:rowOff>114300</xdr:rowOff>
    </xdr:to>
    <xdr:sp>
      <xdr:nvSpPr>
        <xdr:cNvPr id="16" name="Line 22"/>
        <xdr:cNvSpPr>
          <a:spLocks/>
        </xdr:cNvSpPr>
      </xdr:nvSpPr>
      <xdr:spPr>
        <a:xfrm>
          <a:off x="4562475" y="1571625"/>
          <a:ext cx="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12</xdr:row>
      <xdr:rowOff>57150</xdr:rowOff>
    </xdr:from>
    <xdr:to>
      <xdr:col>7</xdr:col>
      <xdr:colOff>209550</xdr:colOff>
      <xdr:row>12</xdr:row>
      <xdr:rowOff>152400</xdr:rowOff>
    </xdr:to>
    <xdr:sp>
      <xdr:nvSpPr>
        <xdr:cNvPr id="17" name="Line 23"/>
        <xdr:cNvSpPr>
          <a:spLocks/>
        </xdr:cNvSpPr>
      </xdr:nvSpPr>
      <xdr:spPr>
        <a:xfrm>
          <a:off x="4562475" y="203835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9</xdr:row>
      <xdr:rowOff>76200</xdr:rowOff>
    </xdr:from>
    <xdr:to>
      <xdr:col>6</xdr:col>
      <xdr:colOff>295275</xdr:colOff>
      <xdr:row>9</xdr:row>
      <xdr:rowOff>76200</xdr:rowOff>
    </xdr:to>
    <xdr:sp>
      <xdr:nvSpPr>
        <xdr:cNvPr id="18" name="Line 30"/>
        <xdr:cNvSpPr>
          <a:spLocks/>
        </xdr:cNvSpPr>
      </xdr:nvSpPr>
      <xdr:spPr>
        <a:xfrm>
          <a:off x="4029075" y="1571625"/>
          <a:ext cx="3810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12</xdr:row>
      <xdr:rowOff>152400</xdr:rowOff>
    </xdr:from>
    <xdr:to>
      <xdr:col>6</xdr:col>
      <xdr:colOff>295275</xdr:colOff>
      <xdr:row>12</xdr:row>
      <xdr:rowOff>152400</xdr:rowOff>
    </xdr:to>
    <xdr:sp>
      <xdr:nvSpPr>
        <xdr:cNvPr id="19" name="Line 31"/>
        <xdr:cNvSpPr>
          <a:spLocks/>
        </xdr:cNvSpPr>
      </xdr:nvSpPr>
      <xdr:spPr>
        <a:xfrm>
          <a:off x="4029075" y="2133600"/>
          <a:ext cx="3810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504825</xdr:colOff>
      <xdr:row>9</xdr:row>
      <xdr:rowOff>114300</xdr:rowOff>
    </xdr:from>
    <xdr:to>
      <xdr:col>6</xdr:col>
      <xdr:colOff>9525</xdr:colOff>
      <xdr:row>9</xdr:row>
      <xdr:rowOff>114300</xdr:rowOff>
    </xdr:to>
    <xdr:sp>
      <xdr:nvSpPr>
        <xdr:cNvPr id="20" name="Line 35"/>
        <xdr:cNvSpPr>
          <a:spLocks/>
        </xdr:cNvSpPr>
      </xdr:nvSpPr>
      <xdr:spPr>
        <a:xfrm flipH="1">
          <a:off x="3667125" y="1609725"/>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552450</xdr:colOff>
      <xdr:row>9</xdr:row>
      <xdr:rowOff>123825</xdr:rowOff>
    </xdr:from>
    <xdr:to>
      <xdr:col>5</xdr:col>
      <xdr:colOff>552450</xdr:colOff>
      <xdr:row>12</xdr:row>
      <xdr:rowOff>57150</xdr:rowOff>
    </xdr:to>
    <xdr:sp>
      <xdr:nvSpPr>
        <xdr:cNvPr id="21" name="Line 37"/>
        <xdr:cNvSpPr>
          <a:spLocks/>
        </xdr:cNvSpPr>
      </xdr:nvSpPr>
      <xdr:spPr>
        <a:xfrm>
          <a:off x="3714750" y="1619250"/>
          <a:ext cx="0" cy="4191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12</xdr:row>
      <xdr:rowOff>85725</xdr:rowOff>
    </xdr:from>
    <xdr:to>
      <xdr:col>6</xdr:col>
      <xdr:colOff>47625</xdr:colOff>
      <xdr:row>14</xdr:row>
      <xdr:rowOff>47625</xdr:rowOff>
    </xdr:to>
    <xdr:sp>
      <xdr:nvSpPr>
        <xdr:cNvPr id="22" name="Line 38"/>
        <xdr:cNvSpPr>
          <a:spLocks/>
        </xdr:cNvSpPr>
      </xdr:nvSpPr>
      <xdr:spPr>
        <a:xfrm>
          <a:off x="3819525" y="2066925"/>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13</xdr:row>
      <xdr:rowOff>9525</xdr:rowOff>
    </xdr:from>
    <xdr:to>
      <xdr:col>6</xdr:col>
      <xdr:colOff>257175</xdr:colOff>
      <xdr:row>14</xdr:row>
      <xdr:rowOff>47625</xdr:rowOff>
    </xdr:to>
    <xdr:sp>
      <xdr:nvSpPr>
        <xdr:cNvPr id="23" name="Line 39"/>
        <xdr:cNvSpPr>
          <a:spLocks/>
        </xdr:cNvSpPr>
      </xdr:nvSpPr>
      <xdr:spPr>
        <a:xfrm>
          <a:off x="4029075" y="2152650"/>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14</xdr:row>
      <xdr:rowOff>0</xdr:rowOff>
    </xdr:from>
    <xdr:to>
      <xdr:col>6</xdr:col>
      <xdr:colOff>257175</xdr:colOff>
      <xdr:row>14</xdr:row>
      <xdr:rowOff>0</xdr:rowOff>
    </xdr:to>
    <xdr:sp>
      <xdr:nvSpPr>
        <xdr:cNvPr id="24" name="Line 40"/>
        <xdr:cNvSpPr>
          <a:spLocks/>
        </xdr:cNvSpPr>
      </xdr:nvSpPr>
      <xdr:spPr>
        <a:xfrm>
          <a:off x="3819525" y="2305050"/>
          <a:ext cx="2095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171450</xdr:colOff>
      <xdr:row>14</xdr:row>
      <xdr:rowOff>0</xdr:rowOff>
    </xdr:from>
    <xdr:to>
      <xdr:col>6</xdr:col>
      <xdr:colOff>47625</xdr:colOff>
      <xdr:row>14</xdr:row>
      <xdr:rowOff>0</xdr:rowOff>
    </xdr:to>
    <xdr:sp>
      <xdr:nvSpPr>
        <xdr:cNvPr id="25" name="Line 41"/>
        <xdr:cNvSpPr>
          <a:spLocks/>
        </xdr:cNvSpPr>
      </xdr:nvSpPr>
      <xdr:spPr>
        <a:xfrm flipH="1">
          <a:off x="3333750" y="2305050"/>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7</xdr:row>
      <xdr:rowOff>9525</xdr:rowOff>
    </xdr:from>
    <xdr:to>
      <xdr:col>7</xdr:col>
      <xdr:colOff>152400</xdr:colOff>
      <xdr:row>9</xdr:row>
      <xdr:rowOff>85725</xdr:rowOff>
    </xdr:to>
    <xdr:sp>
      <xdr:nvSpPr>
        <xdr:cNvPr id="26" name="Line 44"/>
        <xdr:cNvSpPr>
          <a:spLocks/>
        </xdr:cNvSpPr>
      </xdr:nvSpPr>
      <xdr:spPr>
        <a:xfrm flipV="1">
          <a:off x="4505325" y="1181100"/>
          <a:ext cx="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190500</xdr:colOff>
      <xdr:row>7</xdr:row>
      <xdr:rowOff>9525</xdr:rowOff>
    </xdr:from>
    <xdr:to>
      <xdr:col>7</xdr:col>
      <xdr:colOff>190500</xdr:colOff>
      <xdr:row>9</xdr:row>
      <xdr:rowOff>85725</xdr:rowOff>
    </xdr:to>
    <xdr:sp>
      <xdr:nvSpPr>
        <xdr:cNvPr id="27" name="Line 45"/>
        <xdr:cNvSpPr>
          <a:spLocks/>
        </xdr:cNvSpPr>
      </xdr:nvSpPr>
      <xdr:spPr>
        <a:xfrm flipV="1">
          <a:off x="4543425" y="1181100"/>
          <a:ext cx="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7</xdr:row>
      <xdr:rowOff>47625</xdr:rowOff>
    </xdr:from>
    <xdr:to>
      <xdr:col>7</xdr:col>
      <xdr:colOff>152400</xdr:colOff>
      <xdr:row>7</xdr:row>
      <xdr:rowOff>47625</xdr:rowOff>
    </xdr:to>
    <xdr:sp>
      <xdr:nvSpPr>
        <xdr:cNvPr id="28" name="Line 46"/>
        <xdr:cNvSpPr>
          <a:spLocks/>
        </xdr:cNvSpPr>
      </xdr:nvSpPr>
      <xdr:spPr>
        <a:xfrm>
          <a:off x="4371975" y="1219200"/>
          <a:ext cx="1333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190500</xdr:colOff>
      <xdr:row>7</xdr:row>
      <xdr:rowOff>47625</xdr:rowOff>
    </xdr:from>
    <xdr:to>
      <xdr:col>7</xdr:col>
      <xdr:colOff>323850</xdr:colOff>
      <xdr:row>7</xdr:row>
      <xdr:rowOff>47625</xdr:rowOff>
    </xdr:to>
    <xdr:sp>
      <xdr:nvSpPr>
        <xdr:cNvPr id="29" name="Line 47"/>
        <xdr:cNvSpPr>
          <a:spLocks/>
        </xdr:cNvSpPr>
      </xdr:nvSpPr>
      <xdr:spPr>
        <a:xfrm flipH="1">
          <a:off x="4543425" y="1219200"/>
          <a:ext cx="1333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7</xdr:row>
      <xdr:rowOff>47625</xdr:rowOff>
    </xdr:from>
    <xdr:to>
      <xdr:col>7</xdr:col>
      <xdr:colOff>190500</xdr:colOff>
      <xdr:row>7</xdr:row>
      <xdr:rowOff>47625</xdr:rowOff>
    </xdr:to>
    <xdr:sp>
      <xdr:nvSpPr>
        <xdr:cNvPr id="30" name="Line 48"/>
        <xdr:cNvSpPr>
          <a:spLocks/>
        </xdr:cNvSpPr>
      </xdr:nvSpPr>
      <xdr:spPr>
        <a:xfrm>
          <a:off x="4505325" y="1219200"/>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13</xdr:row>
      <xdr:rowOff>9525</xdr:rowOff>
    </xdr:from>
    <xdr:to>
      <xdr:col>6</xdr:col>
      <xdr:colOff>295275</xdr:colOff>
      <xdr:row>14</xdr:row>
      <xdr:rowOff>47625</xdr:rowOff>
    </xdr:to>
    <xdr:sp>
      <xdr:nvSpPr>
        <xdr:cNvPr id="31" name="Line 49"/>
        <xdr:cNvSpPr>
          <a:spLocks/>
        </xdr:cNvSpPr>
      </xdr:nvSpPr>
      <xdr:spPr>
        <a:xfrm>
          <a:off x="4067175" y="2152650"/>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14</xdr:row>
      <xdr:rowOff>0</xdr:rowOff>
    </xdr:from>
    <xdr:to>
      <xdr:col>6</xdr:col>
      <xdr:colOff>533400</xdr:colOff>
      <xdr:row>14</xdr:row>
      <xdr:rowOff>0</xdr:rowOff>
    </xdr:to>
    <xdr:sp>
      <xdr:nvSpPr>
        <xdr:cNvPr id="32" name="Line 50"/>
        <xdr:cNvSpPr>
          <a:spLocks/>
        </xdr:cNvSpPr>
      </xdr:nvSpPr>
      <xdr:spPr>
        <a:xfrm flipH="1">
          <a:off x="4067175" y="2305050"/>
          <a:ext cx="2381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14</xdr:row>
      <xdr:rowOff>0</xdr:rowOff>
    </xdr:from>
    <xdr:to>
      <xdr:col>6</xdr:col>
      <xdr:colOff>295275</xdr:colOff>
      <xdr:row>14</xdr:row>
      <xdr:rowOff>0</xdr:rowOff>
    </xdr:to>
    <xdr:sp>
      <xdr:nvSpPr>
        <xdr:cNvPr id="33" name="Line 51"/>
        <xdr:cNvSpPr>
          <a:spLocks/>
        </xdr:cNvSpPr>
      </xdr:nvSpPr>
      <xdr:spPr>
        <a:xfrm>
          <a:off x="4029075" y="2305050"/>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xdr:row>
      <xdr:rowOff>19050</xdr:rowOff>
    </xdr:from>
    <xdr:to>
      <xdr:col>8</xdr:col>
      <xdr:colOff>95250</xdr:colOff>
      <xdr:row>9</xdr:row>
      <xdr:rowOff>76200</xdr:rowOff>
    </xdr:to>
    <xdr:sp>
      <xdr:nvSpPr>
        <xdr:cNvPr id="34" name="Rectangle 52"/>
        <xdr:cNvSpPr>
          <a:spLocks/>
        </xdr:cNvSpPr>
      </xdr:nvSpPr>
      <xdr:spPr>
        <a:xfrm>
          <a:off x="4562475" y="1514475"/>
          <a:ext cx="466725"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12</xdr:row>
      <xdr:rowOff>152400</xdr:rowOff>
    </xdr:from>
    <xdr:to>
      <xdr:col>8</xdr:col>
      <xdr:colOff>95250</xdr:colOff>
      <xdr:row>13</xdr:row>
      <xdr:rowOff>47625</xdr:rowOff>
    </xdr:to>
    <xdr:sp>
      <xdr:nvSpPr>
        <xdr:cNvPr id="35" name="Rectangle 53"/>
        <xdr:cNvSpPr>
          <a:spLocks/>
        </xdr:cNvSpPr>
      </xdr:nvSpPr>
      <xdr:spPr>
        <a:xfrm>
          <a:off x="4562475" y="2133600"/>
          <a:ext cx="466725"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9</xdr:row>
      <xdr:rowOff>19050</xdr:rowOff>
    </xdr:from>
    <xdr:to>
      <xdr:col>8</xdr:col>
      <xdr:colOff>247650</xdr:colOff>
      <xdr:row>9</xdr:row>
      <xdr:rowOff>19050</xdr:rowOff>
    </xdr:to>
    <xdr:sp>
      <xdr:nvSpPr>
        <xdr:cNvPr id="36" name="Line 54"/>
        <xdr:cNvSpPr>
          <a:spLocks/>
        </xdr:cNvSpPr>
      </xdr:nvSpPr>
      <xdr:spPr>
        <a:xfrm>
          <a:off x="5057775" y="1514475"/>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428625</xdr:colOff>
      <xdr:row>10</xdr:row>
      <xdr:rowOff>76200</xdr:rowOff>
    </xdr:from>
    <xdr:to>
      <xdr:col>7</xdr:col>
      <xdr:colOff>428625</xdr:colOff>
      <xdr:row>12</xdr:row>
      <xdr:rowOff>19050</xdr:rowOff>
    </xdr:to>
    <xdr:sp>
      <xdr:nvSpPr>
        <xdr:cNvPr id="37" name="Line 55"/>
        <xdr:cNvSpPr>
          <a:spLocks/>
        </xdr:cNvSpPr>
      </xdr:nvSpPr>
      <xdr:spPr>
        <a:xfrm>
          <a:off x="4781550" y="173355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9</xdr:row>
      <xdr:rowOff>123825</xdr:rowOff>
    </xdr:from>
    <xdr:to>
      <xdr:col>8</xdr:col>
      <xdr:colOff>257175</xdr:colOff>
      <xdr:row>9</xdr:row>
      <xdr:rowOff>123825</xdr:rowOff>
    </xdr:to>
    <xdr:sp>
      <xdr:nvSpPr>
        <xdr:cNvPr id="38" name="Line 106"/>
        <xdr:cNvSpPr>
          <a:spLocks/>
        </xdr:cNvSpPr>
      </xdr:nvSpPr>
      <xdr:spPr>
        <a:xfrm>
          <a:off x="4752975" y="161925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xdr:row>
      <xdr:rowOff>104775</xdr:rowOff>
    </xdr:from>
    <xdr:to>
      <xdr:col>7</xdr:col>
      <xdr:colOff>371475</xdr:colOff>
      <xdr:row>9</xdr:row>
      <xdr:rowOff>104775</xdr:rowOff>
    </xdr:to>
    <xdr:sp>
      <xdr:nvSpPr>
        <xdr:cNvPr id="39" name="Line 118"/>
        <xdr:cNvSpPr>
          <a:spLocks/>
        </xdr:cNvSpPr>
      </xdr:nvSpPr>
      <xdr:spPr>
        <a:xfrm>
          <a:off x="4562475" y="1600200"/>
          <a:ext cx="1619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12</xdr:row>
      <xdr:rowOff>66675</xdr:rowOff>
    </xdr:from>
    <xdr:to>
      <xdr:col>7</xdr:col>
      <xdr:colOff>371475</xdr:colOff>
      <xdr:row>12</xdr:row>
      <xdr:rowOff>66675</xdr:rowOff>
    </xdr:to>
    <xdr:sp>
      <xdr:nvSpPr>
        <xdr:cNvPr id="40" name="Line 119"/>
        <xdr:cNvSpPr>
          <a:spLocks/>
        </xdr:cNvSpPr>
      </xdr:nvSpPr>
      <xdr:spPr>
        <a:xfrm>
          <a:off x="4562475" y="2047875"/>
          <a:ext cx="1619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371475</xdr:colOff>
      <xdr:row>9</xdr:row>
      <xdr:rowOff>95250</xdr:rowOff>
    </xdr:from>
    <xdr:to>
      <xdr:col>7</xdr:col>
      <xdr:colOff>371475</xdr:colOff>
      <xdr:row>12</xdr:row>
      <xdr:rowOff>76200</xdr:rowOff>
    </xdr:to>
    <xdr:sp>
      <xdr:nvSpPr>
        <xdr:cNvPr id="41" name="Line 120"/>
        <xdr:cNvSpPr>
          <a:spLocks/>
        </xdr:cNvSpPr>
      </xdr:nvSpPr>
      <xdr:spPr>
        <a:xfrm>
          <a:off x="4724400" y="1590675"/>
          <a:ext cx="0" cy="4667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12</xdr:row>
      <xdr:rowOff>85725</xdr:rowOff>
    </xdr:from>
    <xdr:to>
      <xdr:col>7</xdr:col>
      <xdr:colOff>152400</xdr:colOff>
      <xdr:row>15</xdr:row>
      <xdr:rowOff>142875</xdr:rowOff>
    </xdr:to>
    <xdr:sp>
      <xdr:nvSpPr>
        <xdr:cNvPr id="42" name="Line 121"/>
        <xdr:cNvSpPr>
          <a:spLocks/>
        </xdr:cNvSpPr>
      </xdr:nvSpPr>
      <xdr:spPr>
        <a:xfrm>
          <a:off x="4505325" y="2066925"/>
          <a:ext cx="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13</xdr:row>
      <xdr:rowOff>76200</xdr:rowOff>
    </xdr:from>
    <xdr:to>
      <xdr:col>7</xdr:col>
      <xdr:colOff>209550</xdr:colOff>
      <xdr:row>14</xdr:row>
      <xdr:rowOff>57150</xdr:rowOff>
    </xdr:to>
    <xdr:sp>
      <xdr:nvSpPr>
        <xdr:cNvPr id="43" name="Line 122"/>
        <xdr:cNvSpPr>
          <a:spLocks/>
        </xdr:cNvSpPr>
      </xdr:nvSpPr>
      <xdr:spPr>
        <a:xfrm>
          <a:off x="4562475" y="2219325"/>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14</xdr:row>
      <xdr:rowOff>0</xdr:rowOff>
    </xdr:from>
    <xdr:to>
      <xdr:col>7</xdr:col>
      <xdr:colOff>152400</xdr:colOff>
      <xdr:row>14</xdr:row>
      <xdr:rowOff>0</xdr:rowOff>
    </xdr:to>
    <xdr:sp>
      <xdr:nvSpPr>
        <xdr:cNvPr id="44" name="Line 123"/>
        <xdr:cNvSpPr>
          <a:spLocks/>
        </xdr:cNvSpPr>
      </xdr:nvSpPr>
      <xdr:spPr>
        <a:xfrm>
          <a:off x="4371975" y="2305050"/>
          <a:ext cx="1333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14</xdr:row>
      <xdr:rowOff>0</xdr:rowOff>
    </xdr:from>
    <xdr:to>
      <xdr:col>7</xdr:col>
      <xdr:colOff>209550</xdr:colOff>
      <xdr:row>14</xdr:row>
      <xdr:rowOff>0</xdr:rowOff>
    </xdr:to>
    <xdr:sp>
      <xdr:nvSpPr>
        <xdr:cNvPr id="45" name="Line 124"/>
        <xdr:cNvSpPr>
          <a:spLocks/>
        </xdr:cNvSpPr>
      </xdr:nvSpPr>
      <xdr:spPr>
        <a:xfrm>
          <a:off x="4505325" y="230505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xdr:row>
      <xdr:rowOff>0</xdr:rowOff>
    </xdr:from>
    <xdr:to>
      <xdr:col>7</xdr:col>
      <xdr:colOff>342900</xdr:colOff>
      <xdr:row>14</xdr:row>
      <xdr:rowOff>0</xdr:rowOff>
    </xdr:to>
    <xdr:sp>
      <xdr:nvSpPr>
        <xdr:cNvPr id="46" name="Line 125"/>
        <xdr:cNvSpPr>
          <a:spLocks/>
        </xdr:cNvSpPr>
      </xdr:nvSpPr>
      <xdr:spPr>
        <a:xfrm flipH="1">
          <a:off x="4562475" y="2305050"/>
          <a:ext cx="1333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361950</xdr:colOff>
      <xdr:row>12</xdr:row>
      <xdr:rowOff>85725</xdr:rowOff>
    </xdr:from>
    <xdr:to>
      <xdr:col>7</xdr:col>
      <xdr:colOff>361950</xdr:colOff>
      <xdr:row>13</xdr:row>
      <xdr:rowOff>104775</xdr:rowOff>
    </xdr:to>
    <xdr:sp>
      <xdr:nvSpPr>
        <xdr:cNvPr id="47" name="Line 126"/>
        <xdr:cNvSpPr>
          <a:spLocks/>
        </xdr:cNvSpPr>
      </xdr:nvSpPr>
      <xdr:spPr>
        <a:xfrm>
          <a:off x="4714875" y="206692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361950</xdr:colOff>
      <xdr:row>15</xdr:row>
      <xdr:rowOff>0</xdr:rowOff>
    </xdr:from>
    <xdr:to>
      <xdr:col>7</xdr:col>
      <xdr:colOff>361950</xdr:colOff>
      <xdr:row>15</xdr:row>
      <xdr:rowOff>142875</xdr:rowOff>
    </xdr:to>
    <xdr:sp>
      <xdr:nvSpPr>
        <xdr:cNvPr id="48" name="Line 127"/>
        <xdr:cNvSpPr>
          <a:spLocks/>
        </xdr:cNvSpPr>
      </xdr:nvSpPr>
      <xdr:spPr>
        <a:xfrm>
          <a:off x="4714875" y="2466975"/>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15</xdr:row>
      <xdr:rowOff>95250</xdr:rowOff>
    </xdr:from>
    <xdr:to>
      <xdr:col>7</xdr:col>
      <xdr:colOff>361950</xdr:colOff>
      <xdr:row>15</xdr:row>
      <xdr:rowOff>95250</xdr:rowOff>
    </xdr:to>
    <xdr:sp>
      <xdr:nvSpPr>
        <xdr:cNvPr id="49" name="Line 128"/>
        <xdr:cNvSpPr>
          <a:spLocks/>
        </xdr:cNvSpPr>
      </xdr:nvSpPr>
      <xdr:spPr>
        <a:xfrm>
          <a:off x="4505325" y="2562225"/>
          <a:ext cx="2095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0</xdr:colOff>
      <xdr:row>23</xdr:row>
      <xdr:rowOff>0</xdr:rowOff>
    </xdr:from>
    <xdr:to>
      <xdr:col>63</xdr:col>
      <xdr:colOff>0</xdr:colOff>
      <xdr:row>26</xdr:row>
      <xdr:rowOff>0</xdr:rowOff>
    </xdr:to>
    <xdr:sp>
      <xdr:nvSpPr>
        <xdr:cNvPr id="50" name="Rectangle 161"/>
        <xdr:cNvSpPr>
          <a:spLocks/>
        </xdr:cNvSpPr>
      </xdr:nvSpPr>
      <xdr:spPr>
        <a:xfrm>
          <a:off x="7505700" y="3762375"/>
          <a:ext cx="1866900"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xdr:colOff>
      <xdr:row>9</xdr:row>
      <xdr:rowOff>95250</xdr:rowOff>
    </xdr:from>
    <xdr:to>
      <xdr:col>6</xdr:col>
      <xdr:colOff>85725</xdr:colOff>
      <xdr:row>12</xdr:row>
      <xdr:rowOff>57150</xdr:rowOff>
    </xdr:to>
    <xdr:grpSp>
      <xdr:nvGrpSpPr>
        <xdr:cNvPr id="51" name="Group 213"/>
        <xdr:cNvGrpSpPr>
          <a:grpSpLocks/>
        </xdr:cNvGrpSpPr>
      </xdr:nvGrpSpPr>
      <xdr:grpSpPr>
        <a:xfrm>
          <a:off x="3810000" y="1590675"/>
          <a:ext cx="47625" cy="447675"/>
          <a:chOff x="437" y="269"/>
          <a:chExt cx="5" cy="47"/>
        </a:xfrm>
        <a:solidFill>
          <a:srgbClr val="FFFFFF"/>
        </a:solidFill>
      </xdr:grpSpPr>
      <xdr:sp>
        <xdr:nvSpPr>
          <xdr:cNvPr id="52" name="Line 214"/>
          <xdr:cNvSpPr>
            <a:spLocks/>
          </xdr:cNvSpPr>
        </xdr:nvSpPr>
        <xdr:spPr>
          <a:xfrm>
            <a:off x="437" y="269"/>
            <a:ext cx="0" cy="47"/>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Line 215"/>
          <xdr:cNvSpPr>
            <a:spLocks/>
          </xdr:cNvSpPr>
        </xdr:nvSpPr>
        <xdr:spPr>
          <a:xfrm rot="5400000">
            <a:off x="439" y="269"/>
            <a:ext cx="0" cy="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466725</xdr:colOff>
      <xdr:row>9</xdr:row>
      <xdr:rowOff>95250</xdr:rowOff>
    </xdr:from>
    <xdr:to>
      <xdr:col>6</xdr:col>
      <xdr:colOff>514350</xdr:colOff>
      <xdr:row>12</xdr:row>
      <xdr:rowOff>57150</xdr:rowOff>
    </xdr:to>
    <xdr:grpSp>
      <xdr:nvGrpSpPr>
        <xdr:cNvPr id="54" name="Group 216"/>
        <xdr:cNvGrpSpPr>
          <a:grpSpLocks/>
        </xdr:cNvGrpSpPr>
      </xdr:nvGrpSpPr>
      <xdr:grpSpPr>
        <a:xfrm>
          <a:off x="4238625" y="1590675"/>
          <a:ext cx="47625" cy="447675"/>
          <a:chOff x="482" y="269"/>
          <a:chExt cx="5" cy="47"/>
        </a:xfrm>
        <a:solidFill>
          <a:srgbClr val="FFFFFF"/>
        </a:solidFill>
      </xdr:grpSpPr>
      <xdr:sp>
        <xdr:nvSpPr>
          <xdr:cNvPr id="55" name="Line 217"/>
          <xdr:cNvSpPr>
            <a:spLocks/>
          </xdr:cNvSpPr>
        </xdr:nvSpPr>
        <xdr:spPr>
          <a:xfrm flipH="1">
            <a:off x="487" y="269"/>
            <a:ext cx="0" cy="47"/>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6" name="Line 218"/>
          <xdr:cNvSpPr>
            <a:spLocks/>
          </xdr:cNvSpPr>
        </xdr:nvSpPr>
        <xdr:spPr>
          <a:xfrm rot="16200000" flipH="1">
            <a:off x="482" y="270"/>
            <a:ext cx="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504825</xdr:colOff>
      <xdr:row>12</xdr:row>
      <xdr:rowOff>57150</xdr:rowOff>
    </xdr:from>
    <xdr:to>
      <xdr:col>6</xdr:col>
      <xdr:colOff>9525</xdr:colOff>
      <xdr:row>12</xdr:row>
      <xdr:rowOff>57150</xdr:rowOff>
    </xdr:to>
    <xdr:sp>
      <xdr:nvSpPr>
        <xdr:cNvPr id="57" name="Line 219"/>
        <xdr:cNvSpPr>
          <a:spLocks/>
        </xdr:cNvSpPr>
      </xdr:nvSpPr>
      <xdr:spPr>
        <a:xfrm flipH="1">
          <a:off x="3667125" y="2038350"/>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7</xdr:row>
      <xdr:rowOff>28575</xdr:rowOff>
    </xdr:from>
    <xdr:to>
      <xdr:col>5</xdr:col>
      <xdr:colOff>428625</xdr:colOff>
      <xdr:row>7</xdr:row>
      <xdr:rowOff>28575</xdr:rowOff>
    </xdr:to>
    <xdr:sp>
      <xdr:nvSpPr>
        <xdr:cNvPr id="58" name="Line 223"/>
        <xdr:cNvSpPr>
          <a:spLocks/>
        </xdr:cNvSpPr>
      </xdr:nvSpPr>
      <xdr:spPr>
        <a:xfrm>
          <a:off x="2847975" y="1200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xdr:row>
      <xdr:rowOff>28575</xdr:rowOff>
    </xdr:from>
    <xdr:to>
      <xdr:col>5</xdr:col>
      <xdr:colOff>295275</xdr:colOff>
      <xdr:row>7</xdr:row>
      <xdr:rowOff>133350</xdr:rowOff>
    </xdr:to>
    <xdr:sp>
      <xdr:nvSpPr>
        <xdr:cNvPr id="59" name="Line 224"/>
        <xdr:cNvSpPr>
          <a:spLocks/>
        </xdr:cNvSpPr>
      </xdr:nvSpPr>
      <xdr:spPr>
        <a:xfrm flipV="1">
          <a:off x="3457575" y="1200150"/>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xdr:row>
      <xdr:rowOff>28575</xdr:rowOff>
    </xdr:from>
    <xdr:to>
      <xdr:col>5</xdr:col>
      <xdr:colOff>400050</xdr:colOff>
      <xdr:row>7</xdr:row>
      <xdr:rowOff>133350</xdr:rowOff>
    </xdr:to>
    <xdr:sp>
      <xdr:nvSpPr>
        <xdr:cNvPr id="60" name="Line 225"/>
        <xdr:cNvSpPr>
          <a:spLocks/>
        </xdr:cNvSpPr>
      </xdr:nvSpPr>
      <xdr:spPr>
        <a:xfrm flipV="1">
          <a:off x="3457575" y="1200150"/>
          <a:ext cx="104775"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428625</xdr:colOff>
      <xdr:row>7</xdr:row>
      <xdr:rowOff>28575</xdr:rowOff>
    </xdr:from>
    <xdr:to>
      <xdr:col>6</xdr:col>
      <xdr:colOff>38100</xdr:colOff>
      <xdr:row>9</xdr:row>
      <xdr:rowOff>95250</xdr:rowOff>
    </xdr:to>
    <xdr:sp>
      <xdr:nvSpPr>
        <xdr:cNvPr id="61" name="Line 226"/>
        <xdr:cNvSpPr>
          <a:spLocks/>
        </xdr:cNvSpPr>
      </xdr:nvSpPr>
      <xdr:spPr>
        <a:xfrm>
          <a:off x="3590925" y="1200150"/>
          <a:ext cx="219075"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28575</xdr:rowOff>
    </xdr:from>
    <xdr:to>
      <xdr:col>9</xdr:col>
      <xdr:colOff>219075</xdr:colOff>
      <xdr:row>7</xdr:row>
      <xdr:rowOff>28575</xdr:rowOff>
    </xdr:to>
    <xdr:sp>
      <xdr:nvSpPr>
        <xdr:cNvPr id="62" name="Line 233"/>
        <xdr:cNvSpPr>
          <a:spLocks/>
        </xdr:cNvSpPr>
      </xdr:nvSpPr>
      <xdr:spPr>
        <a:xfrm>
          <a:off x="4933950" y="1200150"/>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38100</xdr:colOff>
      <xdr:row>7</xdr:row>
      <xdr:rowOff>28575</xdr:rowOff>
    </xdr:from>
    <xdr:to>
      <xdr:col>9</xdr:col>
      <xdr:colOff>38100</xdr:colOff>
      <xdr:row>7</xdr:row>
      <xdr:rowOff>133350</xdr:rowOff>
    </xdr:to>
    <xdr:sp>
      <xdr:nvSpPr>
        <xdr:cNvPr id="63" name="Line 235"/>
        <xdr:cNvSpPr>
          <a:spLocks/>
        </xdr:cNvSpPr>
      </xdr:nvSpPr>
      <xdr:spPr>
        <a:xfrm flipV="1">
          <a:off x="5581650" y="1200150"/>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352425</xdr:colOff>
      <xdr:row>7</xdr:row>
      <xdr:rowOff>28575</xdr:rowOff>
    </xdr:from>
    <xdr:to>
      <xdr:col>8</xdr:col>
      <xdr:colOff>0</xdr:colOff>
      <xdr:row>9</xdr:row>
      <xdr:rowOff>104775</xdr:rowOff>
    </xdr:to>
    <xdr:sp>
      <xdr:nvSpPr>
        <xdr:cNvPr id="64" name="Line 236"/>
        <xdr:cNvSpPr>
          <a:spLocks/>
        </xdr:cNvSpPr>
      </xdr:nvSpPr>
      <xdr:spPr>
        <a:xfrm flipH="1">
          <a:off x="4705350" y="1200150"/>
          <a:ext cx="22860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47625</xdr:colOff>
      <xdr:row>7</xdr:row>
      <xdr:rowOff>28575</xdr:rowOff>
    </xdr:from>
    <xdr:to>
      <xdr:col>9</xdr:col>
      <xdr:colOff>152400</xdr:colOff>
      <xdr:row>7</xdr:row>
      <xdr:rowOff>133350</xdr:rowOff>
    </xdr:to>
    <xdr:sp>
      <xdr:nvSpPr>
        <xdr:cNvPr id="65" name="Line 237"/>
        <xdr:cNvSpPr>
          <a:spLocks/>
        </xdr:cNvSpPr>
      </xdr:nvSpPr>
      <xdr:spPr>
        <a:xfrm flipV="1">
          <a:off x="5591175" y="1200150"/>
          <a:ext cx="104775"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8</xdr:row>
      <xdr:rowOff>57150</xdr:rowOff>
    </xdr:from>
    <xdr:to>
      <xdr:col>8</xdr:col>
      <xdr:colOff>219075</xdr:colOff>
      <xdr:row>10</xdr:row>
      <xdr:rowOff>57150</xdr:rowOff>
    </xdr:to>
    <xdr:grpSp>
      <xdr:nvGrpSpPr>
        <xdr:cNvPr id="66" name="Group 241"/>
        <xdr:cNvGrpSpPr>
          <a:grpSpLocks/>
        </xdr:cNvGrpSpPr>
      </xdr:nvGrpSpPr>
      <xdr:grpSpPr>
        <a:xfrm>
          <a:off x="5153025" y="1390650"/>
          <a:ext cx="0" cy="323850"/>
          <a:chOff x="580" y="163"/>
          <a:chExt cx="0" cy="34"/>
        </a:xfrm>
        <a:solidFill>
          <a:srgbClr val="FFFFFF"/>
        </a:solidFill>
      </xdr:grpSpPr>
      <xdr:sp>
        <xdr:nvSpPr>
          <xdr:cNvPr id="67" name="Line 242"/>
          <xdr:cNvSpPr>
            <a:spLocks/>
          </xdr:cNvSpPr>
        </xdr:nvSpPr>
        <xdr:spPr>
          <a:xfrm flipV="1">
            <a:off x="580" y="163"/>
            <a:ext cx="0" cy="13"/>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sp>
        <xdr:nvSpPr>
          <xdr:cNvPr id="68" name="Line 243"/>
          <xdr:cNvSpPr>
            <a:spLocks/>
          </xdr:cNvSpPr>
        </xdr:nvSpPr>
        <xdr:spPr>
          <a:xfrm>
            <a:off x="580" y="186"/>
            <a:ext cx="0" cy="11"/>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68"/>
  <sheetViews>
    <sheetView tabSelected="1" zoomScalePageLayoutView="0" workbookViewId="0" topLeftCell="A1">
      <selection activeCell="A1" sqref="A1"/>
    </sheetView>
  </sheetViews>
  <sheetFormatPr defaultColWidth="9.140625" defaultRowHeight="12.75"/>
  <cols>
    <col min="1" max="9" width="9.140625" style="298" customWidth="1"/>
    <col min="10" max="10" width="5.7109375" style="298" customWidth="1"/>
    <col min="11" max="11" width="9.140625" style="298" customWidth="1"/>
    <col min="12" max="16384" width="9.140625" style="299" customWidth="1"/>
  </cols>
  <sheetData>
    <row r="1" spans="1:10" ht="15.75">
      <c r="A1" s="296" t="s">
        <v>134</v>
      </c>
      <c r="B1" s="297"/>
      <c r="C1" s="297"/>
      <c r="D1" s="297"/>
      <c r="E1" s="297"/>
      <c r="F1" s="297"/>
      <c r="G1" s="297"/>
      <c r="H1" s="297"/>
      <c r="I1" s="297"/>
      <c r="J1" s="297"/>
    </row>
    <row r="3" ht="12.75">
      <c r="A3" s="300" t="s">
        <v>1069</v>
      </c>
    </row>
    <row r="5" ht="12.75">
      <c r="A5" s="298" t="s">
        <v>135</v>
      </c>
    </row>
    <row r="6" ht="12.75">
      <c r="A6" s="298" t="s">
        <v>137</v>
      </c>
    </row>
    <row r="7" ht="12.75">
      <c r="A7" s="298" t="s">
        <v>138</v>
      </c>
    </row>
    <row r="8" ht="12.75">
      <c r="A8" s="298" t="s">
        <v>140</v>
      </c>
    </row>
    <row r="9" ht="12.75">
      <c r="A9" s="298" t="s">
        <v>139</v>
      </c>
    </row>
    <row r="11" ht="12.75">
      <c r="A11" s="298" t="s">
        <v>150</v>
      </c>
    </row>
    <row r="13" spans="1:10" ht="12.75">
      <c r="A13" s="301" t="s">
        <v>1070</v>
      </c>
      <c r="B13" s="302"/>
      <c r="C13" s="303"/>
      <c r="D13" s="317" t="s">
        <v>1071</v>
      </c>
      <c r="E13" s="304"/>
      <c r="F13" s="304"/>
      <c r="G13" s="304"/>
      <c r="H13" s="304"/>
      <c r="I13" s="304"/>
      <c r="J13" s="305"/>
    </row>
    <row r="14" spans="1:10" ht="12.75">
      <c r="A14" s="306" t="s">
        <v>1072</v>
      </c>
      <c r="B14" s="307"/>
      <c r="C14" s="308"/>
      <c r="D14" s="306" t="s">
        <v>1073</v>
      </c>
      <c r="E14" s="307"/>
      <c r="F14" s="307"/>
      <c r="G14" s="307"/>
      <c r="H14" s="307"/>
      <c r="I14" s="307"/>
      <c r="J14" s="308"/>
    </row>
    <row r="15" spans="1:10" ht="12.75">
      <c r="A15" s="314" t="s">
        <v>141</v>
      </c>
      <c r="B15" s="315"/>
      <c r="C15" s="316"/>
      <c r="D15" s="314" t="s">
        <v>145</v>
      </c>
      <c r="E15" s="315"/>
      <c r="F15" s="315"/>
      <c r="G15" s="315"/>
      <c r="H15" s="315"/>
      <c r="I15" s="315"/>
      <c r="J15" s="316"/>
    </row>
    <row r="16" spans="1:10" ht="12.75">
      <c r="A16" s="314" t="s">
        <v>142</v>
      </c>
      <c r="B16" s="315"/>
      <c r="C16" s="316"/>
      <c r="D16" s="314" t="s">
        <v>146</v>
      </c>
      <c r="E16" s="315"/>
      <c r="F16" s="315"/>
      <c r="G16" s="315"/>
      <c r="H16" s="315"/>
      <c r="I16" s="315"/>
      <c r="J16" s="316"/>
    </row>
    <row r="17" spans="1:10" ht="12.75">
      <c r="A17" s="314" t="s">
        <v>143</v>
      </c>
      <c r="B17" s="315"/>
      <c r="C17" s="316"/>
      <c r="D17" s="314" t="s">
        <v>144</v>
      </c>
      <c r="E17" s="315"/>
      <c r="F17" s="315"/>
      <c r="G17" s="315"/>
      <c r="H17" s="315"/>
      <c r="I17" s="315"/>
      <c r="J17" s="316"/>
    </row>
    <row r="18" spans="1:12" ht="12.75">
      <c r="A18" s="309" t="s">
        <v>1078</v>
      </c>
      <c r="B18" s="310"/>
      <c r="C18" s="311"/>
      <c r="D18" s="309" t="s">
        <v>1080</v>
      </c>
      <c r="E18" s="310"/>
      <c r="F18" s="310"/>
      <c r="G18" s="310"/>
      <c r="H18" s="310"/>
      <c r="I18" s="310"/>
      <c r="J18" s="311"/>
      <c r="L18" s="312"/>
    </row>
    <row r="19" ht="12.75">
      <c r="L19" s="312"/>
    </row>
    <row r="20" spans="1:12" ht="12.75">
      <c r="A20" s="300" t="s">
        <v>1074</v>
      </c>
      <c r="L20" s="312"/>
    </row>
    <row r="21" ht="12.75">
      <c r="L21" s="359"/>
    </row>
    <row r="22" ht="12.75">
      <c r="A22" s="298" t="s">
        <v>594</v>
      </c>
    </row>
    <row r="23" ht="12.75">
      <c r="A23" s="298" t="s">
        <v>595</v>
      </c>
    </row>
    <row r="24" ht="12.75">
      <c r="A24" s="298" t="s">
        <v>508</v>
      </c>
    </row>
    <row r="25" ht="12.75">
      <c r="A25" s="298" t="s">
        <v>596</v>
      </c>
    </row>
    <row r="26" spans="1:3" ht="12.75">
      <c r="A26" s="313" t="s">
        <v>513</v>
      </c>
      <c r="B26" s="313"/>
      <c r="C26" s="313"/>
    </row>
    <row r="27" spans="1:10" ht="12.75">
      <c r="A27" s="298" t="s">
        <v>147</v>
      </c>
      <c r="B27" s="313"/>
      <c r="C27" s="313"/>
      <c r="D27" s="313"/>
      <c r="E27" s="313"/>
      <c r="F27" s="313"/>
      <c r="G27" s="313"/>
      <c r="H27" s="313"/>
      <c r="I27" s="313"/>
      <c r="J27" s="313"/>
    </row>
    <row r="28" spans="1:10" ht="12.75">
      <c r="A28" s="313" t="s">
        <v>148</v>
      </c>
      <c r="B28" s="313"/>
      <c r="C28" s="313"/>
      <c r="D28" s="313"/>
      <c r="E28" s="313"/>
      <c r="F28" s="313"/>
      <c r="G28" s="313"/>
      <c r="H28" s="313"/>
      <c r="I28" s="313"/>
      <c r="J28" s="313"/>
    </row>
    <row r="29" spans="1:10" ht="12.75">
      <c r="A29" s="313" t="s">
        <v>149</v>
      </c>
      <c r="B29" s="313"/>
      <c r="C29" s="313"/>
      <c r="D29" s="313"/>
      <c r="E29" s="313"/>
      <c r="F29" s="313"/>
      <c r="G29" s="313"/>
      <c r="H29" s="313"/>
      <c r="I29" s="313"/>
      <c r="J29" s="313"/>
    </row>
    <row r="30" spans="1:10" ht="12.75">
      <c r="A30" s="313" t="s">
        <v>509</v>
      </c>
      <c r="B30" s="313"/>
      <c r="C30" s="313"/>
      <c r="D30" s="313"/>
      <c r="E30" s="313"/>
      <c r="F30" s="313"/>
      <c r="G30" s="313"/>
      <c r="H30" s="313"/>
      <c r="I30" s="313"/>
      <c r="J30" s="313"/>
    </row>
    <row r="31" spans="1:10" ht="12.75">
      <c r="A31" s="313" t="s">
        <v>550</v>
      </c>
      <c r="D31" s="313"/>
      <c r="E31" s="313"/>
      <c r="F31" s="313"/>
      <c r="G31" s="313"/>
      <c r="H31" s="313"/>
      <c r="I31" s="313"/>
      <c r="J31" s="313"/>
    </row>
    <row r="32" spans="2:10" ht="12.75">
      <c r="B32" s="394" t="s">
        <v>511</v>
      </c>
      <c r="C32" s="313" t="s">
        <v>510</v>
      </c>
      <c r="D32" s="313"/>
      <c r="E32" s="313"/>
      <c r="F32" s="313"/>
      <c r="G32" s="313"/>
      <c r="H32" s="313"/>
      <c r="I32" s="313"/>
      <c r="J32" s="313"/>
    </row>
    <row r="33" spans="2:10" ht="12.75">
      <c r="B33" s="313"/>
      <c r="C33" s="313" t="s">
        <v>512</v>
      </c>
      <c r="D33" s="313"/>
      <c r="E33" s="313"/>
      <c r="F33" s="313"/>
      <c r="G33" s="313"/>
      <c r="H33" s="313"/>
      <c r="I33" s="313"/>
      <c r="J33" s="313"/>
    </row>
    <row r="34" spans="1:10" ht="12.75">
      <c r="A34" s="298" t="s">
        <v>585</v>
      </c>
      <c r="C34" s="313"/>
      <c r="D34" s="313"/>
      <c r="E34" s="313"/>
      <c r="F34" s="313"/>
      <c r="G34" s="313"/>
      <c r="H34" s="313"/>
      <c r="I34" s="313"/>
      <c r="J34" s="313"/>
    </row>
    <row r="35" spans="1:10" ht="12.75">
      <c r="A35" s="298" t="s">
        <v>586</v>
      </c>
      <c r="C35" s="313"/>
      <c r="D35" s="313"/>
      <c r="E35" s="313"/>
      <c r="F35" s="313"/>
      <c r="G35" s="313"/>
      <c r="H35" s="313"/>
      <c r="I35" s="313"/>
      <c r="J35" s="313"/>
    </row>
    <row r="36" spans="1:10" ht="12.75">
      <c r="A36" s="298" t="s">
        <v>587</v>
      </c>
      <c r="C36" s="313"/>
      <c r="D36" s="313"/>
      <c r="E36" s="313"/>
      <c r="F36" s="313"/>
      <c r="G36" s="313"/>
      <c r="H36" s="313"/>
      <c r="I36" s="313"/>
      <c r="J36" s="313"/>
    </row>
    <row r="37" spans="1:10" ht="12.75">
      <c r="A37" s="298" t="s">
        <v>588</v>
      </c>
      <c r="B37" s="313"/>
      <c r="D37" s="313"/>
      <c r="E37" s="313"/>
      <c r="F37" s="313"/>
      <c r="G37" s="313"/>
      <c r="H37" s="313"/>
      <c r="I37" s="313"/>
      <c r="J37" s="313"/>
    </row>
    <row r="38" spans="1:10" ht="12.75">
      <c r="A38" s="298" t="s">
        <v>584</v>
      </c>
      <c r="B38" s="313"/>
      <c r="C38" s="313"/>
      <c r="D38" s="313"/>
      <c r="E38" s="313"/>
      <c r="F38" s="313"/>
      <c r="G38" s="313"/>
      <c r="H38" s="313"/>
      <c r="I38" s="313"/>
      <c r="J38" s="313"/>
    </row>
    <row r="39" spans="1:10" ht="12.75">
      <c r="A39" s="298" t="s">
        <v>1075</v>
      </c>
      <c r="B39" s="313"/>
      <c r="C39" s="313"/>
      <c r="D39" s="313"/>
      <c r="E39" s="313"/>
      <c r="F39" s="313"/>
      <c r="G39" s="313"/>
      <c r="H39" s="313"/>
      <c r="I39" s="313"/>
      <c r="J39" s="313"/>
    </row>
    <row r="40" spans="1:10" ht="12.75">
      <c r="A40" s="298" t="s">
        <v>1076</v>
      </c>
      <c r="B40" s="313"/>
      <c r="C40" s="313"/>
      <c r="D40" s="313"/>
      <c r="E40" s="313"/>
      <c r="F40" s="313"/>
      <c r="G40" s="313"/>
      <c r="H40" s="313"/>
      <c r="I40" s="313"/>
      <c r="J40" s="313"/>
    </row>
    <row r="41" spans="1:10" ht="12.75">
      <c r="A41" s="298" t="s">
        <v>1077</v>
      </c>
      <c r="B41" s="313"/>
      <c r="C41" s="313"/>
      <c r="D41" s="313"/>
      <c r="E41" s="313"/>
      <c r="F41" s="313"/>
      <c r="G41" s="313"/>
      <c r="H41" s="313"/>
      <c r="I41" s="313"/>
      <c r="J41" s="313"/>
    </row>
    <row r="46" spans="2:10" ht="12.75">
      <c r="B46" s="313"/>
      <c r="C46" s="313"/>
      <c r="D46" s="313"/>
      <c r="E46" s="313"/>
      <c r="F46" s="313"/>
      <c r="G46" s="313"/>
      <c r="H46" s="313"/>
      <c r="I46" s="313"/>
      <c r="J46" s="313"/>
    </row>
    <row r="47" spans="2:10" ht="12.75">
      <c r="B47" s="313"/>
      <c r="C47" s="313"/>
      <c r="D47" s="313"/>
      <c r="E47" s="313"/>
      <c r="F47" s="313"/>
      <c r="G47" s="313"/>
      <c r="H47" s="313"/>
      <c r="I47" s="313"/>
      <c r="J47" s="313"/>
    </row>
    <row r="48" spans="2:10" ht="12.75">
      <c r="B48" s="313"/>
      <c r="C48" s="313"/>
      <c r="D48" s="313"/>
      <c r="E48" s="313"/>
      <c r="F48" s="313"/>
      <c r="G48" s="313"/>
      <c r="H48" s="313"/>
      <c r="I48" s="313"/>
      <c r="J48" s="313"/>
    </row>
    <row r="49" spans="1:10" ht="12.75">
      <c r="A49" s="313"/>
      <c r="B49" s="313"/>
      <c r="C49" s="313"/>
      <c r="D49" s="313"/>
      <c r="E49" s="313"/>
      <c r="F49" s="313"/>
      <c r="G49" s="313"/>
      <c r="H49" s="313"/>
      <c r="I49" s="313"/>
      <c r="J49" s="313"/>
    </row>
    <row r="50" spans="1:10" ht="12.75">
      <c r="A50" s="313"/>
      <c r="B50" s="313"/>
      <c r="C50" s="313"/>
      <c r="D50" s="313"/>
      <c r="E50" s="313"/>
      <c r="F50" s="313"/>
      <c r="G50" s="313"/>
      <c r="H50" s="313"/>
      <c r="I50" s="313"/>
      <c r="J50" s="313"/>
    </row>
    <row r="51" spans="1:10" ht="12.75">
      <c r="A51" s="313"/>
      <c r="B51" s="313"/>
      <c r="C51" s="313"/>
      <c r="D51" s="313"/>
      <c r="E51" s="313"/>
      <c r="F51" s="313"/>
      <c r="G51" s="313"/>
      <c r="H51" s="313"/>
      <c r="I51" s="313"/>
      <c r="J51" s="313"/>
    </row>
    <row r="52" spans="1:10" ht="12.75">
      <c r="A52" s="313"/>
      <c r="B52" s="313"/>
      <c r="C52" s="313"/>
      <c r="D52" s="313"/>
      <c r="E52" s="313"/>
      <c r="F52" s="313"/>
      <c r="G52" s="313"/>
      <c r="H52" s="313"/>
      <c r="I52" s="313"/>
      <c r="J52" s="313"/>
    </row>
    <row r="53" spans="1:10" ht="12.75">
      <c r="A53" s="313"/>
      <c r="B53" s="313"/>
      <c r="C53" s="313"/>
      <c r="D53" s="313"/>
      <c r="E53" s="313"/>
      <c r="F53" s="313"/>
      <c r="G53" s="313"/>
      <c r="H53" s="313"/>
      <c r="I53" s="313"/>
      <c r="J53" s="313"/>
    </row>
    <row r="54" spans="1:10" ht="12.75">
      <c r="A54" s="313"/>
      <c r="B54" s="313"/>
      <c r="C54" s="313"/>
      <c r="D54" s="313"/>
      <c r="E54" s="313"/>
      <c r="F54" s="313"/>
      <c r="G54" s="313"/>
      <c r="H54" s="313"/>
      <c r="I54" s="313"/>
      <c r="J54" s="313"/>
    </row>
    <row r="55" spans="1:10" ht="12.75">
      <c r="A55" s="313"/>
      <c r="B55" s="313"/>
      <c r="C55" s="313"/>
      <c r="D55" s="313"/>
      <c r="E55" s="313"/>
      <c r="F55" s="313"/>
      <c r="G55" s="313"/>
      <c r="H55" s="313"/>
      <c r="I55" s="313"/>
      <c r="J55" s="313"/>
    </row>
    <row r="56" spans="1:10" ht="12.75">
      <c r="A56" s="313"/>
      <c r="B56" s="313"/>
      <c r="C56" s="313"/>
      <c r="D56" s="313"/>
      <c r="E56" s="313"/>
      <c r="F56" s="313"/>
      <c r="G56" s="313"/>
      <c r="H56" s="313"/>
      <c r="I56" s="313"/>
      <c r="J56" s="313"/>
    </row>
    <row r="57" spans="2:10" ht="12.75">
      <c r="B57" s="313"/>
      <c r="C57" s="313"/>
      <c r="D57" s="313"/>
      <c r="E57" s="313"/>
      <c r="F57" s="313"/>
      <c r="G57" s="313"/>
      <c r="H57" s="313"/>
      <c r="I57" s="313"/>
      <c r="J57" s="313"/>
    </row>
    <row r="58" spans="1:10" ht="12.75">
      <c r="A58" s="313"/>
      <c r="B58" s="313"/>
      <c r="C58" s="313"/>
      <c r="D58" s="313"/>
      <c r="E58" s="313"/>
      <c r="F58" s="313"/>
      <c r="G58" s="313"/>
      <c r="H58" s="313"/>
      <c r="I58" s="313"/>
      <c r="J58" s="313"/>
    </row>
    <row r="59" spans="1:10" ht="12.75">
      <c r="A59" s="313"/>
      <c r="B59" s="313"/>
      <c r="C59" s="313"/>
      <c r="D59" s="313"/>
      <c r="E59" s="313"/>
      <c r="F59" s="313"/>
      <c r="G59" s="313"/>
      <c r="H59" s="313"/>
      <c r="I59" s="313"/>
      <c r="J59" s="313"/>
    </row>
    <row r="60" spans="1:10" ht="12.75">
      <c r="A60" s="313"/>
      <c r="B60" s="313"/>
      <c r="C60" s="313"/>
      <c r="D60" s="313"/>
      <c r="E60" s="313"/>
      <c r="F60" s="313"/>
      <c r="G60" s="313"/>
      <c r="H60" s="313"/>
      <c r="I60" s="313"/>
      <c r="J60" s="313"/>
    </row>
    <row r="61" spans="1:10" ht="12.75">
      <c r="A61" s="313"/>
      <c r="B61" s="313"/>
      <c r="C61" s="313"/>
      <c r="D61" s="313"/>
      <c r="E61" s="313"/>
      <c r="F61" s="313"/>
      <c r="G61" s="313"/>
      <c r="H61" s="313"/>
      <c r="I61" s="313"/>
      <c r="J61" s="313"/>
    </row>
    <row r="62" spans="1:10" ht="12.75">
      <c r="A62" s="313"/>
      <c r="B62" s="313"/>
      <c r="C62" s="313"/>
      <c r="D62" s="313"/>
      <c r="E62" s="313"/>
      <c r="F62" s="313"/>
      <c r="G62" s="313"/>
      <c r="H62" s="313"/>
      <c r="I62" s="313"/>
      <c r="J62" s="313"/>
    </row>
    <row r="63" spans="1:10" ht="12.75">
      <c r="A63" s="313"/>
      <c r="B63" s="313"/>
      <c r="C63" s="313"/>
      <c r="D63" s="313"/>
      <c r="E63" s="313"/>
      <c r="F63" s="313"/>
      <c r="G63" s="313"/>
      <c r="H63" s="313"/>
      <c r="I63" s="313"/>
      <c r="J63" s="313"/>
    </row>
    <row r="64" spans="1:10" ht="12.75">
      <c r="A64" s="313"/>
      <c r="B64" s="313"/>
      <c r="C64" s="313"/>
      <c r="D64" s="313"/>
      <c r="E64" s="313"/>
      <c r="F64" s="313"/>
      <c r="G64" s="313"/>
      <c r="H64" s="313"/>
      <c r="I64" s="313"/>
      <c r="J64" s="313"/>
    </row>
    <row r="65" spans="1:10" ht="12.75">
      <c r="A65" s="313"/>
      <c r="B65" s="313"/>
      <c r="C65" s="313"/>
      <c r="D65" s="313"/>
      <c r="E65" s="313"/>
      <c r="F65" s="313"/>
      <c r="G65" s="313"/>
      <c r="H65" s="313"/>
      <c r="I65" s="313"/>
      <c r="J65" s="313"/>
    </row>
    <row r="66" spans="1:10" ht="12.75">
      <c r="A66" s="313"/>
      <c r="B66" s="313"/>
      <c r="C66" s="313"/>
      <c r="D66" s="313"/>
      <c r="E66" s="313"/>
      <c r="F66" s="313"/>
      <c r="G66" s="313"/>
      <c r="H66" s="313"/>
      <c r="I66" s="313"/>
      <c r="J66" s="313"/>
    </row>
    <row r="67" spans="1:10" ht="12.75">
      <c r="A67" s="313"/>
      <c r="B67" s="313"/>
      <c r="C67" s="313"/>
      <c r="D67" s="313"/>
      <c r="E67" s="313"/>
      <c r="F67" s="313"/>
      <c r="G67" s="313"/>
      <c r="H67" s="313"/>
      <c r="I67" s="313"/>
      <c r="J67" s="313"/>
    </row>
    <row r="68" spans="1:10" ht="12.75">
      <c r="A68" s="313"/>
      <c r="B68" s="313"/>
      <c r="C68" s="313"/>
      <c r="D68" s="313"/>
      <c r="E68" s="313"/>
      <c r="F68" s="313"/>
      <c r="G68" s="313"/>
      <c r="H68" s="313"/>
      <c r="I68" s="313"/>
      <c r="J68" s="313"/>
    </row>
  </sheetData>
  <sheetProtection sheet="1" objects="1" scenarios="1"/>
  <printOptions/>
  <pageMargins left="1" right="0.5" top="1" bottom="1" header="0.5" footer="0.5"/>
  <pageSetup horizontalDpi="600" verticalDpi="600" orientation="portrait" scale="99" r:id="rId1"/>
  <colBreaks count="1" manualBreakCount="1">
    <brk id="10" max="65535" man="1"/>
  </colBreaks>
</worksheet>
</file>

<file path=xl/worksheets/sheet2.xml><?xml version="1.0" encoding="utf-8"?>
<worksheet xmlns="http://schemas.openxmlformats.org/spreadsheetml/2006/main" xmlns:r="http://schemas.openxmlformats.org/officeDocument/2006/relationships">
  <dimension ref="A1:AR406"/>
  <sheetViews>
    <sheetView zoomScalePageLayoutView="0" workbookViewId="0" topLeftCell="A1">
      <selection activeCell="A1" sqref="A1"/>
    </sheetView>
  </sheetViews>
  <sheetFormatPr defaultColWidth="9.140625" defaultRowHeight="12.75"/>
  <cols>
    <col min="1" max="1" width="12.7109375" style="9" customWidth="1"/>
    <col min="2" max="2" width="9.140625" style="9" customWidth="1"/>
    <col min="3" max="4" width="10.7109375" style="9" customWidth="1"/>
    <col min="5" max="8" width="9.140625" style="9" customWidth="1"/>
    <col min="9" max="9" width="12.421875" style="9" customWidth="1"/>
    <col min="10" max="22" width="9.140625" style="29" hidden="1" customWidth="1"/>
    <col min="23" max="23" width="10.140625" style="29" hidden="1" customWidth="1"/>
    <col min="24" max="25" width="12.28125" style="29" hidden="1" customWidth="1"/>
    <col min="26" max="27" width="9.140625" style="29" hidden="1" customWidth="1"/>
    <col min="28" max="28" width="15.140625" style="29" hidden="1" customWidth="1"/>
    <col min="29" max="31" width="9.140625" style="29" hidden="1" customWidth="1"/>
    <col min="32" max="32" width="16.7109375" style="29" hidden="1" customWidth="1"/>
    <col min="33" max="39" width="9.140625" style="29" hidden="1" customWidth="1"/>
    <col min="40" max="16384" width="9.140625" style="9" customWidth="1"/>
  </cols>
  <sheetData>
    <row r="1" spans="1:40" ht="15.75">
      <c r="A1" s="373" t="s">
        <v>500</v>
      </c>
      <c r="B1" s="374"/>
      <c r="C1" s="375"/>
      <c r="D1" s="375"/>
      <c r="E1" s="375"/>
      <c r="F1" s="375"/>
      <c r="G1" s="374"/>
      <c r="H1" s="374"/>
      <c r="I1" s="376"/>
      <c r="J1" s="91"/>
      <c r="K1" s="131"/>
      <c r="M1" s="30" t="s">
        <v>284</v>
      </c>
      <c r="S1" s="91"/>
      <c r="T1" s="91"/>
      <c r="U1" s="91"/>
      <c r="V1" s="44"/>
      <c r="W1" s="584"/>
      <c r="X1" s="113"/>
      <c r="AC1" s="91"/>
      <c r="AD1" s="91"/>
      <c r="AE1" s="91"/>
      <c r="AL1" s="127"/>
      <c r="AM1" s="91"/>
      <c r="AN1" s="186" t="s">
        <v>1256</v>
      </c>
    </row>
    <row r="2" spans="1:39" ht="12.75">
      <c r="A2" s="379" t="s">
        <v>652</v>
      </c>
      <c r="B2" s="377"/>
      <c r="C2" s="377"/>
      <c r="D2" s="377"/>
      <c r="E2" s="377"/>
      <c r="F2" s="377"/>
      <c r="G2" s="377"/>
      <c r="H2" s="377"/>
      <c r="I2" s="378"/>
      <c r="J2" s="151"/>
      <c r="K2" s="26"/>
      <c r="V2" s="44"/>
      <c r="W2" s="585"/>
      <c r="X2" s="120"/>
      <c r="AG2" s="37"/>
      <c r="AL2" s="127"/>
      <c r="AM2" s="151"/>
    </row>
    <row r="3" spans="1:39" ht="12.75">
      <c r="A3" s="380" t="s">
        <v>222</v>
      </c>
      <c r="B3" s="377"/>
      <c r="C3" s="377"/>
      <c r="D3" s="377"/>
      <c r="E3" s="377"/>
      <c r="F3" s="377"/>
      <c r="G3" s="377"/>
      <c r="H3" s="377"/>
      <c r="I3" s="378"/>
      <c r="J3" s="37"/>
      <c r="K3" s="40">
        <v>36</v>
      </c>
      <c r="L3" s="40"/>
      <c r="M3" s="95" t="s">
        <v>219</v>
      </c>
      <c r="V3" s="44"/>
      <c r="W3" s="585"/>
      <c r="X3" s="120"/>
      <c r="AF3" s="327" t="s">
        <v>694</v>
      </c>
      <c r="AG3" s="328"/>
      <c r="AH3" s="328"/>
      <c r="AI3" s="328"/>
      <c r="AJ3" s="328"/>
      <c r="AK3" s="328"/>
      <c r="AL3" s="329"/>
      <c r="AM3" s="37"/>
    </row>
    <row r="4" spans="1:44" ht="12.75">
      <c r="A4" s="381" t="s">
        <v>589</v>
      </c>
      <c r="B4" s="384"/>
      <c r="C4" s="385"/>
      <c r="D4" s="385"/>
      <c r="E4" s="386"/>
      <c r="F4" s="188" t="s">
        <v>590</v>
      </c>
      <c r="G4" s="382"/>
      <c r="H4" s="383"/>
      <c r="I4" s="387"/>
      <c r="J4" s="25"/>
      <c r="K4" s="40">
        <v>50</v>
      </c>
      <c r="L4" s="33"/>
      <c r="M4" s="57" t="s">
        <v>490</v>
      </c>
      <c r="V4" s="44"/>
      <c r="W4" s="585"/>
      <c r="X4" s="10"/>
      <c r="AF4" s="332" t="s">
        <v>695</v>
      </c>
      <c r="AG4" s="333"/>
      <c r="AH4" s="333"/>
      <c r="AI4" s="333"/>
      <c r="AJ4" s="333"/>
      <c r="AK4" s="333"/>
      <c r="AL4" s="334"/>
      <c r="AM4" s="25"/>
      <c r="AN4" s="32" t="s">
        <v>462</v>
      </c>
      <c r="AO4" s="29"/>
      <c r="AP4" s="29"/>
      <c r="AQ4" s="29"/>
      <c r="AR4" s="36"/>
    </row>
    <row r="5" spans="1:44" ht="12.75">
      <c r="A5" s="381" t="s">
        <v>591</v>
      </c>
      <c r="B5" s="384"/>
      <c r="C5" s="385"/>
      <c r="D5" s="385"/>
      <c r="E5" s="385"/>
      <c r="F5" s="188" t="s">
        <v>592</v>
      </c>
      <c r="G5" s="382"/>
      <c r="H5" s="188" t="s">
        <v>593</v>
      </c>
      <c r="I5" s="388"/>
      <c r="J5" s="25"/>
      <c r="K5" s="116">
        <v>3</v>
      </c>
      <c r="L5" s="33"/>
      <c r="M5" s="50" t="s">
        <v>335</v>
      </c>
      <c r="N5" s="109">
        <f>IF($D$23=36,58,IF($D$23=50,65))</f>
        <v>58</v>
      </c>
      <c r="O5" s="38" t="s">
        <v>245</v>
      </c>
      <c r="P5" s="38" t="str">
        <f>IF($D$23=36,"Fua = 58 for Fya = 36","Fua = 65 for Fya = 50")&amp;" (for angles)"</f>
        <v>Fua = 58 for Fya = 36 (for angles)</v>
      </c>
      <c r="S5" s="37"/>
      <c r="V5" s="44"/>
      <c r="W5" s="585"/>
      <c r="X5" s="120"/>
      <c r="AF5" s="330" t="s">
        <v>238</v>
      </c>
      <c r="AG5" s="331" t="s">
        <v>239</v>
      </c>
      <c r="AH5" s="331" t="s">
        <v>319</v>
      </c>
      <c r="AI5" s="331" t="s">
        <v>320</v>
      </c>
      <c r="AJ5" s="331" t="s">
        <v>321</v>
      </c>
      <c r="AK5" s="331" t="s">
        <v>322</v>
      </c>
      <c r="AL5" s="331" t="s">
        <v>323</v>
      </c>
      <c r="AM5" s="25"/>
      <c r="AN5" s="7" t="s">
        <v>461</v>
      </c>
      <c r="AO5" s="84" t="s">
        <v>236</v>
      </c>
      <c r="AP5" s="29"/>
      <c r="AQ5" s="29"/>
      <c r="AR5" s="84" t="s">
        <v>20</v>
      </c>
    </row>
    <row r="6" spans="1:44" ht="12.75">
      <c r="A6" s="19"/>
      <c r="B6" s="104"/>
      <c r="C6" s="104"/>
      <c r="D6" s="104"/>
      <c r="E6" s="104"/>
      <c r="F6" s="104"/>
      <c r="G6" s="191"/>
      <c r="H6" s="187"/>
      <c r="I6" s="192"/>
      <c r="J6" s="37"/>
      <c r="K6" s="116">
        <v>3.5</v>
      </c>
      <c r="L6" s="33"/>
      <c r="M6" s="50" t="s">
        <v>192</v>
      </c>
      <c r="N6" s="109">
        <f>IF($D$12=36,58,IF($D$12=50,65))</f>
        <v>65</v>
      </c>
      <c r="O6" s="38" t="s">
        <v>245</v>
      </c>
      <c r="P6" s="38" t="str">
        <f>IF($D$12=36,"Fub = 58 for Fyb = 36","Fub = 65 for Fyb = 50")&amp;" (for beam)"</f>
        <v>Fub = 65 for Fyb = 50 (for beam)</v>
      </c>
      <c r="S6" s="37"/>
      <c r="V6" s="44"/>
      <c r="W6" s="585"/>
      <c r="X6" s="113"/>
      <c r="AF6" s="400" t="s">
        <v>696</v>
      </c>
      <c r="AG6" s="401">
        <v>98.5</v>
      </c>
      <c r="AH6" s="402">
        <v>44</v>
      </c>
      <c r="AI6" s="403">
        <v>1.03</v>
      </c>
      <c r="AJ6" s="402">
        <v>15.9</v>
      </c>
      <c r="AK6" s="403">
        <v>1.77</v>
      </c>
      <c r="AL6" s="404">
        <v>2.56</v>
      </c>
      <c r="AM6" s="37"/>
      <c r="AN6" s="94" t="s">
        <v>55</v>
      </c>
      <c r="AO6" s="29"/>
      <c r="AP6" s="29"/>
      <c r="AQ6" s="29"/>
      <c r="AR6" s="126"/>
    </row>
    <row r="7" spans="1:44" ht="12.75">
      <c r="A7" s="11" t="s">
        <v>235</v>
      </c>
      <c r="B7" s="104"/>
      <c r="C7" s="104"/>
      <c r="D7" s="104"/>
      <c r="E7" s="104"/>
      <c r="F7" s="104"/>
      <c r="G7" s="197"/>
      <c r="H7" s="187"/>
      <c r="I7" s="193"/>
      <c r="J7" s="37"/>
      <c r="K7" s="116">
        <v>4</v>
      </c>
      <c r="L7" s="33"/>
      <c r="M7" s="50" t="s">
        <v>3</v>
      </c>
      <c r="N7" s="114">
        <f>IF($D$13=36,58,IF($D$13=50,65))</f>
        <v>65</v>
      </c>
      <c r="O7" s="38" t="s">
        <v>245</v>
      </c>
      <c r="P7" s="38" t="str">
        <f>IF($D$13=36,"Fuc = 58 for Fyc = 36","Fuc = 65 for Fyc = 50")&amp;" (for column)"</f>
        <v>Fuc = 65 for Fyc = 50 (for column)</v>
      </c>
      <c r="S7" s="26"/>
      <c r="V7" s="44"/>
      <c r="W7" s="586"/>
      <c r="X7" s="113"/>
      <c r="AF7" s="405" t="s">
        <v>697</v>
      </c>
      <c r="AG7" s="406">
        <v>85.4</v>
      </c>
      <c r="AH7" s="407">
        <v>43.6</v>
      </c>
      <c r="AI7" s="408">
        <v>0.865</v>
      </c>
      <c r="AJ7" s="407">
        <v>15.8</v>
      </c>
      <c r="AK7" s="409">
        <v>1.58</v>
      </c>
      <c r="AL7" s="410">
        <v>2.36</v>
      </c>
      <c r="AM7" s="37"/>
      <c r="AN7" s="35">
        <v>63</v>
      </c>
      <c r="AO7" s="48" t="str">
        <f>IF($B$63&gt;=$D$16,"Rwv &gt;= R,  O.K.","Rwv &lt; R, N.G.")</f>
        <v>Rwv &gt;= R,  O.K.</v>
      </c>
      <c r="AP7" s="29"/>
      <c r="AQ7" s="29"/>
      <c r="AR7" s="6">
        <f>$D$16/$B$63</f>
        <v>0.4870087316640433</v>
      </c>
    </row>
    <row r="8" spans="1:44" ht="12.75">
      <c r="A8" s="19"/>
      <c r="B8" s="104"/>
      <c r="C8" s="105"/>
      <c r="D8" s="104"/>
      <c r="E8" s="200"/>
      <c r="F8" s="10"/>
      <c r="G8" s="10"/>
      <c r="H8" s="10"/>
      <c r="I8" s="14"/>
      <c r="J8" s="37"/>
      <c r="K8" s="116">
        <v>5</v>
      </c>
      <c r="L8" s="33"/>
      <c r="M8" s="95" t="s">
        <v>361</v>
      </c>
      <c r="V8" s="44"/>
      <c r="W8" s="586"/>
      <c r="X8" s="110"/>
      <c r="AF8" s="405" t="s">
        <v>698</v>
      </c>
      <c r="AG8" s="406">
        <v>76.9</v>
      </c>
      <c r="AH8" s="407">
        <v>43.3</v>
      </c>
      <c r="AI8" s="408">
        <v>0.785</v>
      </c>
      <c r="AJ8" s="407">
        <v>15.8</v>
      </c>
      <c r="AK8" s="409">
        <v>1.42</v>
      </c>
      <c r="AL8" s="410">
        <v>2.2</v>
      </c>
      <c r="AM8" s="37"/>
      <c r="AN8" s="35">
        <v>64</v>
      </c>
      <c r="AO8" s="48" t="str">
        <f>IF($D$17&gt;0,IF($B$64&gt;=$D$17,"Rwa &gt;= P,  O.K.","Rwa &lt; P, N.G."),"N.A.")</f>
        <v>Rwa &gt;= P,  O.K.</v>
      </c>
      <c r="AP8" s="29"/>
      <c r="AQ8" s="29"/>
      <c r="AR8" s="6">
        <f>IF($D$17&gt;0,$D$17/$B$64,"")</f>
        <v>0.48700873166404346</v>
      </c>
    </row>
    <row r="9" spans="1:44" ht="12.75">
      <c r="A9" s="11" t="s">
        <v>114</v>
      </c>
      <c r="B9" s="25"/>
      <c r="C9" s="25"/>
      <c r="D9" s="25"/>
      <c r="E9" s="152"/>
      <c r="F9" s="10"/>
      <c r="G9" s="10"/>
      <c r="H9" s="15" t="str">
        <f>"          tf="&amp;$D$48</f>
        <v>          tf=0.71</v>
      </c>
      <c r="I9" s="14"/>
      <c r="J9" s="37"/>
      <c r="K9" s="116">
        <v>6</v>
      </c>
      <c r="L9" s="74"/>
      <c r="M9" s="57" t="s">
        <v>623</v>
      </c>
      <c r="O9" s="57"/>
      <c r="P9" s="48" t="s">
        <v>622</v>
      </c>
      <c r="V9" s="58"/>
      <c r="W9" s="587"/>
      <c r="X9" s="110"/>
      <c r="AF9" s="405" t="s">
        <v>699</v>
      </c>
      <c r="AG9" s="406">
        <v>67.7</v>
      </c>
      <c r="AH9" s="407">
        <v>42.9</v>
      </c>
      <c r="AI9" s="408">
        <v>0.71</v>
      </c>
      <c r="AJ9" s="407">
        <v>15.8</v>
      </c>
      <c r="AK9" s="409">
        <v>1.22</v>
      </c>
      <c r="AL9" s="410">
        <v>2.01</v>
      </c>
      <c r="AM9" s="37"/>
      <c r="AN9" s="35">
        <v>68</v>
      </c>
      <c r="AO9" s="38" t="str">
        <f>IF($D$17&gt;0,IF($B$68&gt;=$B$67,"Fb &gt;= fb,  O.K.","Fb &lt; fb, N.G.  "),"N.A.")</f>
        <v>Fb &gt;= fb,  O.K.</v>
      </c>
      <c r="AP9" s="29"/>
      <c r="AQ9" s="29"/>
      <c r="AR9" s="6">
        <f>IF($D$17&gt;0,$B$67/$B$68,"")</f>
        <v>0.8734855967078189</v>
      </c>
    </row>
    <row r="10" spans="1:44" ht="12.75">
      <c r="A10" s="19"/>
      <c r="B10" s="10"/>
      <c r="C10" s="44" t="s">
        <v>176</v>
      </c>
      <c r="D10" s="169" t="s">
        <v>1172</v>
      </c>
      <c r="E10" s="45"/>
      <c r="F10" s="10"/>
      <c r="G10" s="28" t="str">
        <f>"     d="&amp;$D$45</f>
        <v>     d=14</v>
      </c>
      <c r="H10" s="15"/>
      <c r="I10" s="14"/>
      <c r="J10" s="26"/>
      <c r="K10" s="116">
        <v>7</v>
      </c>
      <c r="L10" s="33"/>
      <c r="M10" s="74" t="s">
        <v>51</v>
      </c>
      <c r="N10" s="43">
        <f>IF($D$17&gt;0,90-(ATAN($D$16/$D$17)*(180/PI())),0)</f>
        <v>7.125016348901795</v>
      </c>
      <c r="O10" s="31" t="s">
        <v>269</v>
      </c>
      <c r="P10" s="115" t="s">
        <v>53</v>
      </c>
      <c r="Q10" s="365"/>
      <c r="AF10" s="405" t="s">
        <v>700</v>
      </c>
      <c r="AG10" s="411">
        <v>174</v>
      </c>
      <c r="AH10" s="407">
        <v>43</v>
      </c>
      <c r="AI10" s="409">
        <v>1.79</v>
      </c>
      <c r="AJ10" s="407">
        <v>16.7</v>
      </c>
      <c r="AK10" s="409">
        <v>3.23</v>
      </c>
      <c r="AL10" s="410">
        <v>4.41</v>
      </c>
      <c r="AM10" s="26"/>
      <c r="AN10" s="94" t="s">
        <v>463</v>
      </c>
      <c r="AR10" s="390"/>
    </row>
    <row r="11" spans="1:44" ht="12.75">
      <c r="A11" s="19"/>
      <c r="B11" s="10"/>
      <c r="C11" s="44" t="s">
        <v>115</v>
      </c>
      <c r="D11" s="170" t="s">
        <v>1030</v>
      </c>
      <c r="E11" s="45"/>
      <c r="F11" s="10"/>
      <c r="G11" s="28"/>
      <c r="H11" s="10"/>
      <c r="I11" s="14"/>
      <c r="K11" s="116">
        <v>8</v>
      </c>
      <c r="L11" s="50"/>
      <c r="M11" s="33" t="s">
        <v>427</v>
      </c>
      <c r="N11" s="61">
        <f>2*0.928*16*$D$25*$D$26/(SQRT(1+12.96*$D$20^2/$D$26^2))</f>
        <v>82.77323612608444</v>
      </c>
      <c r="O11" s="38" t="s">
        <v>237</v>
      </c>
      <c r="P11" s="48" t="s">
        <v>642</v>
      </c>
      <c r="Q11" s="9"/>
      <c r="AF11" s="405" t="s">
        <v>701</v>
      </c>
      <c r="AG11" s="411">
        <v>148</v>
      </c>
      <c r="AH11" s="407">
        <v>42.1</v>
      </c>
      <c r="AI11" s="409">
        <v>1.54</v>
      </c>
      <c r="AJ11" s="407">
        <v>16.4</v>
      </c>
      <c r="AK11" s="409">
        <v>2.76</v>
      </c>
      <c r="AL11" s="410">
        <v>3.94</v>
      </c>
      <c r="AN11" s="35">
        <v>89</v>
      </c>
      <c r="AO11" s="48" t="str">
        <f>IF($D$16&gt;0,IF($B$89&gt;=$D$16,"Rwv &gt;= R,  O.K.","Rwv &lt; R, N.G."),"N.A.")</f>
        <v>Rwv &gt;= R,  O.K.</v>
      </c>
      <c r="AP11" s="29"/>
      <c r="AQ11" s="29"/>
      <c r="AR11" s="43">
        <f>IF($D$16&gt;0,$D$16/$B$89,"")</f>
        <v>0.34341574354230037</v>
      </c>
    </row>
    <row r="12" spans="1:44" ht="12.75">
      <c r="A12" s="49"/>
      <c r="B12" s="10"/>
      <c r="C12" s="44" t="s">
        <v>1033</v>
      </c>
      <c r="D12" s="165">
        <v>50</v>
      </c>
      <c r="E12" s="110" t="s">
        <v>245</v>
      </c>
      <c r="F12" s="10"/>
      <c r="G12" s="119" t="s">
        <v>4</v>
      </c>
      <c r="H12" s="10"/>
      <c r="I12" s="27"/>
      <c r="K12" s="116">
        <v>0.25</v>
      </c>
      <c r="L12" s="50"/>
      <c r="M12" s="33" t="s">
        <v>428</v>
      </c>
      <c r="N12" s="41">
        <f>$N$11*COS($N$10*PI()/180)</f>
        <v>82.13405099191012</v>
      </c>
      <c r="O12" s="31" t="s">
        <v>237</v>
      </c>
      <c r="P12" s="92" t="s">
        <v>1</v>
      </c>
      <c r="AF12" s="405" t="s">
        <v>702</v>
      </c>
      <c r="AG12" s="411">
        <v>127</v>
      </c>
      <c r="AH12" s="407">
        <v>41.3</v>
      </c>
      <c r="AI12" s="409">
        <v>1.34</v>
      </c>
      <c r="AJ12" s="407">
        <v>16.2</v>
      </c>
      <c r="AK12" s="409">
        <v>2.36</v>
      </c>
      <c r="AL12" s="410">
        <v>3.54</v>
      </c>
      <c r="AN12" s="35">
        <v>90</v>
      </c>
      <c r="AO12" s="48" t="str">
        <f>IF($D$17&gt;0,IF($B$90&gt;=$D$17,"Rwa &gt;= P,  O.K.","Rwa &lt; P, N.G."),"N.A.")</f>
        <v>Rwa &gt;= P,  O.K.</v>
      </c>
      <c r="AP12" s="29"/>
      <c r="AQ12" s="29"/>
      <c r="AR12" s="43">
        <f>IF($D$17&gt;0,$D$17/$B$90,"")</f>
        <v>0.3434157435423005</v>
      </c>
    </row>
    <row r="13" spans="1:44" ht="12.75">
      <c r="A13" s="19"/>
      <c r="B13" s="10"/>
      <c r="C13" s="44" t="s">
        <v>116</v>
      </c>
      <c r="D13" s="166">
        <v>50</v>
      </c>
      <c r="E13" s="110" t="s">
        <v>245</v>
      </c>
      <c r="F13" s="90"/>
      <c r="H13" s="28" t="str">
        <f>"      ta="&amp;$D$22</f>
        <v>      ta=0.375</v>
      </c>
      <c r="I13" s="46"/>
      <c r="K13" s="116">
        <f>5/16</f>
        <v>0.3125</v>
      </c>
      <c r="L13" s="33"/>
      <c r="M13" s="33" t="s">
        <v>429</v>
      </c>
      <c r="N13" s="61">
        <f>$N$11*SIN($N$10*PI()/180)</f>
        <v>10.26675637398876</v>
      </c>
      <c r="O13" s="31" t="s">
        <v>237</v>
      </c>
      <c r="P13" s="92" t="s">
        <v>639</v>
      </c>
      <c r="AF13" s="405" t="s">
        <v>703</v>
      </c>
      <c r="AG13" s="411">
        <v>117</v>
      </c>
      <c r="AH13" s="407">
        <v>41</v>
      </c>
      <c r="AI13" s="409">
        <v>1.22</v>
      </c>
      <c r="AJ13" s="407">
        <v>16.1</v>
      </c>
      <c r="AK13" s="409">
        <v>2.2</v>
      </c>
      <c r="AL13" s="410">
        <v>3.38</v>
      </c>
      <c r="AN13" s="35">
        <v>83</v>
      </c>
      <c r="AO13" s="48" t="str">
        <f>IF($D$24&gt;=$B$83,"Weld(used) &gt;= weld(req'd), O.K.","Weld(used) &lt; weld(req'd), N.G.")</f>
        <v>Weld(used) &gt;= weld(req'd), O.K.</v>
      </c>
      <c r="AP13" s="29"/>
      <c r="AQ13" s="29"/>
      <c r="AR13" s="43">
        <f>$B$83/$D$24</f>
        <v>0.3200451648723175</v>
      </c>
    </row>
    <row r="14" spans="1:44" ht="12.75">
      <c r="A14" s="19"/>
      <c r="B14" s="10"/>
      <c r="C14" s="10"/>
      <c r="D14" s="10"/>
      <c r="E14" s="15" t="s">
        <v>655</v>
      </c>
      <c r="F14" s="10"/>
      <c r="G14" s="137"/>
      <c r="I14" s="135" t="s">
        <v>653</v>
      </c>
      <c r="K14" s="116">
        <v>0.375</v>
      </c>
      <c r="L14" s="33"/>
      <c r="M14" s="57" t="s">
        <v>1173</v>
      </c>
      <c r="AF14" s="405" t="s">
        <v>704</v>
      </c>
      <c r="AG14" s="411">
        <v>109</v>
      </c>
      <c r="AH14" s="407">
        <v>40.6</v>
      </c>
      <c r="AI14" s="409">
        <v>1.16</v>
      </c>
      <c r="AJ14" s="407">
        <v>16.1</v>
      </c>
      <c r="AK14" s="409">
        <v>2.05</v>
      </c>
      <c r="AL14" s="410">
        <v>3.23</v>
      </c>
      <c r="AN14" s="35"/>
      <c r="AO14" s="43">
        <f>$D$24</f>
        <v>0.25</v>
      </c>
      <c r="AP14" s="43">
        <f>$B$83</f>
        <v>0.08001129121807937</v>
      </c>
      <c r="AQ14" s="29"/>
      <c r="AR14" s="57"/>
    </row>
    <row r="15" spans="1:44" ht="12.75">
      <c r="A15" s="11" t="s">
        <v>228</v>
      </c>
      <c r="B15" s="10"/>
      <c r="C15" s="10"/>
      <c r="D15" s="10"/>
      <c r="E15" s="112"/>
      <c r="F15" s="15"/>
      <c r="G15" s="10"/>
      <c r="H15" s="15"/>
      <c r="I15" s="135"/>
      <c r="K15" s="116">
        <v>0.5</v>
      </c>
      <c r="L15" s="33"/>
      <c r="M15" s="33" t="s">
        <v>124</v>
      </c>
      <c r="N15" s="41">
        <f>($D$17*(2*$D$20+$B$46)/4)/($D$26*$D$22^2/6)</f>
        <v>28.244444444444447</v>
      </c>
      <c r="O15" s="38" t="s">
        <v>245</v>
      </c>
      <c r="P15" s="92" t="s">
        <v>1174</v>
      </c>
      <c r="AF15" s="405" t="s">
        <v>705</v>
      </c>
      <c r="AG15" s="411">
        <v>107</v>
      </c>
      <c r="AH15" s="407">
        <v>40.6</v>
      </c>
      <c r="AI15" s="409">
        <v>1.12</v>
      </c>
      <c r="AJ15" s="407">
        <v>16</v>
      </c>
      <c r="AK15" s="409">
        <v>2.01</v>
      </c>
      <c r="AL15" s="410">
        <v>3.19</v>
      </c>
      <c r="AN15" s="35">
        <v>94</v>
      </c>
      <c r="AO15" s="48" t="str">
        <f>IF($B$94&gt;=$D$16,"Rvg &gt;= R,  O.K.","Rvg &lt; R, N.G.")</f>
        <v>Rvg &gt;= R,  O.K.</v>
      </c>
      <c r="AR15" s="43">
        <f>$D$16/$B$94</f>
        <v>0.308641975308642</v>
      </c>
    </row>
    <row r="16" spans="1:44" ht="12.75">
      <c r="A16" s="19"/>
      <c r="B16" s="44"/>
      <c r="C16" s="44" t="s">
        <v>486</v>
      </c>
      <c r="D16" s="167">
        <v>40</v>
      </c>
      <c r="E16" s="123" t="s">
        <v>237</v>
      </c>
      <c r="F16" s="15"/>
      <c r="G16" s="37"/>
      <c r="H16" s="10"/>
      <c r="I16" s="133" t="str">
        <f>"        D1="&amp;$D$27</f>
        <v>        D1=3.625</v>
      </c>
      <c r="K16" s="84">
        <v>32</v>
      </c>
      <c r="L16" s="33"/>
      <c r="M16" s="33" t="s">
        <v>159</v>
      </c>
      <c r="N16" s="41">
        <f>(1.5/1.67)*$D$23</f>
        <v>32.33532934131737</v>
      </c>
      <c r="O16" s="38" t="s">
        <v>245</v>
      </c>
      <c r="P16" s="92" t="s">
        <v>1175</v>
      </c>
      <c r="AF16" s="405" t="s">
        <v>706</v>
      </c>
      <c r="AG16" s="406">
        <v>95.3</v>
      </c>
      <c r="AH16" s="407">
        <v>40.2</v>
      </c>
      <c r="AI16" s="409">
        <v>1</v>
      </c>
      <c r="AJ16" s="407">
        <v>15.9</v>
      </c>
      <c r="AK16" s="409">
        <v>1.81</v>
      </c>
      <c r="AL16" s="410">
        <v>2.99</v>
      </c>
      <c r="AN16" s="35">
        <v>98</v>
      </c>
      <c r="AO16" s="48" t="str">
        <f>IF($B$98&gt;=$D$16,"Rvn &gt;= R,  O.K.","Rvn &lt; R, N.G.")</f>
        <v>Rvn &gt;= R,  O.K.</v>
      </c>
      <c r="AR16" s="43">
        <f>$D$16/$B$98</f>
        <v>0.2554278416347382</v>
      </c>
    </row>
    <row r="17" spans="1:44" ht="12.75">
      <c r="A17" s="19"/>
      <c r="B17" s="44"/>
      <c r="C17" s="44" t="s">
        <v>367</v>
      </c>
      <c r="D17" s="168">
        <v>5</v>
      </c>
      <c r="E17" s="123" t="s">
        <v>237</v>
      </c>
      <c r="F17" s="119" t="str">
        <f>"L="&amp;$D$26&amp;"    "</f>
        <v>L=12    </v>
      </c>
      <c r="G17" s="15"/>
      <c r="H17" s="28"/>
      <c r="I17" s="139"/>
      <c r="K17" s="84">
        <v>30</v>
      </c>
      <c r="L17" s="50"/>
      <c r="M17" s="95" t="s">
        <v>463</v>
      </c>
      <c r="AF17" s="405" t="s">
        <v>707</v>
      </c>
      <c r="AG17" s="406">
        <v>87.4</v>
      </c>
      <c r="AH17" s="407">
        <v>39.8</v>
      </c>
      <c r="AI17" s="408">
        <v>0.93</v>
      </c>
      <c r="AJ17" s="407">
        <v>15.8</v>
      </c>
      <c r="AK17" s="409">
        <v>1.65</v>
      </c>
      <c r="AL17" s="410">
        <v>2.83</v>
      </c>
      <c r="AN17" s="35">
        <v>106</v>
      </c>
      <c r="AO17" s="48" t="str">
        <f>IF($D$17&gt;0,IF($B$106&gt;=$D$17,"Rtg &gt;= P,  O.K.","Rtg &lt; P, N.G."),"N.A.")</f>
        <v>Rtg &gt;= P,  O.K.</v>
      </c>
      <c r="AR17" s="43">
        <f>IF($D$17&gt;0,$D$17/$B$106,"")</f>
        <v>0.028428234501347713</v>
      </c>
    </row>
    <row r="18" spans="1:44" ht="12.75">
      <c r="A18" s="19"/>
      <c r="B18" s="10"/>
      <c r="C18" s="10"/>
      <c r="D18" s="10"/>
      <c r="E18" s="10"/>
      <c r="F18" s="119"/>
      <c r="G18" s="117"/>
      <c r="H18" s="15"/>
      <c r="I18" s="149" t="str">
        <f>"      P="&amp;$D$17&amp;" k"</f>
        <v>      P=5 k</v>
      </c>
      <c r="K18" s="84">
        <v>28</v>
      </c>
      <c r="L18" s="50"/>
      <c r="M18" s="48" t="s">
        <v>527</v>
      </c>
      <c r="N18" s="34"/>
      <c r="O18" s="31"/>
      <c r="P18" s="57"/>
      <c r="AF18" s="405" t="s">
        <v>708</v>
      </c>
      <c r="AG18" s="406">
        <v>81.4</v>
      </c>
      <c r="AH18" s="407">
        <v>39.7</v>
      </c>
      <c r="AI18" s="408">
        <v>0.83</v>
      </c>
      <c r="AJ18" s="407">
        <v>15.8</v>
      </c>
      <c r="AK18" s="409">
        <v>1.58</v>
      </c>
      <c r="AL18" s="410">
        <v>2.76</v>
      </c>
      <c r="AN18" s="532" t="str">
        <f>IF(AND($D$29=0,$D$30=0,$D$31=0),$M$251,IF(AND($D$29&gt;0,$D$30&gt;0,$D$31=0),$M$279,IF(AND($D$29&gt;0,$D$30&gt;0,$D$31&gt;0),$M$320)))</f>
        <v>Beam Checks for Both Flanges Coped:</v>
      </c>
      <c r="AR18" s="390"/>
    </row>
    <row r="19" spans="1:44" ht="12.75">
      <c r="A19" s="11" t="s">
        <v>407</v>
      </c>
      <c r="B19" s="10"/>
      <c r="C19" s="10"/>
      <c r="D19" s="21"/>
      <c r="E19" s="112"/>
      <c r="F19" s="24"/>
      <c r="G19" s="121"/>
      <c r="H19" s="15" t="str">
        <f>"                 R=  "&amp;$D$16&amp;" k"</f>
        <v>                 R=  40 k</v>
      </c>
      <c r="I19" s="46"/>
      <c r="K19" s="575">
        <v>26</v>
      </c>
      <c r="L19" s="50"/>
      <c r="M19" s="33" t="s">
        <v>401</v>
      </c>
      <c r="N19" s="43">
        <f>$D$26</f>
        <v>12</v>
      </c>
      <c r="O19" s="31" t="s">
        <v>33</v>
      </c>
      <c r="P19" s="38" t="s">
        <v>661</v>
      </c>
      <c r="AF19" s="405" t="s">
        <v>709</v>
      </c>
      <c r="AG19" s="406">
        <v>73.3</v>
      </c>
      <c r="AH19" s="407">
        <v>39.4</v>
      </c>
      <c r="AI19" s="408">
        <v>0.75</v>
      </c>
      <c r="AJ19" s="407">
        <v>15.8</v>
      </c>
      <c r="AK19" s="409">
        <v>1.42</v>
      </c>
      <c r="AL19" s="410">
        <v>2.6</v>
      </c>
      <c r="AN19" s="35">
        <v>115</v>
      </c>
      <c r="AO19" s="48" t="str">
        <f>IF($B$115&gt;=$D$16,"Rvg &gt;= R,  O.K.","Rvg &lt; R, N.G.")</f>
        <v>Rvg &gt;= R,  O.K.</v>
      </c>
      <c r="AP19" s="29"/>
      <c r="AQ19" s="29"/>
      <c r="AR19" s="43">
        <f>$D$16/$B$115</f>
        <v>0.35211267605633806</v>
      </c>
    </row>
    <row r="20" spans="1:44" ht="12.75">
      <c r="A20" s="19"/>
      <c r="B20" s="10"/>
      <c r="C20" s="58" t="s">
        <v>2</v>
      </c>
      <c r="D20" s="454">
        <f>IF($D$26&gt;=18,4,3)</f>
        <v>3</v>
      </c>
      <c r="E20" s="113" t="s">
        <v>268</v>
      </c>
      <c r="F20" s="119" t="str">
        <f>"Lc="&amp;$D$20&amp;"  "</f>
        <v>Lc=3  </v>
      </c>
      <c r="G20" s="15"/>
      <c r="H20" s="10"/>
      <c r="I20" s="134"/>
      <c r="K20" s="575">
        <v>24</v>
      </c>
      <c r="L20" s="50"/>
      <c r="M20" s="33" t="s">
        <v>413</v>
      </c>
      <c r="N20" s="43">
        <f>$D$21-$D$28</f>
        <v>2.5</v>
      </c>
      <c r="O20" s="31" t="s">
        <v>268</v>
      </c>
      <c r="P20" s="57" t="s">
        <v>415</v>
      </c>
      <c r="AF20" s="405" t="s">
        <v>710</v>
      </c>
      <c r="AG20" s="406">
        <v>63.4</v>
      </c>
      <c r="AH20" s="407">
        <v>39</v>
      </c>
      <c r="AI20" s="408">
        <v>0.65</v>
      </c>
      <c r="AJ20" s="407">
        <v>15.8</v>
      </c>
      <c r="AK20" s="409">
        <v>1.22</v>
      </c>
      <c r="AL20" s="410">
        <v>2.4</v>
      </c>
      <c r="AN20" s="35">
        <v>119</v>
      </c>
      <c r="AO20" s="48" t="str">
        <f>IF($B$119="N.A.","N.A.",IF($B$119&gt;=$D$16,"Rvn &gt;= R,  O.K.","Rvn &lt; R, N.G."))</f>
        <v>Rvn &gt;= R,  O.K.</v>
      </c>
      <c r="AP20" s="29"/>
      <c r="AQ20" s="29"/>
      <c r="AR20" s="43">
        <f>IF($B$119="N.A.","",$D$16/$B$119)</f>
        <v>0.36114120621162876</v>
      </c>
    </row>
    <row r="21" spans="1:44" ht="12.75">
      <c r="A21" s="19"/>
      <c r="B21" s="10"/>
      <c r="C21" s="58" t="s">
        <v>366</v>
      </c>
      <c r="D21" s="437">
        <v>3</v>
      </c>
      <c r="E21" s="113" t="s">
        <v>268</v>
      </c>
      <c r="F21" s="10"/>
      <c r="G21" s="13"/>
      <c r="H21" s="119" t="str">
        <f>"       s="&amp;$D$28</f>
        <v>       s=0.5</v>
      </c>
      <c r="I21" s="102"/>
      <c r="K21" s="575">
        <v>22</v>
      </c>
      <c r="L21" s="116"/>
      <c r="M21" s="33" t="s">
        <v>519</v>
      </c>
      <c r="N21" s="39">
        <f>$AD$69</f>
        <v>0.03125</v>
      </c>
      <c r="O21" s="31"/>
      <c r="P21" s="48" t="s">
        <v>543</v>
      </c>
      <c r="T21" s="61"/>
      <c r="AF21" s="405" t="s">
        <v>711</v>
      </c>
      <c r="AG21" s="406">
        <v>58.5</v>
      </c>
      <c r="AH21" s="407">
        <v>38.7</v>
      </c>
      <c r="AI21" s="408">
        <v>0.65</v>
      </c>
      <c r="AJ21" s="407">
        <v>15.8</v>
      </c>
      <c r="AK21" s="409">
        <v>1.07</v>
      </c>
      <c r="AL21" s="410">
        <v>2.25</v>
      </c>
      <c r="AN21" s="16">
        <v>123</v>
      </c>
      <c r="AO21" s="48" t="str">
        <f>IF($D$17&gt;0,IF($B$123&gt;=$D$17,"Rtg &gt;= P,  O.K.","Rtg &lt; P, N.G."),"N.A.")</f>
        <v>Rtg &gt;= P,  O.K.</v>
      </c>
      <c r="AR21" s="43">
        <f>IF($D$17&gt;0,$D$17/$B$123,"")</f>
        <v>0.033495621980676335</v>
      </c>
    </row>
    <row r="22" spans="1:44" ht="12.75">
      <c r="A22" s="19"/>
      <c r="B22" s="10"/>
      <c r="C22" s="44" t="s">
        <v>336</v>
      </c>
      <c r="D22" s="172">
        <v>0.375</v>
      </c>
      <c r="E22" s="113" t="s">
        <v>268</v>
      </c>
      <c r="F22" s="55"/>
      <c r="G22" s="10"/>
      <c r="H22" s="28" t="str">
        <f>"             Lb="&amp;$D$21</f>
        <v>             Lb=3</v>
      </c>
      <c r="I22" s="54"/>
      <c r="K22" s="575">
        <v>20</v>
      </c>
      <c r="L22" s="116"/>
      <c r="M22" s="33" t="s">
        <v>469</v>
      </c>
      <c r="N22" s="39">
        <f>$D$21-$N$21*$N$19</f>
        <v>2.625</v>
      </c>
      <c r="O22" s="31" t="s">
        <v>268</v>
      </c>
      <c r="P22" s="48" t="s">
        <v>520</v>
      </c>
      <c r="T22" s="43"/>
      <c r="AF22" s="405" t="s">
        <v>712</v>
      </c>
      <c r="AG22" s="411">
        <v>115</v>
      </c>
      <c r="AH22" s="407">
        <v>41.6</v>
      </c>
      <c r="AI22" s="409">
        <v>1.42</v>
      </c>
      <c r="AJ22" s="407">
        <v>12.4</v>
      </c>
      <c r="AK22" s="409">
        <v>2.52</v>
      </c>
      <c r="AL22" s="410">
        <v>3.7</v>
      </c>
      <c r="AN22" s="16">
        <v>128</v>
      </c>
      <c r="AO22" s="48" t="str">
        <f>IF(AND($D$29=0,$D$30=0,$D$31=0),"N.A.",IF($B$128&gt;=$D$16,"Rbs &gt;= R,  O.K.","Rbs &lt; R, N.G."))</f>
        <v>Rbs &gt;= R,  O.K.</v>
      </c>
      <c r="AR22" s="43">
        <f>IF(AND($D$29=0,$D$30=0,$D$31=0),"",$D$16/$B$128)</f>
        <v>0.3748060086088255</v>
      </c>
    </row>
    <row r="23" spans="1:44" ht="12.75">
      <c r="A23" s="19"/>
      <c r="B23" s="10"/>
      <c r="C23" s="44" t="s">
        <v>1082</v>
      </c>
      <c r="D23" s="165">
        <v>36</v>
      </c>
      <c r="E23" s="110" t="s">
        <v>245</v>
      </c>
      <c r="F23" s="55"/>
      <c r="G23" s="10"/>
      <c r="H23" s="10"/>
      <c r="I23" s="54"/>
      <c r="K23" s="575">
        <v>18</v>
      </c>
      <c r="L23" s="116"/>
      <c r="M23" s="33" t="s">
        <v>1032</v>
      </c>
      <c r="N23" s="43">
        <f>$N$22/$N$19</f>
        <v>0.21875</v>
      </c>
      <c r="O23" s="31"/>
      <c r="P23" s="48" t="s">
        <v>470</v>
      </c>
      <c r="R23" s="146"/>
      <c r="S23" s="50"/>
      <c r="AF23" s="405" t="s">
        <v>713</v>
      </c>
      <c r="AG23" s="406">
        <v>97.5</v>
      </c>
      <c r="AH23" s="407">
        <v>40.8</v>
      </c>
      <c r="AI23" s="409">
        <v>1.22</v>
      </c>
      <c r="AJ23" s="407">
        <v>12.2</v>
      </c>
      <c r="AK23" s="409">
        <v>2.13</v>
      </c>
      <c r="AL23" s="410">
        <v>3.31</v>
      </c>
      <c r="AN23" s="16">
        <v>133</v>
      </c>
      <c r="AO23" s="48" t="str">
        <f>IF(AND($D$29=0,$D$30=0,$D$31=0),"N.A.",IF($D$17&gt;0,IF($B$133&gt;=$D$17,"Rto &gt;= P,  O.K.","Rto &lt; P, N.G."),"N.A."))</f>
        <v>Rto &gt;= P,  O.K.</v>
      </c>
      <c r="AR23" s="43">
        <f>IF(AND($D$29=0,$D$30=0,$D$31=0),"",IF($D$17&gt;0,$D$17/$B$133,""))</f>
        <v>0.03195411777294166</v>
      </c>
    </row>
    <row r="24" spans="1:44" ht="12.75">
      <c r="A24" s="19"/>
      <c r="B24" s="10"/>
      <c r="C24" s="44" t="s">
        <v>657</v>
      </c>
      <c r="D24" s="437">
        <f>MIN(5/16,$D$22-1/8)</f>
        <v>0.25</v>
      </c>
      <c r="E24" s="112" t="s">
        <v>268</v>
      </c>
      <c r="F24" s="101" t="s">
        <v>233</v>
      </c>
      <c r="G24" s="22"/>
      <c r="H24" s="1"/>
      <c r="I24" s="12"/>
      <c r="J24" s="37"/>
      <c r="K24" s="575">
        <v>16</v>
      </c>
      <c r="L24" s="34"/>
      <c r="M24" s="33" t="s">
        <v>460</v>
      </c>
      <c r="N24" s="43">
        <f>$N$20/$N$19</f>
        <v>0.20833333333333334</v>
      </c>
      <c r="O24" s="31"/>
      <c r="P24" s="48" t="s">
        <v>402</v>
      </c>
      <c r="S24" s="50"/>
      <c r="AF24" s="405" t="s">
        <v>714</v>
      </c>
      <c r="AG24" s="406">
        <v>96</v>
      </c>
      <c r="AH24" s="407">
        <v>40.8</v>
      </c>
      <c r="AI24" s="409">
        <v>1.18</v>
      </c>
      <c r="AJ24" s="407">
        <v>12.1</v>
      </c>
      <c r="AK24" s="409">
        <v>2.13</v>
      </c>
      <c r="AL24" s="410">
        <v>3.31</v>
      </c>
      <c r="AM24" s="37"/>
      <c r="AN24" s="16">
        <v>138</v>
      </c>
      <c r="AO24" s="48" t="str">
        <f>IF(D17&gt;0,IF($B$138&gt;=$D$17,"Rto &gt;= P,  O.K.","Rto &lt; P, N.G."),"N.A.")</f>
        <v>Rto &gt;= P,  O.K.</v>
      </c>
      <c r="AR24" s="43">
        <f>IF($D$17&gt;0,$D$17/$B$138,"")</f>
        <v>0.030289262456459187</v>
      </c>
    </row>
    <row r="25" spans="1:44" ht="12.75">
      <c r="A25" s="19"/>
      <c r="B25" s="10"/>
      <c r="C25" s="44" t="s">
        <v>660</v>
      </c>
      <c r="D25" s="437">
        <f>MIN(3/8,$D$22-1/16)</f>
        <v>0.3125</v>
      </c>
      <c r="E25" s="112" t="s">
        <v>268</v>
      </c>
      <c r="F25" s="10"/>
      <c r="G25" s="10"/>
      <c r="H25" s="10"/>
      <c r="I25" s="14"/>
      <c r="J25" s="37"/>
      <c r="K25" s="575">
        <v>14</v>
      </c>
      <c r="L25" s="34"/>
      <c r="M25" s="33" t="s">
        <v>381</v>
      </c>
      <c r="N25" s="114">
        <v>1</v>
      </c>
      <c r="O25" s="31"/>
      <c r="P25" s="48" t="s">
        <v>382</v>
      </c>
      <c r="AF25" s="405" t="s">
        <v>715</v>
      </c>
      <c r="AG25" s="406">
        <v>86.3</v>
      </c>
      <c r="AH25" s="407">
        <v>40.4</v>
      </c>
      <c r="AI25" s="409">
        <v>1.06</v>
      </c>
      <c r="AJ25" s="407">
        <v>12</v>
      </c>
      <c r="AK25" s="409">
        <v>1.93</v>
      </c>
      <c r="AL25" s="410">
        <v>3.11</v>
      </c>
      <c r="AM25" s="37"/>
      <c r="AN25" s="16">
        <v>147</v>
      </c>
      <c r="AO25" s="48" t="str">
        <f>IF(AND($D$29=0,$D$30=0,$D$31=0),"N.A.",IF($B$147&gt;=$D$16,"Rwb &gt;= R,  O.K.","Rwb &lt; R, N.G."))</f>
        <v>Rwb &gt;= R,  O.K.</v>
      </c>
      <c r="AR25" s="43">
        <f>IF(AND($D$29=0,$D$30=0,$D$31=0),"",$D$16/$B$147)</f>
        <v>0.2929960003720585</v>
      </c>
    </row>
    <row r="26" spans="1:44" ht="12.75">
      <c r="A26" s="19"/>
      <c r="B26" s="10"/>
      <c r="C26" s="44" t="s">
        <v>659</v>
      </c>
      <c r="D26" s="185">
        <v>12</v>
      </c>
      <c r="E26" s="112" t="s">
        <v>268</v>
      </c>
      <c r="F26" s="24"/>
      <c r="G26" s="137" t="str">
        <f>"tw="&amp;$B$46</f>
        <v>tw=0.355</v>
      </c>
      <c r="H26" s="15" t="str">
        <f>"      c="&amp;$D$29</f>
        <v>      c=3</v>
      </c>
      <c r="I26" s="135"/>
      <c r="J26" s="37"/>
      <c r="K26" s="84">
        <v>12</v>
      </c>
      <c r="L26" s="34"/>
      <c r="M26" s="33" t="s">
        <v>19</v>
      </c>
      <c r="N26" s="43">
        <f>$AD$72</f>
        <v>2.6240625</v>
      </c>
      <c r="O26" s="31"/>
      <c r="P26" s="48" t="s">
        <v>528</v>
      </c>
      <c r="AF26" s="405" t="s">
        <v>716</v>
      </c>
      <c r="AG26" s="406">
        <v>82</v>
      </c>
      <c r="AH26" s="407">
        <v>40.2</v>
      </c>
      <c r="AI26" s="409">
        <v>1.03</v>
      </c>
      <c r="AJ26" s="407">
        <v>12</v>
      </c>
      <c r="AK26" s="409">
        <v>1.81</v>
      </c>
      <c r="AL26" s="410">
        <v>2.99</v>
      </c>
      <c r="AM26" s="37"/>
      <c r="AN26" s="16">
        <v>163</v>
      </c>
      <c r="AO26" s="48" t="str">
        <f>IF(AND($D$29=0,$D$30=0,$D$31=0),"N.A.",IF($B$163&gt;=$D$16,"Rwb &gt;= R,  O.K.","Rwb &lt; R, N.G."))</f>
        <v>Rwb &gt;= R,  O.K.</v>
      </c>
      <c r="AR26" s="43">
        <f>IF(AND($D$29=0,$D$30=0,$D$31=0),"",$D$16/$B$163)</f>
        <v>0.3180471584038694</v>
      </c>
    </row>
    <row r="27" spans="1:44" ht="12.75">
      <c r="A27" s="19"/>
      <c r="B27" s="10"/>
      <c r="C27" s="93" t="s">
        <v>658</v>
      </c>
      <c r="D27" s="171">
        <v>3.625</v>
      </c>
      <c r="E27" s="113" t="s">
        <v>268</v>
      </c>
      <c r="F27" s="15" t="str">
        <f>"tf="&amp;$B$48</f>
        <v>tf=0.57</v>
      </c>
      <c r="G27" s="28"/>
      <c r="H27" s="15"/>
      <c r="I27" s="135" t="str">
        <f>"        dc1="&amp;$D$30</f>
        <v>        dc1=1</v>
      </c>
      <c r="J27" s="37"/>
      <c r="K27" s="84">
        <v>10</v>
      </c>
      <c r="L27" s="34"/>
      <c r="M27" s="33" t="s">
        <v>32</v>
      </c>
      <c r="N27" s="61">
        <f>SQRT($D$16^2+$D$17^2)</f>
        <v>40.311288741492746</v>
      </c>
      <c r="O27" s="31" t="s">
        <v>237</v>
      </c>
      <c r="P27" s="37" t="s">
        <v>539</v>
      </c>
      <c r="AF27" s="405" t="s">
        <v>717</v>
      </c>
      <c r="AG27" s="406">
        <v>77.6</v>
      </c>
      <c r="AH27" s="407">
        <v>40</v>
      </c>
      <c r="AI27" s="408">
        <v>0.96</v>
      </c>
      <c r="AJ27" s="407">
        <v>11.9</v>
      </c>
      <c r="AK27" s="409">
        <v>1.73</v>
      </c>
      <c r="AL27" s="410">
        <v>2.91</v>
      </c>
      <c r="AM27" s="37"/>
      <c r="AN27" s="32" t="s">
        <v>161</v>
      </c>
      <c r="AR27" s="390"/>
    </row>
    <row r="28" spans="1:44" ht="12.75">
      <c r="A28" s="19"/>
      <c r="B28" s="10"/>
      <c r="C28" s="44" t="s">
        <v>285</v>
      </c>
      <c r="D28" s="171">
        <v>0.5</v>
      </c>
      <c r="E28" s="113" t="s">
        <v>268</v>
      </c>
      <c r="F28" s="15"/>
      <c r="G28" s="37"/>
      <c r="H28" s="10"/>
      <c r="I28" s="133"/>
      <c r="J28" s="37"/>
      <c r="K28" s="84">
        <v>9</v>
      </c>
      <c r="L28" s="34"/>
      <c r="M28" s="74" t="s">
        <v>51</v>
      </c>
      <c r="N28" s="43">
        <f>IF($D$17&gt;0,90-(ATAN($D$16/$D$17)*(180/PI())),0)</f>
        <v>7.125016348901795</v>
      </c>
      <c r="O28" s="31" t="s">
        <v>269</v>
      </c>
      <c r="P28" s="115" t="s">
        <v>53</v>
      </c>
      <c r="AF28" s="405" t="s">
        <v>718</v>
      </c>
      <c r="AG28" s="406">
        <v>69</v>
      </c>
      <c r="AH28" s="407">
        <v>39.7</v>
      </c>
      <c r="AI28" s="408">
        <v>0.83</v>
      </c>
      <c r="AJ28" s="407">
        <v>11.9</v>
      </c>
      <c r="AK28" s="409">
        <v>1.58</v>
      </c>
      <c r="AL28" s="410">
        <v>2.76</v>
      </c>
      <c r="AM28" s="37"/>
      <c r="AN28" s="16">
        <v>172</v>
      </c>
      <c r="AO28" s="38" t="str">
        <f>IF($D$16&gt;0,IF($B$172&gt;=$D$16,"Rwv &gt;= R,  O.K.","Rwv &lt; R, N.G."),"N.A.")</f>
        <v>Rwv &gt;= R,  O.K.</v>
      </c>
      <c r="AR28" s="6">
        <f>IF($D$16&gt;0,$D$16/$B$172,"")</f>
        <v>0.4870087316640433</v>
      </c>
    </row>
    <row r="29" spans="1:44" ht="12.75">
      <c r="A29" s="19"/>
      <c r="B29" s="10"/>
      <c r="C29" s="44" t="s">
        <v>5</v>
      </c>
      <c r="D29" s="171">
        <v>3</v>
      </c>
      <c r="E29" s="113" t="s">
        <v>268</v>
      </c>
      <c r="F29" s="119"/>
      <c r="G29" s="15"/>
      <c r="H29" s="28"/>
      <c r="I29" s="139"/>
      <c r="J29" s="37"/>
      <c r="K29" s="84">
        <v>8</v>
      </c>
      <c r="M29" s="74" t="s">
        <v>540</v>
      </c>
      <c r="N29" s="40">
        <f>FLOOR($N$28,15)</f>
        <v>0</v>
      </c>
      <c r="O29" s="31" t="s">
        <v>269</v>
      </c>
      <c r="P29" s="75" t="s">
        <v>518</v>
      </c>
      <c r="AF29" s="405" t="s">
        <v>719</v>
      </c>
      <c r="AG29" s="406">
        <v>62</v>
      </c>
      <c r="AH29" s="407">
        <v>39.4</v>
      </c>
      <c r="AI29" s="408">
        <v>0.75</v>
      </c>
      <c r="AJ29" s="407">
        <v>11.8</v>
      </c>
      <c r="AK29" s="409">
        <v>1.42</v>
      </c>
      <c r="AL29" s="410">
        <v>2.6</v>
      </c>
      <c r="AM29" s="37"/>
      <c r="AN29" s="16">
        <v>173</v>
      </c>
      <c r="AO29" s="38" t="str">
        <f>IF($D$17&gt;0,IF($B$173&gt;=$D$17,"Rwa &gt;= P,  O.K.","Rwa &lt; P, N.G."),"N.A.")</f>
        <v>Rwa &gt;= P,  O.K.</v>
      </c>
      <c r="AR29" s="6">
        <f>IF($D$17&gt;0,$D$17/$B$173,"")</f>
        <v>0.48700873166404346</v>
      </c>
    </row>
    <row r="30" spans="1:44" ht="12.75">
      <c r="A30" s="19"/>
      <c r="B30" s="10"/>
      <c r="C30" s="44" t="s">
        <v>1098</v>
      </c>
      <c r="D30" s="171">
        <v>1</v>
      </c>
      <c r="E30" s="113" t="s">
        <v>268</v>
      </c>
      <c r="F30" s="119" t="str">
        <f>"d="&amp;$B$45&amp;"       "</f>
        <v>d=18       </v>
      </c>
      <c r="G30" s="117"/>
      <c r="H30" s="28"/>
      <c r="I30" s="149"/>
      <c r="J30" s="37"/>
      <c r="K30" s="84">
        <v>7</v>
      </c>
      <c r="M30" s="74" t="s">
        <v>279</v>
      </c>
      <c r="N30" s="70">
        <f>((2*$N$27/2)/($N$26*$N$25*$N$19))/16</f>
        <v>0.08001129121807937</v>
      </c>
      <c r="O30" s="38" t="s">
        <v>393</v>
      </c>
      <c r="P30" s="75" t="s">
        <v>279</v>
      </c>
      <c r="Q30" s="31" t="s">
        <v>534</v>
      </c>
      <c r="AF30" s="405" t="s">
        <v>720</v>
      </c>
      <c r="AG30" s="406">
        <v>53.3</v>
      </c>
      <c r="AH30" s="407">
        <v>39</v>
      </c>
      <c r="AI30" s="408">
        <v>0.65</v>
      </c>
      <c r="AJ30" s="407">
        <v>11.8</v>
      </c>
      <c r="AK30" s="409">
        <v>1.2</v>
      </c>
      <c r="AL30" s="410">
        <v>2.38</v>
      </c>
      <c r="AM30" s="37"/>
      <c r="AN30" s="16">
        <v>178</v>
      </c>
      <c r="AO30" s="48" t="str">
        <f>IF($D$17&gt;0,IF($B$178&gt;=$D$17,"Rwy &gt;= P,  O.K.","Rwy &lt; P, N.G."),"N.A.")</f>
        <v>Rwy &gt;= P,  O.K.</v>
      </c>
      <c r="AR30" s="6">
        <f>IF($D$17&gt;0,$D$17/$B$178,"")</f>
        <v>0.022318107424490405</v>
      </c>
    </row>
    <row r="31" spans="1:44" ht="12.75">
      <c r="A31" s="19"/>
      <c r="B31" s="10"/>
      <c r="C31" s="44" t="s">
        <v>1099</v>
      </c>
      <c r="D31" s="171">
        <v>1</v>
      </c>
      <c r="E31" s="113" t="s">
        <v>268</v>
      </c>
      <c r="F31" s="24"/>
      <c r="G31" s="121"/>
      <c r="H31" s="28"/>
      <c r="I31" s="46"/>
      <c r="J31" s="37"/>
      <c r="K31" s="84">
        <v>6</v>
      </c>
      <c r="M31" s="74" t="s">
        <v>430</v>
      </c>
      <c r="N31" s="116">
        <f>IF(MIN($D$22,$B$46)&lt;=0.25,0.125,IF(MIN($D$22,$B$46)&lt;=0.5,0.1875,IF(MIN($D$22,$B$46)&lt;=0.75,0.25,IF(MIN($D$22,$B$46)&gt;0.75,0.3125))))</f>
        <v>0.1875</v>
      </c>
      <c r="O31" s="31" t="s">
        <v>268</v>
      </c>
      <c r="P31" s="75" t="s">
        <v>535</v>
      </c>
      <c r="AF31" s="405" t="s">
        <v>721</v>
      </c>
      <c r="AG31" s="406">
        <v>49.2</v>
      </c>
      <c r="AH31" s="407">
        <v>38.6</v>
      </c>
      <c r="AI31" s="408">
        <v>0.65</v>
      </c>
      <c r="AJ31" s="407">
        <v>11.8</v>
      </c>
      <c r="AK31" s="409">
        <v>1.03</v>
      </c>
      <c r="AL31" s="410">
        <v>2.21</v>
      </c>
      <c r="AM31" s="37"/>
      <c r="AN31" s="16">
        <v>183</v>
      </c>
      <c r="AO31" s="48" t="str">
        <f>IF($D$17&gt;0,IF($B$183&gt;=$D$16,"Rwc &gt;= P,  O.K.","Rwc&lt; P, N.G."),"N.A.")</f>
        <v>Rwc &gt;= P,  O.K.</v>
      </c>
      <c r="AR31" s="6">
        <f>IF($D$17&gt;0,$D$17/$B$183,"")</f>
        <v>0.03744554872149368</v>
      </c>
    </row>
    <row r="32" spans="1:44" ht="12.75">
      <c r="A32" s="19"/>
      <c r="B32" s="10"/>
      <c r="C32" s="44" t="s">
        <v>42</v>
      </c>
      <c r="D32" s="171">
        <v>0</v>
      </c>
      <c r="E32" s="112" t="s">
        <v>268</v>
      </c>
      <c r="F32" s="15"/>
      <c r="G32" s="15"/>
      <c r="H32" s="10"/>
      <c r="I32" s="134"/>
      <c r="J32" s="37"/>
      <c r="K32" s="84">
        <v>5</v>
      </c>
      <c r="L32" s="34"/>
      <c r="M32" s="33" t="s">
        <v>427</v>
      </c>
      <c r="N32" s="41">
        <f>2*$D$24*16*$N$26*$N$25*$N$19/2</f>
        <v>125.955</v>
      </c>
      <c r="O32" s="31" t="s">
        <v>237</v>
      </c>
      <c r="P32" s="92" t="s">
        <v>536</v>
      </c>
      <c r="AF32" s="405" t="s">
        <v>722</v>
      </c>
      <c r="AG32" s="406">
        <v>43.8</v>
      </c>
      <c r="AH32" s="407">
        <v>38.2</v>
      </c>
      <c r="AI32" s="408">
        <v>0.63</v>
      </c>
      <c r="AJ32" s="407">
        <v>11.8</v>
      </c>
      <c r="AK32" s="408">
        <v>0.83</v>
      </c>
      <c r="AL32" s="410">
        <v>2.01</v>
      </c>
      <c r="AM32" s="37"/>
      <c r="AN32" s="16">
        <v>190</v>
      </c>
      <c r="AO32" s="48" t="str">
        <f>IF($D$17&gt;0,IF($D$32&gt;0,IF($B$189&lt;=$B$190,"Weld size &lt;= weld max., O.K.","Weld size &gt; weld max."),"N.A."),"N.A.")</f>
        <v>N.A.</v>
      </c>
      <c r="AR32" s="6">
        <f>IF($D$17&gt;0,IF($D$32&gt;0,$B$189/$B$190,""),"")</f>
      </c>
    </row>
    <row r="33" spans="1:42" ht="12.75">
      <c r="A33" s="19"/>
      <c r="B33" s="10"/>
      <c r="C33" s="44" t="s">
        <v>43</v>
      </c>
      <c r="D33" s="173">
        <v>36</v>
      </c>
      <c r="E33" s="112" t="s">
        <v>268</v>
      </c>
      <c r="F33" s="10"/>
      <c r="G33" s="13" t="str">
        <f>"  bf="&amp;$B$47</f>
        <v>  bf=7.5</v>
      </c>
      <c r="H33" s="13"/>
      <c r="I33" s="122" t="str">
        <f>"        dc2="&amp;$D$31</f>
        <v>        dc2=1</v>
      </c>
      <c r="J33" s="37"/>
      <c r="K33" s="84">
        <v>4</v>
      </c>
      <c r="L33" s="34"/>
      <c r="M33" s="33" t="s">
        <v>625</v>
      </c>
      <c r="N33" s="43">
        <f>6.19*16*$D$24/$N$7</f>
        <v>0.3809230769230769</v>
      </c>
      <c r="O33" s="29" t="s">
        <v>268</v>
      </c>
      <c r="P33" s="29" t="s">
        <v>1180</v>
      </c>
      <c r="AF33" s="405" t="s">
        <v>723</v>
      </c>
      <c r="AG33" s="411">
        <v>236</v>
      </c>
      <c r="AH33" s="407">
        <v>42.6</v>
      </c>
      <c r="AI33" s="409">
        <v>2.38</v>
      </c>
      <c r="AJ33" s="407">
        <v>18</v>
      </c>
      <c r="AK33" s="409">
        <v>4.29</v>
      </c>
      <c r="AL33" s="410">
        <v>5.24</v>
      </c>
      <c r="AM33" s="37"/>
      <c r="AO33" s="43" t="str">
        <f>$B$189</f>
        <v>N.A.</v>
      </c>
      <c r="AP33" s="43" t="str">
        <f>$B$190</f>
        <v>N.A.</v>
      </c>
    </row>
    <row r="34" spans="1:39" ht="12.75">
      <c r="A34" s="19"/>
      <c r="B34" s="10"/>
      <c r="F34" s="55"/>
      <c r="G34" s="10"/>
      <c r="H34" s="28" t="str">
        <f>"      c="&amp;IF($D$31&gt;0,$D$29,0)</f>
        <v>      c=3</v>
      </c>
      <c r="I34" s="54"/>
      <c r="J34" s="37"/>
      <c r="K34" s="84" t="s">
        <v>365</v>
      </c>
      <c r="L34" s="34"/>
      <c r="M34" s="33" t="s">
        <v>648</v>
      </c>
      <c r="N34" s="34" t="str">
        <f>IF($N$33&gt;$B$46,"Yes","No")</f>
        <v>Yes</v>
      </c>
      <c r="P34" s="29" t="s">
        <v>538</v>
      </c>
      <c r="AF34" s="405" t="s">
        <v>724</v>
      </c>
      <c r="AG34" s="411">
        <v>192</v>
      </c>
      <c r="AH34" s="407">
        <v>41.1</v>
      </c>
      <c r="AI34" s="409">
        <v>1.97</v>
      </c>
      <c r="AJ34" s="407">
        <v>17.6</v>
      </c>
      <c r="AK34" s="409">
        <v>3.54</v>
      </c>
      <c r="AL34" s="410">
        <v>4.49</v>
      </c>
      <c r="AM34" s="37"/>
    </row>
    <row r="35" spans="1:39" ht="12.75">
      <c r="A35" s="19"/>
      <c r="B35" s="10"/>
      <c r="F35" s="101" t="s">
        <v>234</v>
      </c>
      <c r="G35" s="22"/>
      <c r="H35" s="1"/>
      <c r="I35" s="12"/>
      <c r="J35" s="37"/>
      <c r="K35" s="84" t="s">
        <v>45</v>
      </c>
      <c r="L35" s="34"/>
      <c r="M35" s="33" t="s">
        <v>624</v>
      </c>
      <c r="N35" s="61">
        <f>IF($N$34="No",$N$32,$N$32*$B$46/$N$33)</f>
        <v>117.38334511308562</v>
      </c>
      <c r="O35" s="31" t="s">
        <v>237</v>
      </c>
      <c r="P35" s="155" t="str">
        <f>IF($N$203="No","Rwr' = Rwr, tmin &lt; twb, no reduction in strength is needed","Rwr' = Rwr*twb/tmin")</f>
        <v>Rwr' = Rwr*twb/tmin</v>
      </c>
      <c r="Q35" s="38"/>
      <c r="AD35" s="460" t="s">
        <v>521</v>
      </c>
      <c r="AF35" s="405" t="s">
        <v>725</v>
      </c>
      <c r="AG35" s="411">
        <v>156</v>
      </c>
      <c r="AH35" s="407">
        <v>39.8</v>
      </c>
      <c r="AI35" s="409">
        <v>1.61</v>
      </c>
      <c r="AJ35" s="407">
        <v>17.2</v>
      </c>
      <c r="AK35" s="409">
        <v>2.91</v>
      </c>
      <c r="AL35" s="410">
        <v>3.86</v>
      </c>
      <c r="AM35" s="37"/>
    </row>
    <row r="36" spans="1:39" ht="12.75">
      <c r="A36" s="19"/>
      <c r="B36" s="10"/>
      <c r="I36" s="14"/>
      <c r="J36" s="37"/>
      <c r="K36" s="34"/>
      <c r="L36" s="34"/>
      <c r="M36" s="33" t="s">
        <v>428</v>
      </c>
      <c r="N36" s="41">
        <f>$N$35*COS($N$28*PI()/180)</f>
        <v>116.47689645036027</v>
      </c>
      <c r="O36" s="31" t="s">
        <v>237</v>
      </c>
      <c r="P36" s="92" t="s">
        <v>635</v>
      </c>
      <c r="R36" s="9"/>
      <c r="AD36" s="460" t="s">
        <v>522</v>
      </c>
      <c r="AF36" s="405" t="s">
        <v>726</v>
      </c>
      <c r="AG36" s="411">
        <v>143</v>
      </c>
      <c r="AH36" s="407">
        <v>39.3</v>
      </c>
      <c r="AI36" s="409">
        <v>1.5</v>
      </c>
      <c r="AJ36" s="407">
        <v>17.1</v>
      </c>
      <c r="AK36" s="409">
        <v>2.68</v>
      </c>
      <c r="AL36" s="410">
        <v>3.63</v>
      </c>
      <c r="AM36" s="37"/>
    </row>
    <row r="37" spans="1:39" ht="12.75">
      <c r="A37" s="19"/>
      <c r="B37" s="10"/>
      <c r="F37" s="530" t="s">
        <v>311</v>
      </c>
      <c r="G37" s="10"/>
      <c r="H37" s="10"/>
      <c r="I37" s="14"/>
      <c r="J37" s="37"/>
      <c r="K37" s="34"/>
      <c r="L37" s="34"/>
      <c r="M37" s="33" t="s">
        <v>429</v>
      </c>
      <c r="N37" s="61">
        <f>$N$35*SIN($N$28*PI()/180)</f>
        <v>14.55961205629503</v>
      </c>
      <c r="O37" s="31" t="s">
        <v>237</v>
      </c>
      <c r="P37" s="92" t="s">
        <v>636</v>
      </c>
      <c r="AD37" s="461">
        <f>IF(AD45&lt;0.1,1,MATCH(AD45,N45:AC45))</f>
        <v>3</v>
      </c>
      <c r="AF37" s="405" t="s">
        <v>727</v>
      </c>
      <c r="AG37" s="411">
        <v>130</v>
      </c>
      <c r="AH37" s="407">
        <v>38.9</v>
      </c>
      <c r="AI37" s="409">
        <v>1.36</v>
      </c>
      <c r="AJ37" s="407">
        <v>17</v>
      </c>
      <c r="AK37" s="409">
        <v>2.44</v>
      </c>
      <c r="AL37" s="410">
        <v>3.39</v>
      </c>
      <c r="AM37" s="37"/>
    </row>
    <row r="38" spans="1:38" ht="12.75">
      <c r="A38" s="19"/>
      <c r="B38" s="10"/>
      <c r="F38" s="58" t="s">
        <v>312</v>
      </c>
      <c r="G38" s="158">
        <f>MIN($B$63,$B$89,$B$94,$B$98,$B$115,$B$119,$B$128,$B$147,$B$163,$B$172)</f>
        <v>82.13405099191012</v>
      </c>
      <c r="H38" s="121" t="s">
        <v>237</v>
      </c>
      <c r="I38" s="531"/>
      <c r="K38" s="34"/>
      <c r="L38" s="34"/>
      <c r="AD38" s="462"/>
      <c r="AF38" s="405" t="s">
        <v>728</v>
      </c>
      <c r="AG38" s="411">
        <v>116</v>
      </c>
      <c r="AH38" s="407">
        <v>38.4</v>
      </c>
      <c r="AI38" s="409">
        <v>1.22</v>
      </c>
      <c r="AJ38" s="407">
        <v>16.8</v>
      </c>
      <c r="AK38" s="409">
        <v>2.2</v>
      </c>
      <c r="AL38" s="410">
        <v>3.15</v>
      </c>
    </row>
    <row r="39" spans="1:38" ht="12.75">
      <c r="A39" s="19"/>
      <c r="B39" s="10"/>
      <c r="F39" s="58" t="s">
        <v>313</v>
      </c>
      <c r="G39" s="179">
        <f>$D$16</f>
        <v>40</v>
      </c>
      <c r="H39" s="121" t="s">
        <v>237</v>
      </c>
      <c r="I39" s="531"/>
      <c r="K39" s="34"/>
      <c r="L39" s="34"/>
      <c r="AD39" s="460" t="s">
        <v>523</v>
      </c>
      <c r="AF39" s="405" t="s">
        <v>729</v>
      </c>
      <c r="AG39" s="411">
        <v>106</v>
      </c>
      <c r="AH39" s="407">
        <v>38</v>
      </c>
      <c r="AI39" s="409">
        <v>1.12</v>
      </c>
      <c r="AJ39" s="407">
        <v>16.7</v>
      </c>
      <c r="AK39" s="409">
        <v>2.01</v>
      </c>
      <c r="AL39" s="410">
        <v>2.96</v>
      </c>
    </row>
    <row r="40" spans="1:38" ht="12.75">
      <c r="A40" s="19"/>
      <c r="B40" s="10"/>
      <c r="F40" s="58" t="s">
        <v>314</v>
      </c>
      <c r="G40" s="158">
        <f>$G$39/$G$38</f>
        <v>0.4870087316640433</v>
      </c>
      <c r="H40" s="87"/>
      <c r="I40" s="389" t="str">
        <f>IF($G$40&lt;=1,"S.R. &lt;= 1.0,  O.K.","S.R. &gt; 1.0, N.G.")</f>
        <v>S.R. &lt;= 1.0,  O.K.</v>
      </c>
      <c r="K40" s="34"/>
      <c r="L40" s="34"/>
      <c r="AD40" s="460" t="s">
        <v>524</v>
      </c>
      <c r="AF40" s="405" t="s">
        <v>730</v>
      </c>
      <c r="AG40" s="406">
        <v>97</v>
      </c>
      <c r="AH40" s="407">
        <v>37.7</v>
      </c>
      <c r="AI40" s="409">
        <v>1.02</v>
      </c>
      <c r="AJ40" s="407">
        <v>16.6</v>
      </c>
      <c r="AK40" s="409">
        <v>1.85</v>
      </c>
      <c r="AL40" s="410">
        <v>2.8</v>
      </c>
    </row>
    <row r="41" spans="1:38" ht="12.75">
      <c r="A41" s="19"/>
      <c r="B41" s="10"/>
      <c r="C41" s="10"/>
      <c r="D41" s="10"/>
      <c r="E41" s="10"/>
      <c r="F41" s="80">
        <f>IF($D$26&lt;($B$45-2*$B$49)/2,"Connection Length &lt; (d-2*k)/2","")</f>
      </c>
      <c r="G41" s="10"/>
      <c r="H41" s="10"/>
      <c r="I41" s="54"/>
      <c r="K41" s="34"/>
      <c r="L41" s="34"/>
      <c r="AD41" s="461">
        <f>MATCH($N$23,$M$46:$M$68)</f>
        <v>4</v>
      </c>
      <c r="AF41" s="405" t="s">
        <v>731</v>
      </c>
      <c r="AG41" s="406">
        <v>88.8</v>
      </c>
      <c r="AH41" s="407">
        <v>37.3</v>
      </c>
      <c r="AI41" s="408">
        <v>0.945</v>
      </c>
      <c r="AJ41" s="407">
        <v>16.7</v>
      </c>
      <c r="AK41" s="409">
        <v>1.68</v>
      </c>
      <c r="AL41" s="410">
        <v>2.63</v>
      </c>
    </row>
    <row r="42" spans="1:39" ht="12.75">
      <c r="A42" s="64" t="s">
        <v>56</v>
      </c>
      <c r="B42" s="10"/>
      <c r="C42" s="10"/>
      <c r="D42" s="10"/>
      <c r="E42" s="10"/>
      <c r="F42" s="98">
        <f>IF(AND($D$29=0,$D$30=0,$D$31=0),IF($B$45&lt;$D$26+2*$D$24+2*$B$49,"Connection too long, reduce L!",""),IF(AND($D$29&gt;0,$D$30&gt;0,$D$31=0),IF($B$45-$D$30&lt;$D$26+2*$D$24+1*$B$49,"Connection too long, reduce L!",""),IF(AND($D$29&gt;0,$D$30&gt;0,$D$31&gt;0),IF($B$45-($D$30+$D$31)&lt;$D$26+2*$D$24,"Connection too long, reduce L!",""))))</f>
      </c>
      <c r="G42" s="10"/>
      <c r="H42" s="10"/>
      <c r="I42" s="54"/>
      <c r="J42" s="37"/>
      <c r="K42" s="34"/>
      <c r="L42" s="34"/>
      <c r="AD42" s="446"/>
      <c r="AF42" s="405" t="s">
        <v>732</v>
      </c>
      <c r="AG42" s="406">
        <v>82.9</v>
      </c>
      <c r="AH42" s="407">
        <v>37.1</v>
      </c>
      <c r="AI42" s="408">
        <v>0.885</v>
      </c>
      <c r="AJ42" s="407">
        <v>16.6</v>
      </c>
      <c r="AK42" s="409">
        <v>1.57</v>
      </c>
      <c r="AL42" s="410">
        <v>2.52</v>
      </c>
      <c r="AM42" s="37"/>
    </row>
    <row r="43" spans="1:40" ht="12.75">
      <c r="A43" s="19"/>
      <c r="B43" s="89" t="s">
        <v>57</v>
      </c>
      <c r="C43" s="10"/>
      <c r="D43" s="89" t="s">
        <v>118</v>
      </c>
      <c r="E43" s="10"/>
      <c r="F43" s="80">
        <f>IF(AND($D$29&gt;0,$D$29&gt;2*$B$45),"c MUST BE &lt;= 2*d = "&amp;2*$B$45&amp;" in.!","")</f>
      </c>
      <c r="G43" s="97"/>
      <c r="H43" s="10"/>
      <c r="I43" s="54"/>
      <c r="J43" s="37"/>
      <c r="K43" s="84"/>
      <c r="L43" s="34"/>
      <c r="M43" s="141" t="str">
        <f>IF($N$29=0,M74,IF($N$29=15,M102,IF($N$29=30,M130,IF($N$29=45,M158,IF($N$29=60,M186,IF($N$29=75,M214,"ERROR"))))))</f>
        <v>TABLE 8-8 Coefficients, "C" (AISC Manual - page 8-90), Angle = 0°</v>
      </c>
      <c r="N43" s="463"/>
      <c r="O43" s="107"/>
      <c r="P43" s="463"/>
      <c r="Q43" s="463"/>
      <c r="R43" s="143"/>
      <c r="S43" s="143"/>
      <c r="T43" s="143"/>
      <c r="U43" s="142"/>
      <c r="V43" s="143"/>
      <c r="W43" s="143"/>
      <c r="X43" s="143"/>
      <c r="Y43" s="143"/>
      <c r="Z43" s="144"/>
      <c r="AA43" s="143"/>
      <c r="AB43" s="143"/>
      <c r="AC43" s="144"/>
      <c r="AD43" s="446"/>
      <c r="AF43" s="405" t="s">
        <v>733</v>
      </c>
      <c r="AG43" s="406">
        <v>77</v>
      </c>
      <c r="AH43" s="407">
        <v>36.9</v>
      </c>
      <c r="AI43" s="408">
        <v>0.84</v>
      </c>
      <c r="AJ43" s="407">
        <v>16.6</v>
      </c>
      <c r="AK43" s="409">
        <v>1.44</v>
      </c>
      <c r="AL43" s="410">
        <v>2.39</v>
      </c>
      <c r="AM43" s="37"/>
      <c r="AN43" s="50"/>
    </row>
    <row r="44" spans="1:40" ht="12.75">
      <c r="A44" s="62" t="s">
        <v>229</v>
      </c>
      <c r="B44" s="174">
        <f>VLOOKUP($D$10,$AF$6:$AL$406,ROWS(B$44:B44)+1,FALSE)</f>
        <v>14.7</v>
      </c>
      <c r="C44" s="58" t="s">
        <v>229</v>
      </c>
      <c r="D44" s="174">
        <f>VLOOKUP($D$11,$AF$6:$AL$336,ROWS(D$44:D44)+1,FALSE)</f>
        <v>26.5</v>
      </c>
      <c r="E44" s="113" t="s">
        <v>243</v>
      </c>
      <c r="F44" s="80">
        <f>IF(AND($D$30&gt;0,$D$31=0,$D$30&gt;$B$45/2),"dc1 MUST BE &lt;= d/2 = "&amp;$B$45/2&amp;" in.!",IF(AND($D$30&gt;0,$D$31&gt;0,$D$30&gt;0.2*$B$45),"dc1 MUST BE &lt;= 0.2*d = "&amp;0.2*$B$45&amp;" in.!",""))</f>
      </c>
      <c r="G44" s="10"/>
      <c r="H44" s="10"/>
      <c r="I44" s="65"/>
      <c r="J44" s="37"/>
      <c r="K44" s="84"/>
      <c r="L44" s="34"/>
      <c r="M44" s="464"/>
      <c r="N44" s="141" t="s">
        <v>323</v>
      </c>
      <c r="O44" s="107"/>
      <c r="P44" s="143"/>
      <c r="Q44" s="143"/>
      <c r="R44" s="143"/>
      <c r="S44" s="143"/>
      <c r="T44" s="465"/>
      <c r="U44" s="143"/>
      <c r="V44" s="143"/>
      <c r="W44" s="143"/>
      <c r="X44" s="143"/>
      <c r="Y44" s="156"/>
      <c r="Z44" s="144"/>
      <c r="AA44" s="143"/>
      <c r="AB44" s="156"/>
      <c r="AC44" s="144"/>
      <c r="AD44" s="466"/>
      <c r="AF44" s="405" t="s">
        <v>734</v>
      </c>
      <c r="AG44" s="406">
        <v>72.5</v>
      </c>
      <c r="AH44" s="407">
        <v>36.7</v>
      </c>
      <c r="AI44" s="408">
        <v>0.8</v>
      </c>
      <c r="AJ44" s="407">
        <v>16.5</v>
      </c>
      <c r="AK44" s="409">
        <v>1.35</v>
      </c>
      <c r="AL44" s="410">
        <v>2.3</v>
      </c>
      <c r="AM44" s="37"/>
      <c r="AN44" s="50"/>
    </row>
    <row r="45" spans="1:40" ht="12.75">
      <c r="A45" s="69" t="s">
        <v>58</v>
      </c>
      <c r="B45" s="435">
        <f>VLOOKUP($D$10,$AF$6:$AL$406,ROWS(B$44:B45)+1,FALSE)</f>
        <v>18</v>
      </c>
      <c r="C45" s="58" t="s">
        <v>58</v>
      </c>
      <c r="D45" s="435">
        <f>VLOOKUP($D$11,$AF$6:$AL$336,ROWS(D$44:D45)+1,FALSE)</f>
        <v>14</v>
      </c>
      <c r="E45" s="113" t="s">
        <v>268</v>
      </c>
      <c r="F45" s="80">
        <f>IF(AND($D$31&gt;0,$D$31&gt;0.2*$B$45),"dc2 MUST BE &lt;= 0.2*d = "&amp;0.2*$B$45&amp;" in.!","")</f>
      </c>
      <c r="G45" s="10"/>
      <c r="H45" s="10"/>
      <c r="I45" s="54"/>
      <c r="J45" s="37"/>
      <c r="K45" s="84"/>
      <c r="L45" s="34"/>
      <c r="M45" s="467" t="s">
        <v>18</v>
      </c>
      <c r="N45" s="468">
        <v>0</v>
      </c>
      <c r="O45" s="140">
        <v>0.1</v>
      </c>
      <c r="P45" s="140">
        <v>0.2</v>
      </c>
      <c r="Q45" s="469">
        <v>0.3</v>
      </c>
      <c r="R45" s="140">
        <v>0.4</v>
      </c>
      <c r="S45" s="469">
        <v>0.5</v>
      </c>
      <c r="T45" s="140">
        <v>0.6</v>
      </c>
      <c r="U45" s="469">
        <v>0.7</v>
      </c>
      <c r="V45" s="140">
        <v>0.8</v>
      </c>
      <c r="W45" s="469">
        <v>0.9</v>
      </c>
      <c r="X45" s="140">
        <v>1</v>
      </c>
      <c r="Y45" s="469">
        <v>1.2</v>
      </c>
      <c r="Z45" s="140">
        <v>1.4</v>
      </c>
      <c r="AA45" s="140">
        <v>1.6</v>
      </c>
      <c r="AB45" s="469">
        <v>1.8</v>
      </c>
      <c r="AC45" s="140">
        <v>2</v>
      </c>
      <c r="AD45" s="470">
        <f>$N$24</f>
        <v>0.20833333333333334</v>
      </c>
      <c r="AF45" s="405" t="s">
        <v>735</v>
      </c>
      <c r="AG45" s="406">
        <v>68.1</v>
      </c>
      <c r="AH45" s="407">
        <v>36.5</v>
      </c>
      <c r="AI45" s="408">
        <v>0.76</v>
      </c>
      <c r="AJ45" s="407">
        <v>16.5</v>
      </c>
      <c r="AK45" s="409">
        <v>1.26</v>
      </c>
      <c r="AL45" s="410">
        <v>2.21</v>
      </c>
      <c r="AM45" s="37"/>
      <c r="AN45" s="50"/>
    </row>
    <row r="46" spans="1:40" ht="12.75">
      <c r="A46" s="69" t="s">
        <v>507</v>
      </c>
      <c r="B46" s="175">
        <f>VLOOKUP($D$10,$AF$6:$AL$406,ROWS(B$44:B46)+1,FALSE)</f>
        <v>0.355</v>
      </c>
      <c r="C46" s="58" t="s">
        <v>507</v>
      </c>
      <c r="D46" s="175">
        <f>VLOOKUP($D$11,$AF$6:$AL$336,ROWS(D$44:D46)+1,FALSE)</f>
        <v>0.44</v>
      </c>
      <c r="E46" s="113" t="s">
        <v>268</v>
      </c>
      <c r="F46" s="80">
        <f>IF(AND($D$30&gt;0,$D$30&lt;$B$49),"dc1 MUST BE &gt;= k = "&amp;$B$49&amp;" in.!","")</f>
      </c>
      <c r="G46" s="10"/>
      <c r="H46" s="10"/>
      <c r="I46" s="66"/>
      <c r="J46" s="37"/>
      <c r="K46" s="84"/>
      <c r="L46" s="34"/>
      <c r="M46" s="471">
        <v>0</v>
      </c>
      <c r="N46" s="515">
        <f aca="true" t="shared" si="0" ref="N46:AC46">IF($N$29=0,N77,IF($N$29=15,N105,IF($N$29=30,N133,IF($N$29=45,N161,IF($N$29=60,N189,IF($N$29=75,N217,"ERROR"))))))</f>
        <v>1.53</v>
      </c>
      <c r="O46" s="318">
        <f t="shared" si="0"/>
        <v>2.09</v>
      </c>
      <c r="P46" s="318">
        <f t="shared" si="0"/>
        <v>2.64</v>
      </c>
      <c r="Q46" s="318">
        <f t="shared" si="0"/>
        <v>3.2</v>
      </c>
      <c r="R46" s="318">
        <f t="shared" si="0"/>
        <v>3.76</v>
      </c>
      <c r="S46" s="318">
        <f t="shared" si="0"/>
        <v>4.32</v>
      </c>
      <c r="T46" s="318">
        <f t="shared" si="0"/>
        <v>4.87</v>
      </c>
      <c r="U46" s="318">
        <f t="shared" si="0"/>
        <v>5.43</v>
      </c>
      <c r="V46" s="318">
        <f t="shared" si="0"/>
        <v>5.99</v>
      </c>
      <c r="W46" s="318">
        <f t="shared" si="0"/>
        <v>6.54</v>
      </c>
      <c r="X46" s="318">
        <f t="shared" si="0"/>
        <v>7.1</v>
      </c>
      <c r="Y46" s="318">
        <f t="shared" si="0"/>
        <v>8.21</v>
      </c>
      <c r="Z46" s="318">
        <f t="shared" si="0"/>
        <v>9.33</v>
      </c>
      <c r="AA46" s="474">
        <f t="shared" si="0"/>
        <v>10.4</v>
      </c>
      <c r="AB46" s="474">
        <f t="shared" si="0"/>
        <v>11.6</v>
      </c>
      <c r="AC46" s="476">
        <f t="shared" si="0"/>
        <v>12.7</v>
      </c>
      <c r="AD46" s="512">
        <f ca="1">IF($AD$45=2,$AC46,IF($AD$45&gt;2,"ERROR",FORECAST($AD$45,OFFSET($M46,0,$AD$37):OFFSET($M46,0,$AD$37+1),OFFSET($M$45,0,$AD$37):OFFSET($M$45,0,$AD$37+1))))</f>
        <v>2.6866666666666665</v>
      </c>
      <c r="AF46" s="405" t="s">
        <v>736</v>
      </c>
      <c r="AG46" s="406">
        <v>75.4</v>
      </c>
      <c r="AH46" s="407">
        <v>37.4</v>
      </c>
      <c r="AI46" s="408">
        <v>0.96</v>
      </c>
      <c r="AJ46" s="407">
        <v>12.2</v>
      </c>
      <c r="AK46" s="409">
        <v>1.73</v>
      </c>
      <c r="AL46" s="410">
        <v>2.48</v>
      </c>
      <c r="AM46" s="37"/>
      <c r="AN46" s="50"/>
    </row>
    <row r="47" spans="1:40" ht="12.75">
      <c r="A47" s="69" t="s">
        <v>338</v>
      </c>
      <c r="B47" s="175">
        <f>VLOOKUP($D$10,$AF$6:$AL$406,ROWS(B$44:B47)+1,FALSE)</f>
        <v>7.5</v>
      </c>
      <c r="C47" s="58" t="s">
        <v>338</v>
      </c>
      <c r="D47" s="175">
        <f>VLOOKUP($D$11,$AF$6:$AL$336,ROWS(D$44:D47)+1,FALSE)</f>
        <v>14.5</v>
      </c>
      <c r="E47" s="113" t="s">
        <v>268</v>
      </c>
      <c r="F47" s="80">
        <f>IF(AND($D$31&gt;0,$D$31&lt;$B$49),"dc2 MUST BE &gt;= k = "&amp;$B$49&amp;" in.!","")</f>
      </c>
      <c r="G47" s="10"/>
      <c r="H47" s="10"/>
      <c r="I47" s="66"/>
      <c r="J47" s="37"/>
      <c r="L47" s="34"/>
      <c r="M47" s="477">
        <v>0.1</v>
      </c>
      <c r="N47" s="517">
        <f aca="true" t="shared" si="1" ref="N47:AC47">IF($N$29=0,N78,IF($N$29=15,N106,IF($N$29=30,N134,IF($N$29=45,N162,IF($N$29=60,N190,IF($N$29=75,N218,"ERROR"))))))</f>
        <v>1.86</v>
      </c>
      <c r="O47" s="495">
        <f t="shared" si="1"/>
        <v>2.28</v>
      </c>
      <c r="P47" s="495">
        <f t="shared" si="1"/>
        <v>2.78</v>
      </c>
      <c r="Q47" s="495">
        <f t="shared" si="1"/>
        <v>3.3</v>
      </c>
      <c r="R47" s="495">
        <f t="shared" si="1"/>
        <v>3.84</v>
      </c>
      <c r="S47" s="495">
        <f t="shared" si="1"/>
        <v>4.37</v>
      </c>
      <c r="T47" s="495">
        <f t="shared" si="1"/>
        <v>4.92</v>
      </c>
      <c r="U47" s="495">
        <f t="shared" si="1"/>
        <v>5.46</v>
      </c>
      <c r="V47" s="495">
        <f t="shared" si="1"/>
        <v>6.01</v>
      </c>
      <c r="W47" s="495">
        <f t="shared" si="1"/>
        <v>6.56</v>
      </c>
      <c r="X47" s="495">
        <f t="shared" si="1"/>
        <v>7.11</v>
      </c>
      <c r="Y47" s="495">
        <f t="shared" si="1"/>
        <v>8.21</v>
      </c>
      <c r="Z47" s="495">
        <f t="shared" si="1"/>
        <v>9.32</v>
      </c>
      <c r="AA47" s="480">
        <f t="shared" si="1"/>
        <v>10.4</v>
      </c>
      <c r="AB47" s="480">
        <f t="shared" si="1"/>
        <v>11.5</v>
      </c>
      <c r="AC47" s="482">
        <f t="shared" si="1"/>
        <v>12.6</v>
      </c>
      <c r="AD47" s="513">
        <f ca="1">IF($AD$45=2,$AC47,IF($AD$45&gt;2,"ERROR",FORECAST($AD$45,OFFSET($M47,0,$AD$37):OFFSET($M47,0,$AD$37+1),OFFSET($M$45,0,$AD$37):OFFSET($M$45,0,$AD$37+1))))</f>
        <v>2.8233333333333333</v>
      </c>
      <c r="AF47" s="405" t="s">
        <v>737</v>
      </c>
      <c r="AG47" s="406">
        <v>68.1</v>
      </c>
      <c r="AH47" s="407">
        <v>37.1</v>
      </c>
      <c r="AI47" s="408">
        <v>0.87</v>
      </c>
      <c r="AJ47" s="407">
        <v>12.1</v>
      </c>
      <c r="AK47" s="409">
        <v>1.57</v>
      </c>
      <c r="AL47" s="410">
        <v>2.32</v>
      </c>
      <c r="AM47" s="37"/>
      <c r="AN47" s="50"/>
    </row>
    <row r="48" spans="1:40" ht="12.75">
      <c r="A48" s="69" t="s">
        <v>177</v>
      </c>
      <c r="B48" s="175">
        <f>VLOOKUP($D$10,$AF$6:$AL$406,ROWS(B$44:B48)+1,FALSE)</f>
        <v>0.57</v>
      </c>
      <c r="C48" s="58" t="s">
        <v>177</v>
      </c>
      <c r="D48" s="175">
        <f>VLOOKUP($D$11,$AF$6:$AL$336,ROWS(D$44:D48)+1,FALSE)</f>
        <v>0.71</v>
      </c>
      <c r="E48" s="113" t="s">
        <v>268</v>
      </c>
      <c r="F48" s="80">
        <f>IF($D$24&lt;$N$31,"Fillet weld size &lt; "&amp;$N$31&amp;" in. (min.)!","")</f>
      </c>
      <c r="G48" s="10"/>
      <c r="H48" s="10"/>
      <c r="I48" s="14"/>
      <c r="J48" s="37"/>
      <c r="L48" s="34"/>
      <c r="M48" s="483">
        <v>0.15</v>
      </c>
      <c r="N48" s="516">
        <f aca="true" t="shared" si="2" ref="N48:AC48">IF($N$29=0,N79,IF($N$29=15,N107,IF($N$29=30,N135,IF($N$29=45,N163,IF($N$29=60,N191,IF($N$29=75,N219,"ERROR"))))))</f>
        <v>1.83</v>
      </c>
      <c r="O48" s="495">
        <f t="shared" si="2"/>
        <v>2.25</v>
      </c>
      <c r="P48" s="495">
        <f t="shared" si="2"/>
        <v>2.73</v>
      </c>
      <c r="Q48" s="495">
        <f t="shared" si="2"/>
        <v>3.23</v>
      </c>
      <c r="R48" s="495">
        <f t="shared" si="2"/>
        <v>3.75</v>
      </c>
      <c r="S48" s="495">
        <f t="shared" si="2"/>
        <v>4.27</v>
      </c>
      <c r="T48" s="495">
        <f t="shared" si="2"/>
        <v>4.8</v>
      </c>
      <c r="U48" s="495">
        <f t="shared" si="2"/>
        <v>5.33</v>
      </c>
      <c r="V48" s="495">
        <f t="shared" si="2"/>
        <v>5.87</v>
      </c>
      <c r="W48" s="495">
        <f t="shared" si="2"/>
        <v>6.4</v>
      </c>
      <c r="X48" s="495">
        <f t="shared" si="2"/>
        <v>6.94</v>
      </c>
      <c r="Y48" s="495">
        <f t="shared" si="2"/>
        <v>8.02</v>
      </c>
      <c r="Z48" s="495">
        <f t="shared" si="2"/>
        <v>9.12</v>
      </c>
      <c r="AA48" s="480">
        <f t="shared" si="2"/>
        <v>10.2</v>
      </c>
      <c r="AB48" s="480">
        <f t="shared" si="2"/>
        <v>11.3</v>
      </c>
      <c r="AC48" s="482">
        <f t="shared" si="2"/>
        <v>12.4</v>
      </c>
      <c r="AD48" s="513">
        <f ca="1">IF($AD$45=2,$AC48,IF($AD$45&gt;2,"ERROR",FORECAST($AD$45,OFFSET($M48,0,$AD$37):OFFSET($M48,0,$AD$37+1),OFFSET($M$45,0,$AD$37):OFFSET($M$45,0,$AD$37+1))))</f>
        <v>2.7716666666666665</v>
      </c>
      <c r="AF48" s="405" t="s">
        <v>738</v>
      </c>
      <c r="AG48" s="406">
        <v>61.8</v>
      </c>
      <c r="AH48" s="407">
        <v>36.7</v>
      </c>
      <c r="AI48" s="408">
        <v>0.83</v>
      </c>
      <c r="AJ48" s="407">
        <v>12.2</v>
      </c>
      <c r="AK48" s="409">
        <v>1.36</v>
      </c>
      <c r="AL48" s="410">
        <v>2.11</v>
      </c>
      <c r="AM48" s="37"/>
      <c r="AN48" s="50"/>
    </row>
    <row r="49" spans="1:40" ht="12.75">
      <c r="A49" s="88" t="s">
        <v>460</v>
      </c>
      <c r="B49" s="436">
        <f>VLOOKUP($D$10,$AF$6:$AL$406,ROWS(B$44:B49)+1,FALSE)</f>
        <v>0.972</v>
      </c>
      <c r="C49" s="58" t="s">
        <v>460</v>
      </c>
      <c r="D49" s="436">
        <f>VLOOKUP($D$11,$AF$6:$AL$336,ROWS(D$44:D49)+1,FALSE)</f>
        <v>1.31</v>
      </c>
      <c r="E49" s="113" t="s">
        <v>268</v>
      </c>
      <c r="F49" s="10"/>
      <c r="G49" s="10"/>
      <c r="H49" s="10"/>
      <c r="I49" s="14"/>
      <c r="L49" s="34"/>
      <c r="M49" s="483">
        <v>0.2</v>
      </c>
      <c r="N49" s="516">
        <f aca="true" t="shared" si="3" ref="N49:AC49">IF($N$29=0,N80,IF($N$29=15,N108,IF($N$29=30,N136,IF($N$29=45,N164,IF($N$29=60,N192,IF($N$29=75,N220,"ERROR"))))))</f>
        <v>1.76</v>
      </c>
      <c r="O49" s="495">
        <f t="shared" si="3"/>
        <v>2.18</v>
      </c>
      <c r="P49" s="495">
        <f t="shared" si="3"/>
        <v>2.63</v>
      </c>
      <c r="Q49" s="495">
        <f t="shared" si="3"/>
        <v>3.11</v>
      </c>
      <c r="R49" s="495">
        <f t="shared" si="3"/>
        <v>3.6</v>
      </c>
      <c r="S49" s="495">
        <f t="shared" si="3"/>
        <v>4.1</v>
      </c>
      <c r="T49" s="495">
        <f t="shared" si="3"/>
        <v>4.61</v>
      </c>
      <c r="U49" s="495">
        <f t="shared" si="3"/>
        <v>5.13</v>
      </c>
      <c r="V49" s="495">
        <f t="shared" si="3"/>
        <v>5.64</v>
      </c>
      <c r="W49" s="495">
        <f t="shared" si="3"/>
        <v>6.16</v>
      </c>
      <c r="X49" s="495">
        <f t="shared" si="3"/>
        <v>6.65</v>
      </c>
      <c r="Y49" s="495">
        <f t="shared" si="3"/>
        <v>7.73</v>
      </c>
      <c r="Z49" s="495">
        <f t="shared" si="3"/>
        <v>8.78</v>
      </c>
      <c r="AA49" s="495">
        <f t="shared" si="3"/>
        <v>9.83</v>
      </c>
      <c r="AB49" s="480">
        <f t="shared" si="3"/>
        <v>10.9</v>
      </c>
      <c r="AC49" s="484">
        <f t="shared" si="3"/>
        <v>12</v>
      </c>
      <c r="AD49" s="513">
        <f ca="1">IF($AD$45=2,$AC49,IF($AD$45&gt;2,"ERROR",FORECAST($AD$45,OFFSET($M49,0,$AD$37):OFFSET($M49,0,$AD$37+1),OFFSET($M$45,0,$AD$37):OFFSET($M$45,0,$AD$37+1))))</f>
        <v>2.67</v>
      </c>
      <c r="AF49" s="405" t="s">
        <v>739</v>
      </c>
      <c r="AG49" s="406">
        <v>57</v>
      </c>
      <c r="AH49" s="407">
        <v>36.5</v>
      </c>
      <c r="AI49" s="408">
        <v>0.765</v>
      </c>
      <c r="AJ49" s="407">
        <v>12.1</v>
      </c>
      <c r="AK49" s="409">
        <v>1.26</v>
      </c>
      <c r="AL49" s="410">
        <v>2.01</v>
      </c>
      <c r="AN49" s="50"/>
    </row>
    <row r="50" spans="1:40" ht="12.75">
      <c r="A50" s="20"/>
      <c r="B50" s="21"/>
      <c r="C50" s="21"/>
      <c r="D50" s="21"/>
      <c r="E50" s="21"/>
      <c r="F50" s="21"/>
      <c r="G50" s="21"/>
      <c r="H50" s="21"/>
      <c r="I50" s="128" t="s">
        <v>105</v>
      </c>
      <c r="L50" s="34"/>
      <c r="M50" s="483">
        <v>0.25</v>
      </c>
      <c r="N50" s="516">
        <f aca="true" t="shared" si="4" ref="N50:AC50">IF($N$29=0,N81,IF($N$29=15,N109,IF($N$29=30,N137,IF($N$29=45,N165,IF($N$29=60,N193,IF($N$29=75,N221,"ERROR"))))))</f>
        <v>1.66</v>
      </c>
      <c r="O50" s="495">
        <f t="shared" si="4"/>
        <v>2.07</v>
      </c>
      <c r="P50" s="495">
        <f t="shared" si="4"/>
        <v>2.51</v>
      </c>
      <c r="Q50" s="495">
        <f t="shared" si="4"/>
        <v>2.96</v>
      </c>
      <c r="R50" s="495">
        <f t="shared" si="4"/>
        <v>3.42</v>
      </c>
      <c r="S50" s="495">
        <f t="shared" si="4"/>
        <v>3.9</v>
      </c>
      <c r="T50" s="495">
        <f t="shared" si="4"/>
        <v>4.38</v>
      </c>
      <c r="U50" s="495">
        <f t="shared" si="4"/>
        <v>4.87</v>
      </c>
      <c r="V50" s="495">
        <f t="shared" si="4"/>
        <v>5.37</v>
      </c>
      <c r="W50" s="495">
        <f t="shared" si="4"/>
        <v>5.86</v>
      </c>
      <c r="X50" s="495">
        <f t="shared" si="4"/>
        <v>6.36</v>
      </c>
      <c r="Y50" s="495">
        <f t="shared" si="4"/>
        <v>7.37</v>
      </c>
      <c r="Z50" s="495">
        <f t="shared" si="4"/>
        <v>8.39</v>
      </c>
      <c r="AA50" s="495">
        <f t="shared" si="4"/>
        <v>9.42</v>
      </c>
      <c r="AB50" s="480">
        <f t="shared" si="4"/>
        <v>10.5</v>
      </c>
      <c r="AC50" s="482">
        <f t="shared" si="4"/>
        <v>11.5</v>
      </c>
      <c r="AD50" s="513">
        <f ca="1">IF($AD$45=2,$AC50,IF($AD$45&gt;2,"ERROR",FORECAST($AD$45,OFFSET($M50,0,$AD$37):OFFSET($M50,0,$AD$37+1),OFFSET($M$45,0,$AD$37):OFFSET($M$45,0,$AD$37+1))))</f>
        <v>2.5475</v>
      </c>
      <c r="AF50" s="405" t="s">
        <v>740</v>
      </c>
      <c r="AG50" s="406">
        <v>53.6</v>
      </c>
      <c r="AH50" s="407">
        <v>36.3</v>
      </c>
      <c r="AI50" s="408">
        <v>0.725</v>
      </c>
      <c r="AJ50" s="407">
        <v>12.1</v>
      </c>
      <c r="AK50" s="409">
        <v>1.18</v>
      </c>
      <c r="AL50" s="410">
        <v>1.93</v>
      </c>
      <c r="AN50" s="50"/>
    </row>
    <row r="51" spans="1:40" ht="12.75">
      <c r="A51" s="17"/>
      <c r="B51" s="18"/>
      <c r="C51" s="18"/>
      <c r="D51" s="18"/>
      <c r="E51" s="18"/>
      <c r="F51" s="18"/>
      <c r="G51" s="18"/>
      <c r="H51" s="195"/>
      <c r="I51" s="189"/>
      <c r="L51" s="34"/>
      <c r="M51" s="483">
        <v>0.3</v>
      </c>
      <c r="N51" s="516">
        <f aca="true" t="shared" si="5" ref="N51:AC51">IF($N$29=0,N82,IF($N$29=15,N110,IF($N$29=30,N138,IF($N$29=45,N166,IF($N$29=60,N194,IF($N$29=75,N222,"ERROR"))))))</f>
        <v>1.55</v>
      </c>
      <c r="O51" s="495">
        <f t="shared" si="5"/>
        <v>1.95</v>
      </c>
      <c r="P51" s="495">
        <f t="shared" si="5"/>
        <v>2.36</v>
      </c>
      <c r="Q51" s="495">
        <f t="shared" si="5"/>
        <v>2.79</v>
      </c>
      <c r="R51" s="495">
        <f t="shared" si="5"/>
        <v>3.23</v>
      </c>
      <c r="S51" s="495">
        <f t="shared" si="5"/>
        <v>3.68</v>
      </c>
      <c r="T51" s="495">
        <f t="shared" si="5"/>
        <v>4.14</v>
      </c>
      <c r="U51" s="495">
        <f t="shared" si="5"/>
        <v>4.6</v>
      </c>
      <c r="V51" s="495">
        <f t="shared" si="5"/>
        <v>5.07</v>
      </c>
      <c r="W51" s="495">
        <f t="shared" si="5"/>
        <v>5.55</v>
      </c>
      <c r="X51" s="495">
        <f t="shared" si="5"/>
        <v>6.03</v>
      </c>
      <c r="Y51" s="495">
        <f t="shared" si="5"/>
        <v>7.01</v>
      </c>
      <c r="Z51" s="495">
        <f t="shared" si="5"/>
        <v>8</v>
      </c>
      <c r="AA51" s="495">
        <f t="shared" si="5"/>
        <v>9</v>
      </c>
      <c r="AB51" s="486">
        <f t="shared" si="5"/>
        <v>10</v>
      </c>
      <c r="AC51" s="484">
        <f t="shared" si="5"/>
        <v>11</v>
      </c>
      <c r="AD51" s="513">
        <f ca="1">IF($AD$45=2,$AC51,IF($AD$45&gt;2,"ERROR",FORECAST($AD$45,OFFSET($M51,0,$AD$37):OFFSET($M51,0,$AD$37+1),OFFSET($M$45,0,$AD$37):OFFSET($M$45,0,$AD$37+1))))</f>
        <v>2.3958333333333335</v>
      </c>
      <c r="AF51" s="405" t="s">
        <v>741</v>
      </c>
      <c r="AG51" s="406">
        <v>50.1</v>
      </c>
      <c r="AH51" s="407">
        <v>36.2</v>
      </c>
      <c r="AI51" s="408">
        <v>0.68</v>
      </c>
      <c r="AJ51" s="407">
        <v>12</v>
      </c>
      <c r="AK51" s="409">
        <v>1.1</v>
      </c>
      <c r="AL51" s="410">
        <v>1.85</v>
      </c>
      <c r="AN51" s="50"/>
    </row>
    <row r="52" spans="1:40" ht="12.75">
      <c r="A52" s="11" t="s">
        <v>236</v>
      </c>
      <c r="B52" s="10"/>
      <c r="C52" s="112"/>
      <c r="D52" s="10"/>
      <c r="E52" s="10"/>
      <c r="F52" s="10"/>
      <c r="G52" s="10"/>
      <c r="H52" s="89"/>
      <c r="I52" s="190"/>
      <c r="L52" s="116"/>
      <c r="M52" s="483">
        <v>0.4</v>
      </c>
      <c r="N52" s="516">
        <f aca="true" t="shared" si="6" ref="N52:AC52">IF($N$29=0,N83,IF($N$29=15,N111,IF($N$29=30,N139,IF($N$29=45,N167,IF($N$29=60,N195,IF($N$29=75,N223,"ERROR"))))))</f>
        <v>1.33</v>
      </c>
      <c r="O52" s="495">
        <f t="shared" si="6"/>
        <v>1.69</v>
      </c>
      <c r="P52" s="495">
        <f t="shared" si="6"/>
        <v>2.07</v>
      </c>
      <c r="Q52" s="495">
        <f t="shared" si="6"/>
        <v>2.45</v>
      </c>
      <c r="R52" s="495">
        <f t="shared" si="6"/>
        <v>2.84</v>
      </c>
      <c r="S52" s="495">
        <f t="shared" si="6"/>
        <v>3.24</v>
      </c>
      <c r="T52" s="495">
        <f t="shared" si="6"/>
        <v>3.65</v>
      </c>
      <c r="U52" s="495">
        <f t="shared" si="6"/>
        <v>4.07</v>
      </c>
      <c r="V52" s="495">
        <f t="shared" si="6"/>
        <v>4.5</v>
      </c>
      <c r="W52" s="495">
        <f t="shared" si="6"/>
        <v>4.94</v>
      </c>
      <c r="X52" s="495">
        <f t="shared" si="6"/>
        <v>5.39</v>
      </c>
      <c r="Y52" s="495">
        <f t="shared" si="6"/>
        <v>6.3</v>
      </c>
      <c r="Z52" s="495">
        <f t="shared" si="6"/>
        <v>7.24</v>
      </c>
      <c r="AA52" s="495">
        <f t="shared" si="6"/>
        <v>8.19</v>
      </c>
      <c r="AB52" s="495">
        <f t="shared" si="6"/>
        <v>9.16</v>
      </c>
      <c r="AC52" s="484">
        <f t="shared" si="6"/>
        <v>10.1</v>
      </c>
      <c r="AD52" s="513">
        <f ca="1">IF($AD$45=2,$AC52,IF($AD$45&gt;2,"ERROR",FORECAST($AD$45,OFFSET($M52,0,$AD$37):OFFSET($M52,0,$AD$37+1),OFFSET($M$45,0,$AD$37):OFFSET($M$45,0,$AD$37+1))))</f>
        <v>2.101666666666666</v>
      </c>
      <c r="AF52" s="405" t="s">
        <v>742</v>
      </c>
      <c r="AG52" s="406">
        <v>47</v>
      </c>
      <c r="AH52" s="407">
        <v>36</v>
      </c>
      <c r="AI52" s="408">
        <v>0.65</v>
      </c>
      <c r="AJ52" s="407">
        <v>12</v>
      </c>
      <c r="AK52" s="409">
        <v>1.02</v>
      </c>
      <c r="AL52" s="410">
        <v>1.77</v>
      </c>
      <c r="AN52" s="50"/>
    </row>
    <row r="53" spans="1:40" ht="12.75">
      <c r="A53" s="11" t="s">
        <v>219</v>
      </c>
      <c r="B53" s="10"/>
      <c r="C53" s="10"/>
      <c r="D53" s="10"/>
      <c r="E53" s="37"/>
      <c r="F53" s="37"/>
      <c r="G53" s="45"/>
      <c r="H53" s="89"/>
      <c r="I53" s="194"/>
      <c r="L53" s="116"/>
      <c r="M53" s="483">
        <v>0.5</v>
      </c>
      <c r="N53" s="516">
        <f aca="true" t="shared" si="7" ref="N53:AC53">IF($N$29=0,N84,IF($N$29=15,N112,IF($N$29=30,N140,IF($N$29=45,N168,IF($N$29=60,N196,IF($N$29=75,N224,"ERROR"))))))</f>
        <v>1.15</v>
      </c>
      <c r="O53" s="495">
        <f t="shared" si="7"/>
        <v>1.46</v>
      </c>
      <c r="P53" s="495">
        <f t="shared" si="7"/>
        <v>1.79</v>
      </c>
      <c r="Q53" s="495">
        <f t="shared" si="7"/>
        <v>2.14</v>
      </c>
      <c r="R53" s="495">
        <f t="shared" si="7"/>
        <v>2.49</v>
      </c>
      <c r="S53" s="495">
        <f t="shared" si="7"/>
        <v>2.85</v>
      </c>
      <c r="T53" s="495">
        <f t="shared" si="7"/>
        <v>3.22</v>
      </c>
      <c r="U53" s="495">
        <f t="shared" si="7"/>
        <v>3.6</v>
      </c>
      <c r="V53" s="495">
        <f t="shared" si="7"/>
        <v>4</v>
      </c>
      <c r="W53" s="495">
        <f t="shared" si="7"/>
        <v>4.4</v>
      </c>
      <c r="X53" s="495">
        <f t="shared" si="7"/>
        <v>4.81</v>
      </c>
      <c r="Y53" s="495">
        <f t="shared" si="7"/>
        <v>5.67</v>
      </c>
      <c r="Z53" s="495">
        <f t="shared" si="7"/>
        <v>6.56</v>
      </c>
      <c r="AA53" s="495">
        <f t="shared" si="7"/>
        <v>7.47</v>
      </c>
      <c r="AB53" s="495">
        <f t="shared" si="7"/>
        <v>8.4</v>
      </c>
      <c r="AC53" s="495">
        <f t="shared" si="7"/>
        <v>9.35</v>
      </c>
      <c r="AD53" s="513">
        <f ca="1">IF($AD$45=2,$AC53,IF($AD$45&gt;2,"ERROR",FORECAST($AD$45,OFFSET($M53,0,$AD$37):OFFSET($M53,0,$AD$37+1),OFFSET($M$45,0,$AD$37):OFFSET($M$45,0,$AD$37+1))))</f>
        <v>1.8191666666666666</v>
      </c>
      <c r="AF53" s="405" t="s">
        <v>743</v>
      </c>
      <c r="AG53" s="406">
        <v>44.2</v>
      </c>
      <c r="AH53" s="407">
        <v>35.9</v>
      </c>
      <c r="AI53" s="408">
        <v>0.625</v>
      </c>
      <c r="AJ53" s="407">
        <v>12</v>
      </c>
      <c r="AK53" s="408">
        <v>0.94</v>
      </c>
      <c r="AL53" s="410">
        <v>1.69</v>
      </c>
      <c r="AN53" s="50"/>
    </row>
    <row r="54" spans="1:40" ht="12.75">
      <c r="A54" s="73" t="s">
        <v>490</v>
      </c>
      <c r="B54" s="10"/>
      <c r="C54" s="10"/>
      <c r="D54" s="10"/>
      <c r="E54" s="10"/>
      <c r="F54" s="10"/>
      <c r="G54" s="37"/>
      <c r="H54" s="10"/>
      <c r="I54" s="14"/>
      <c r="L54" s="116"/>
      <c r="M54" s="483">
        <v>0.6</v>
      </c>
      <c r="N54" s="518">
        <f aca="true" t="shared" si="8" ref="N54:AC54">IF($N$29=0,N85,IF($N$29=15,N113,IF($N$29=30,N141,IF($N$29=45,N169,IF($N$29=60,N197,IF($N$29=75,N225,"ERROR"))))))</f>
        <v>0.997</v>
      </c>
      <c r="O54" s="495">
        <f t="shared" si="8"/>
        <v>1.27</v>
      </c>
      <c r="P54" s="495">
        <f t="shared" si="8"/>
        <v>1.57</v>
      </c>
      <c r="Q54" s="495">
        <f t="shared" si="8"/>
        <v>1.88</v>
      </c>
      <c r="R54" s="495">
        <f t="shared" si="8"/>
        <v>2.19</v>
      </c>
      <c r="S54" s="495">
        <f t="shared" si="8"/>
        <v>2.52</v>
      </c>
      <c r="T54" s="495">
        <f t="shared" si="8"/>
        <v>2.85</v>
      </c>
      <c r="U54" s="495">
        <f t="shared" si="8"/>
        <v>3.2</v>
      </c>
      <c r="V54" s="495">
        <f t="shared" si="8"/>
        <v>3.56</v>
      </c>
      <c r="W54" s="495">
        <f t="shared" si="8"/>
        <v>3.94</v>
      </c>
      <c r="X54" s="495">
        <f t="shared" si="8"/>
        <v>4.32</v>
      </c>
      <c r="Y54" s="495">
        <f t="shared" si="8"/>
        <v>5.13</v>
      </c>
      <c r="Z54" s="495">
        <f t="shared" si="8"/>
        <v>5.97</v>
      </c>
      <c r="AA54" s="495">
        <f t="shared" si="8"/>
        <v>6.84</v>
      </c>
      <c r="AB54" s="495">
        <f t="shared" si="8"/>
        <v>7.73</v>
      </c>
      <c r="AC54" s="495">
        <f t="shared" si="8"/>
        <v>8.65</v>
      </c>
      <c r="AD54" s="513">
        <f ca="1">IF($AD$45=2,$AC54,IF($AD$45&gt;2,"ERROR",FORECAST($AD$45,OFFSET($M54,0,$AD$37):OFFSET($M54,0,$AD$37+1),OFFSET($M$45,0,$AD$37):OFFSET($M$45,0,$AD$37+1))))</f>
        <v>1.5958333333333334</v>
      </c>
      <c r="AF54" s="405" t="s">
        <v>744</v>
      </c>
      <c r="AG54" s="406">
        <v>39.7</v>
      </c>
      <c r="AH54" s="407">
        <v>35.6</v>
      </c>
      <c r="AI54" s="408">
        <v>0.6</v>
      </c>
      <c r="AJ54" s="407">
        <v>12</v>
      </c>
      <c r="AK54" s="408">
        <v>0.79</v>
      </c>
      <c r="AL54" s="410">
        <v>1.54</v>
      </c>
      <c r="AN54" s="50"/>
    </row>
    <row r="55" spans="1:40" ht="12.75">
      <c r="A55" s="69" t="s">
        <v>335</v>
      </c>
      <c r="B55" s="581">
        <f>$N$5</f>
        <v>58</v>
      </c>
      <c r="C55" s="113" t="s">
        <v>245</v>
      </c>
      <c r="D55" s="52" t="str">
        <f>$P$5</f>
        <v>Fua = 58 for Fya = 36 (for angles)</v>
      </c>
      <c r="E55" s="10"/>
      <c r="F55" s="10"/>
      <c r="G55" s="10"/>
      <c r="H55" s="10"/>
      <c r="I55" s="14"/>
      <c r="K55" s="34"/>
      <c r="L55" s="116"/>
      <c r="M55" s="483">
        <v>0.7</v>
      </c>
      <c r="N55" s="518">
        <f aca="true" t="shared" si="9" ref="N55:AC55">IF($N$29=0,N86,IF($N$29=15,N114,IF($N$29=30,N142,IF($N$29=45,N170,IF($N$29=60,N198,IF($N$29=75,N226,"ERROR"))))))</f>
        <v>0.879</v>
      </c>
      <c r="O55" s="495">
        <f t="shared" si="9"/>
        <v>1.12</v>
      </c>
      <c r="P55" s="495">
        <f t="shared" si="9"/>
        <v>1.38</v>
      </c>
      <c r="Q55" s="495">
        <f t="shared" si="9"/>
        <v>1.66</v>
      </c>
      <c r="R55" s="495">
        <f t="shared" si="9"/>
        <v>1.95</v>
      </c>
      <c r="S55" s="495">
        <f t="shared" si="9"/>
        <v>2.24</v>
      </c>
      <c r="T55" s="495">
        <f t="shared" si="9"/>
        <v>2.55</v>
      </c>
      <c r="U55" s="495">
        <f t="shared" si="9"/>
        <v>2.87</v>
      </c>
      <c r="V55" s="495">
        <f t="shared" si="9"/>
        <v>3.2</v>
      </c>
      <c r="W55" s="495">
        <f t="shared" si="9"/>
        <v>3.55</v>
      </c>
      <c r="X55" s="495">
        <f t="shared" si="9"/>
        <v>3.91</v>
      </c>
      <c r="Y55" s="495">
        <f t="shared" si="9"/>
        <v>4.66</v>
      </c>
      <c r="Z55" s="495">
        <f t="shared" si="9"/>
        <v>5.46</v>
      </c>
      <c r="AA55" s="495">
        <f t="shared" si="9"/>
        <v>6.29</v>
      </c>
      <c r="AB55" s="495">
        <f t="shared" si="9"/>
        <v>7.15</v>
      </c>
      <c r="AC55" s="495">
        <f t="shared" si="9"/>
        <v>8.04</v>
      </c>
      <c r="AD55" s="513">
        <f ca="1">IF($AD$45=2,$AC55,IF($AD$45&gt;2,"ERROR",FORECAST($AD$45,OFFSET($M55,0,$AD$37):OFFSET($M55,0,$AD$37+1),OFFSET($M$45,0,$AD$37):OFFSET($M$45,0,$AD$37+1))))</f>
        <v>1.4033333333333333</v>
      </c>
      <c r="AF55" s="405" t="s">
        <v>745</v>
      </c>
      <c r="AG55" s="411">
        <v>114</v>
      </c>
      <c r="AH55" s="407">
        <v>36</v>
      </c>
      <c r="AI55" s="409">
        <v>1.26</v>
      </c>
      <c r="AJ55" s="407">
        <v>16.2</v>
      </c>
      <c r="AK55" s="409">
        <v>2.28</v>
      </c>
      <c r="AL55" s="410">
        <v>3.07</v>
      </c>
      <c r="AN55" s="50"/>
    </row>
    <row r="56" spans="1:40" ht="12.75">
      <c r="A56" s="69" t="s">
        <v>192</v>
      </c>
      <c r="B56" s="177">
        <f>$N$6</f>
        <v>65</v>
      </c>
      <c r="C56" s="113" t="s">
        <v>245</v>
      </c>
      <c r="D56" s="52" t="str">
        <f>$P$6</f>
        <v>Fub = 65 for Fyb = 50 (for beam)</v>
      </c>
      <c r="E56" s="10"/>
      <c r="F56" s="10"/>
      <c r="G56" s="10"/>
      <c r="H56" s="10"/>
      <c r="I56" s="14"/>
      <c r="K56" s="34"/>
      <c r="L56" s="116"/>
      <c r="M56" s="483">
        <v>0.8</v>
      </c>
      <c r="N56" s="483">
        <f aca="true" t="shared" si="10" ref="N56:AC56">IF($N$29=0,N87,IF($N$29=15,N115,IF($N$29=30,N143,IF($N$29=45,N171,IF($N$29=60,N199,IF($N$29=75,N227,"ERROR"))))))</f>
        <v>0.781</v>
      </c>
      <c r="O56" s="319">
        <f t="shared" si="10"/>
        <v>0.995</v>
      </c>
      <c r="P56" s="495">
        <f t="shared" si="10"/>
        <v>1.23</v>
      </c>
      <c r="Q56" s="495">
        <f t="shared" si="10"/>
        <v>1.48</v>
      </c>
      <c r="R56" s="495">
        <f t="shared" si="10"/>
        <v>1.75</v>
      </c>
      <c r="S56" s="495">
        <f t="shared" si="10"/>
        <v>2.02</v>
      </c>
      <c r="T56" s="495">
        <f t="shared" si="10"/>
        <v>2.3</v>
      </c>
      <c r="U56" s="495">
        <f t="shared" si="10"/>
        <v>2.59</v>
      </c>
      <c r="V56" s="495">
        <f t="shared" si="10"/>
        <v>2.9</v>
      </c>
      <c r="W56" s="495">
        <f t="shared" si="10"/>
        <v>3.22</v>
      </c>
      <c r="X56" s="495">
        <f t="shared" si="10"/>
        <v>3.56</v>
      </c>
      <c r="Y56" s="495">
        <f t="shared" si="10"/>
        <v>4.27</v>
      </c>
      <c r="Z56" s="495">
        <f t="shared" si="10"/>
        <v>5.02</v>
      </c>
      <c r="AA56" s="495">
        <f t="shared" si="10"/>
        <v>5.81</v>
      </c>
      <c r="AB56" s="495">
        <f t="shared" si="10"/>
        <v>6.64</v>
      </c>
      <c r="AC56" s="495">
        <f t="shared" si="10"/>
        <v>7.5</v>
      </c>
      <c r="AD56" s="513">
        <f ca="1">IF($AD$45=2,$AC56,IF($AD$45&gt;2,"ERROR",FORECAST($AD$45,OFFSET($M56,0,$AD$37):OFFSET($M56,0,$AD$37+1),OFFSET($M$45,0,$AD$37):OFFSET($M$45,0,$AD$37+1))))</f>
        <v>1.2508333333333335</v>
      </c>
      <c r="AF56" s="405" t="s">
        <v>746</v>
      </c>
      <c r="AG56" s="411">
        <v>104</v>
      </c>
      <c r="AH56" s="407">
        <v>35.6</v>
      </c>
      <c r="AI56" s="409">
        <v>1.16</v>
      </c>
      <c r="AJ56" s="407">
        <v>16.1</v>
      </c>
      <c r="AK56" s="409">
        <v>2.09</v>
      </c>
      <c r="AL56" s="410">
        <v>2.88</v>
      </c>
      <c r="AN56" s="50"/>
    </row>
    <row r="57" spans="1:40" ht="12.75">
      <c r="A57" s="62" t="s">
        <v>3</v>
      </c>
      <c r="B57" s="178">
        <f>$N$7</f>
        <v>65</v>
      </c>
      <c r="C57" s="113" t="s">
        <v>245</v>
      </c>
      <c r="D57" s="52" t="str">
        <f>$P$7</f>
        <v>Fuc = 65 for Fyc = 50 (for column)</v>
      </c>
      <c r="E57" s="10"/>
      <c r="F57" s="10"/>
      <c r="G57" s="10"/>
      <c r="H57" s="10"/>
      <c r="I57" s="14"/>
      <c r="L57" s="116"/>
      <c r="M57" s="483">
        <v>0.9</v>
      </c>
      <c r="N57" s="483">
        <f aca="true" t="shared" si="11" ref="N57:AC57">IF($N$29=0,N88,IF($N$29=15,N116,IF($N$29=30,N144,IF($N$29=45,N172,IF($N$29=60,N200,IF($N$29=75,N228,"ERROR"))))))</f>
        <v>0.709</v>
      </c>
      <c r="O57" s="319">
        <f t="shared" si="11"/>
        <v>0.895</v>
      </c>
      <c r="P57" s="495">
        <f t="shared" si="11"/>
        <v>1.11</v>
      </c>
      <c r="Q57" s="495">
        <f t="shared" si="11"/>
        <v>1.33</v>
      </c>
      <c r="R57" s="495">
        <f t="shared" si="11"/>
        <v>1.58</v>
      </c>
      <c r="S57" s="495">
        <f t="shared" si="11"/>
        <v>1.83</v>
      </c>
      <c r="T57" s="495">
        <f t="shared" si="11"/>
        <v>2.09</v>
      </c>
      <c r="U57" s="495">
        <f t="shared" si="11"/>
        <v>2.36</v>
      </c>
      <c r="V57" s="495">
        <f t="shared" si="11"/>
        <v>2.64</v>
      </c>
      <c r="W57" s="495">
        <f t="shared" si="11"/>
        <v>2.94</v>
      </c>
      <c r="X57" s="495">
        <f t="shared" si="11"/>
        <v>3.26</v>
      </c>
      <c r="Y57" s="495">
        <f t="shared" si="11"/>
        <v>3.93</v>
      </c>
      <c r="Z57" s="495">
        <f t="shared" si="11"/>
        <v>4.64</v>
      </c>
      <c r="AA57" s="495">
        <f t="shared" si="11"/>
        <v>5.4</v>
      </c>
      <c r="AB57" s="495">
        <f t="shared" si="11"/>
        <v>6.18</v>
      </c>
      <c r="AC57" s="495">
        <f t="shared" si="11"/>
        <v>7</v>
      </c>
      <c r="AD57" s="513">
        <f ca="1">IF($AD$45=2,$AC57,IF($AD$45&gt;2,"ERROR",FORECAST($AD$45,OFFSET($M57,0,$AD$37):OFFSET($M57,0,$AD$37+1),OFFSET($M$45,0,$AD$37):OFFSET($M$45,0,$AD$37+1))))</f>
        <v>1.1283333333333334</v>
      </c>
      <c r="AF57" s="405" t="s">
        <v>747</v>
      </c>
      <c r="AG57" s="406">
        <v>93.6</v>
      </c>
      <c r="AH57" s="407">
        <v>35.2</v>
      </c>
      <c r="AI57" s="409">
        <v>1.04</v>
      </c>
      <c r="AJ57" s="407">
        <v>16</v>
      </c>
      <c r="AK57" s="409">
        <v>1.89</v>
      </c>
      <c r="AL57" s="410">
        <v>2.68</v>
      </c>
      <c r="AN57" s="50"/>
    </row>
    <row r="58" spans="1:40" ht="12.75">
      <c r="A58" s="19"/>
      <c r="B58" s="10"/>
      <c r="C58" s="10"/>
      <c r="D58" s="10"/>
      <c r="E58" s="10"/>
      <c r="F58" s="10"/>
      <c r="G58" s="10"/>
      <c r="H58" s="10"/>
      <c r="I58" s="14"/>
      <c r="L58" s="116"/>
      <c r="M58" s="487">
        <v>1</v>
      </c>
      <c r="N58" s="483">
        <f aca="true" t="shared" si="12" ref="N58:AC58">IF($N$29=0,N89,IF($N$29=15,N117,IF($N$29=30,N145,IF($N$29=45,N173,IF($N$29=60,N201,IF($N$29=75,N229,"ERROR"))))))</f>
        <v>0.637</v>
      </c>
      <c r="O58" s="319">
        <f t="shared" si="12"/>
        <v>0.712</v>
      </c>
      <c r="P58" s="495">
        <f t="shared" si="12"/>
        <v>1</v>
      </c>
      <c r="Q58" s="495">
        <f t="shared" si="12"/>
        <v>1.21</v>
      </c>
      <c r="R58" s="495">
        <f t="shared" si="12"/>
        <v>1.44</v>
      </c>
      <c r="S58" s="495">
        <f t="shared" si="12"/>
        <v>1.67</v>
      </c>
      <c r="T58" s="495">
        <f t="shared" si="12"/>
        <v>1.91</v>
      </c>
      <c r="U58" s="495">
        <f t="shared" si="12"/>
        <v>2.16</v>
      </c>
      <c r="V58" s="495">
        <f t="shared" si="12"/>
        <v>2.43</v>
      </c>
      <c r="W58" s="495">
        <f t="shared" si="12"/>
        <v>2.71</v>
      </c>
      <c r="X58" s="495">
        <f t="shared" si="12"/>
        <v>3.01</v>
      </c>
      <c r="Y58" s="495">
        <f t="shared" si="12"/>
        <v>3.63</v>
      </c>
      <c r="Z58" s="495">
        <f t="shared" si="12"/>
        <v>4.31</v>
      </c>
      <c r="AA58" s="495">
        <f t="shared" si="12"/>
        <v>5.02</v>
      </c>
      <c r="AB58" s="495">
        <f t="shared" si="12"/>
        <v>5.77</v>
      </c>
      <c r="AC58" s="495">
        <f t="shared" si="12"/>
        <v>6.56</v>
      </c>
      <c r="AD58" s="513">
        <f ca="1">IF($AD$45=2,$AC58,IF($AD$45&gt;2,"ERROR",FORECAST($AD$45,OFFSET($M58,0,$AD$37):OFFSET($M58,0,$AD$37+1),OFFSET($M$45,0,$AD$37):OFFSET($M$45,0,$AD$37+1))))</f>
        <v>1.0175</v>
      </c>
      <c r="AF58" s="405" t="s">
        <v>748</v>
      </c>
      <c r="AG58" s="406">
        <v>85.7</v>
      </c>
      <c r="AH58" s="407">
        <v>34.8</v>
      </c>
      <c r="AI58" s="408">
        <v>0.96</v>
      </c>
      <c r="AJ58" s="407">
        <v>15.9</v>
      </c>
      <c r="AK58" s="409">
        <v>1.73</v>
      </c>
      <c r="AL58" s="410">
        <v>2.52</v>
      </c>
      <c r="AN58" s="50"/>
    </row>
    <row r="59" spans="1:40" ht="12.75">
      <c r="A59" s="86" t="s">
        <v>55</v>
      </c>
      <c r="B59" s="10"/>
      <c r="C59" s="10"/>
      <c r="D59" s="10"/>
      <c r="E59" s="10"/>
      <c r="F59" s="10"/>
      <c r="G59" s="10"/>
      <c r="H59" s="10"/>
      <c r="I59" s="14"/>
      <c r="L59" s="116"/>
      <c r="M59" s="487">
        <v>1.2</v>
      </c>
      <c r="N59" s="483">
        <f aca="true" t="shared" si="13" ref="N59:AC59">IF($N$29=0,N90,IF($N$29=15,N118,IF($N$29=30,N146,IF($N$29=45,N174,IF($N$29=60,N202,IF($N$29=75,N230,"ERROR"))))))</f>
        <v>0.537</v>
      </c>
      <c r="O59" s="522">
        <f t="shared" si="13"/>
        <v>0.683</v>
      </c>
      <c r="P59" s="319">
        <f t="shared" si="13"/>
        <v>0.844</v>
      </c>
      <c r="Q59" s="320">
        <f t="shared" si="13"/>
        <v>1.02</v>
      </c>
      <c r="R59" s="320">
        <f t="shared" si="13"/>
        <v>1.21</v>
      </c>
      <c r="S59" s="320">
        <f t="shared" si="13"/>
        <v>1.42</v>
      </c>
      <c r="T59" s="320">
        <f t="shared" si="13"/>
        <v>1.63</v>
      </c>
      <c r="U59" s="320">
        <f t="shared" si="13"/>
        <v>1.85</v>
      </c>
      <c r="V59" s="523">
        <f t="shared" si="13"/>
        <v>2.08</v>
      </c>
      <c r="W59" s="495">
        <f t="shared" si="13"/>
        <v>2.33</v>
      </c>
      <c r="X59" s="495">
        <f t="shared" si="13"/>
        <v>2.59</v>
      </c>
      <c r="Y59" s="495">
        <f t="shared" si="13"/>
        <v>3.15</v>
      </c>
      <c r="Z59" s="495">
        <f t="shared" si="13"/>
        <v>3.75</v>
      </c>
      <c r="AA59" s="495">
        <f t="shared" si="13"/>
        <v>4.39</v>
      </c>
      <c r="AB59" s="495">
        <f t="shared" si="13"/>
        <v>5.07</v>
      </c>
      <c r="AC59" s="495">
        <f t="shared" si="13"/>
        <v>5.78</v>
      </c>
      <c r="AD59" s="513">
        <f ca="1">IF($AD$45=2,$AC59,IF($AD$45&gt;2,"ERROR",FORECAST($AD$45,OFFSET($M59,0,$AD$37):OFFSET($M59,0,$AD$37+1),OFFSET($M$45,0,$AD$37):OFFSET($M$45,0,$AD$37+1))))</f>
        <v>0.8586666666666666</v>
      </c>
      <c r="AF59" s="405" t="s">
        <v>749</v>
      </c>
      <c r="AG59" s="406">
        <v>77.5</v>
      </c>
      <c r="AH59" s="407">
        <v>34.5</v>
      </c>
      <c r="AI59" s="408">
        <v>0.87</v>
      </c>
      <c r="AJ59" s="407">
        <v>15.8</v>
      </c>
      <c r="AK59" s="409">
        <v>1.57</v>
      </c>
      <c r="AL59" s="410">
        <v>2.36</v>
      </c>
      <c r="AN59" s="50"/>
    </row>
    <row r="60" spans="1:40" ht="12.75">
      <c r="A60" s="73" t="s">
        <v>623</v>
      </c>
      <c r="B60" s="21"/>
      <c r="C60" s="112"/>
      <c r="D60" s="52" t="str">
        <f>$P$9</f>
        <v>(Note: eccentricity between C.L.'s  of beam and connection is included)</v>
      </c>
      <c r="E60" s="55"/>
      <c r="F60" s="55"/>
      <c r="G60" s="10"/>
      <c r="H60" s="10"/>
      <c r="I60" s="14"/>
      <c r="M60" s="487">
        <v>1.4</v>
      </c>
      <c r="N60" s="483">
        <f aca="true" t="shared" si="14" ref="N60:AC60">IF($N$29=0,N91,IF($N$29=15,N119,IF($N$29=30,N147,IF($N$29=45,N175,IF($N$29=60,N203,IF($N$29=75,N231,"ERROR"))))))</f>
        <v>0.464</v>
      </c>
      <c r="O60" s="522">
        <f t="shared" si="14"/>
        <v>0.588</v>
      </c>
      <c r="P60" s="319">
        <f t="shared" si="14"/>
        <v>0.728</v>
      </c>
      <c r="Q60" s="319">
        <f t="shared" si="14"/>
        <v>0.881</v>
      </c>
      <c r="R60" s="320">
        <f t="shared" si="14"/>
        <v>1.05</v>
      </c>
      <c r="S60" s="320">
        <f t="shared" si="14"/>
        <v>1.23</v>
      </c>
      <c r="T60" s="320">
        <f t="shared" si="14"/>
        <v>1.41</v>
      </c>
      <c r="U60" s="495">
        <f t="shared" si="14"/>
        <v>1.61</v>
      </c>
      <c r="V60" s="523">
        <f t="shared" si="14"/>
        <v>1.82</v>
      </c>
      <c r="W60" s="495">
        <f t="shared" si="14"/>
        <v>2.04</v>
      </c>
      <c r="X60" s="495">
        <f t="shared" si="14"/>
        <v>2.27</v>
      </c>
      <c r="Y60" s="495">
        <f t="shared" si="14"/>
        <v>2.77</v>
      </c>
      <c r="Z60" s="495">
        <f t="shared" si="14"/>
        <v>3.31</v>
      </c>
      <c r="AA60" s="495">
        <f t="shared" si="14"/>
        <v>3.89</v>
      </c>
      <c r="AB60" s="495">
        <f t="shared" si="14"/>
        <v>4.5</v>
      </c>
      <c r="AC60" s="495">
        <f t="shared" si="14"/>
        <v>5.15</v>
      </c>
      <c r="AD60" s="513">
        <f ca="1">IF($AD$45=2,$AC60,IF($AD$45&gt;2,"ERROR",FORECAST($AD$45,OFFSET($M60,0,$AD$37):OFFSET($M60,0,$AD$37+1),OFFSET($M$45,0,$AD$37):OFFSET($M$45,0,$AD$37+1))))</f>
        <v>0.74075</v>
      </c>
      <c r="AF60" s="405" t="s">
        <v>750</v>
      </c>
      <c r="AG60" s="406">
        <v>71</v>
      </c>
      <c r="AH60" s="407">
        <v>34.2</v>
      </c>
      <c r="AI60" s="408">
        <v>0.83</v>
      </c>
      <c r="AJ60" s="407">
        <v>15.9</v>
      </c>
      <c r="AK60" s="409">
        <v>1.4</v>
      </c>
      <c r="AL60" s="410">
        <v>2.19</v>
      </c>
      <c r="AN60" s="50"/>
    </row>
    <row r="61" spans="1:40" ht="12.75">
      <c r="A61" s="439" t="s">
        <v>631</v>
      </c>
      <c r="B61" s="175">
        <f>$N$10</f>
        <v>7.125016348901795</v>
      </c>
      <c r="C61" s="121" t="s">
        <v>425</v>
      </c>
      <c r="D61" s="438" t="s">
        <v>630</v>
      </c>
      <c r="E61" s="37"/>
      <c r="F61" s="37"/>
      <c r="G61" s="10"/>
      <c r="H61" s="10"/>
      <c r="I61" s="46"/>
      <c r="M61" s="487">
        <v>1.6</v>
      </c>
      <c r="N61" s="483">
        <f aca="true" t="shared" si="15" ref="N61:AC61">IF($N$29=0,N92,IF($N$29=15,N120,IF($N$29=30,N148,IF($N$29=45,N176,IF($N$29=60,N204,IF($N$29=75,N232,"ERROR"))))))</f>
        <v>0.407</v>
      </c>
      <c r="O61" s="522">
        <f t="shared" si="15"/>
        <v>0.516</v>
      </c>
      <c r="P61" s="319">
        <f t="shared" si="15"/>
        <v>0.639</v>
      </c>
      <c r="Q61" s="319">
        <f t="shared" si="15"/>
        <v>0.775</v>
      </c>
      <c r="R61" s="319">
        <f t="shared" si="15"/>
        <v>0.923</v>
      </c>
      <c r="S61" s="320">
        <f t="shared" si="15"/>
        <v>1.08</v>
      </c>
      <c r="T61" s="320">
        <f t="shared" si="15"/>
        <v>1.25</v>
      </c>
      <c r="U61" s="495">
        <f t="shared" si="15"/>
        <v>1.43</v>
      </c>
      <c r="V61" s="523">
        <f t="shared" si="15"/>
        <v>1.61</v>
      </c>
      <c r="W61" s="495">
        <f t="shared" si="15"/>
        <v>1.81</v>
      </c>
      <c r="X61" s="495">
        <f t="shared" si="15"/>
        <v>2.02</v>
      </c>
      <c r="Y61" s="495">
        <f t="shared" si="15"/>
        <v>2.46</v>
      </c>
      <c r="Z61" s="495">
        <f t="shared" si="15"/>
        <v>2.95</v>
      </c>
      <c r="AA61" s="495">
        <f t="shared" si="15"/>
        <v>3.47</v>
      </c>
      <c r="AB61" s="495">
        <f t="shared" si="15"/>
        <v>4.04</v>
      </c>
      <c r="AC61" s="495">
        <f t="shared" si="15"/>
        <v>4.63</v>
      </c>
      <c r="AD61" s="513">
        <f ca="1">IF($AD$45=2,$AC61,IF($AD$45&gt;2,"ERROR",FORECAST($AD$45,OFFSET($M61,0,$AD$37):OFFSET($M61,0,$AD$37+1),OFFSET($M$45,0,$AD$37):OFFSET($M$45,0,$AD$37+1))))</f>
        <v>0.6503333333333334</v>
      </c>
      <c r="AF61" s="405" t="s">
        <v>751</v>
      </c>
      <c r="AG61" s="406">
        <v>65.2</v>
      </c>
      <c r="AH61" s="407">
        <v>33.9</v>
      </c>
      <c r="AI61" s="408">
        <v>0.775</v>
      </c>
      <c r="AJ61" s="407">
        <v>15.8</v>
      </c>
      <c r="AK61" s="409">
        <v>1.28</v>
      </c>
      <c r="AL61" s="410">
        <v>2.06</v>
      </c>
      <c r="AN61" s="50"/>
    </row>
    <row r="62" spans="1:40" ht="12.75">
      <c r="A62" s="51" t="s">
        <v>427</v>
      </c>
      <c r="B62" s="179">
        <f>$N$11</f>
        <v>82.77323612608444</v>
      </c>
      <c r="C62" s="113" t="s">
        <v>244</v>
      </c>
      <c r="D62" s="447" t="s">
        <v>643</v>
      </c>
      <c r="E62" s="37"/>
      <c r="F62" s="37"/>
      <c r="G62" s="37"/>
      <c r="H62" s="80"/>
      <c r="I62" s="14"/>
      <c r="M62" s="487">
        <v>1.8</v>
      </c>
      <c r="N62" s="483">
        <f aca="true" t="shared" si="16" ref="N62:AC62">IF($N$29=0,N93,IF($N$29=15,N121,IF($N$29=30,N149,IF($N$29=45,N177,IF($N$29=60,N205,IF($N$29=75,N233,"ERROR"))))))</f>
        <v>0.363</v>
      </c>
      <c r="O62" s="522">
        <f t="shared" si="16"/>
        <v>0.46</v>
      </c>
      <c r="P62" s="319">
        <f t="shared" si="16"/>
        <v>0.569</v>
      </c>
      <c r="Q62" s="319">
        <f t="shared" si="16"/>
        <v>0.691</v>
      </c>
      <c r="R62" s="319">
        <f t="shared" si="16"/>
        <v>0.824</v>
      </c>
      <c r="S62" s="319">
        <f t="shared" si="16"/>
        <v>0.969</v>
      </c>
      <c r="T62" s="320">
        <f t="shared" si="16"/>
        <v>1.12</v>
      </c>
      <c r="U62" s="495">
        <f t="shared" si="16"/>
        <v>1.28</v>
      </c>
      <c r="V62" s="523">
        <f t="shared" si="16"/>
        <v>1.45</v>
      </c>
      <c r="W62" s="495">
        <f t="shared" si="16"/>
        <v>1.62</v>
      </c>
      <c r="X62" s="495">
        <f t="shared" si="16"/>
        <v>1.81</v>
      </c>
      <c r="Y62" s="495">
        <f t="shared" si="16"/>
        <v>2.22</v>
      </c>
      <c r="Z62" s="495">
        <f t="shared" si="16"/>
        <v>2.66</v>
      </c>
      <c r="AA62" s="495">
        <f t="shared" si="16"/>
        <v>3.14</v>
      </c>
      <c r="AB62" s="495">
        <f t="shared" si="16"/>
        <v>3.65</v>
      </c>
      <c r="AC62" s="495">
        <f t="shared" si="16"/>
        <v>4.2</v>
      </c>
      <c r="AD62" s="513">
        <f ca="1">IF($AD$45=2,$AC62,IF($AD$45&gt;2,"ERROR",FORECAST($AD$45,OFFSET($M62,0,$AD$37):OFFSET($M62,0,$AD$37+1),OFFSET($M$45,0,$AD$37):OFFSET($M$45,0,$AD$37+1))))</f>
        <v>0.5791666666666666</v>
      </c>
      <c r="AF62" s="405" t="s">
        <v>752</v>
      </c>
      <c r="AG62" s="406">
        <v>59.2</v>
      </c>
      <c r="AH62" s="407">
        <v>33.7</v>
      </c>
      <c r="AI62" s="408">
        <v>0.715</v>
      </c>
      <c r="AJ62" s="407">
        <v>15.7</v>
      </c>
      <c r="AK62" s="409">
        <v>1.15</v>
      </c>
      <c r="AL62" s="410">
        <v>1.94</v>
      </c>
      <c r="AN62" s="50"/>
    </row>
    <row r="63" spans="1:41" ht="12.75">
      <c r="A63" s="51" t="s">
        <v>428</v>
      </c>
      <c r="B63" s="179">
        <f>$N$12</f>
        <v>82.13405099191012</v>
      </c>
      <c r="C63" s="113" t="s">
        <v>425</v>
      </c>
      <c r="D63" s="455" t="s">
        <v>640</v>
      </c>
      <c r="E63" s="10"/>
      <c r="F63" s="10"/>
      <c r="G63" s="10"/>
      <c r="H63" s="80"/>
      <c r="I63" s="389" t="str">
        <f>IF($B$63&gt;=$D$16,"Rwv &gt;= R,  O.K.  ","Rwv &lt; R, N.G.  ")</f>
        <v>Rwv &gt;= R,  O.K.  </v>
      </c>
      <c r="M63" s="487">
        <v>2</v>
      </c>
      <c r="N63" s="483">
        <f aca="true" t="shared" si="17" ref="N63:AC63">IF($N$29=0,N94,IF($N$29=15,N122,IF($N$29=30,N150,IF($N$29=45,N178,IF($N$29=60,N206,IF($N$29=75,N234,"ERROR"))))))</f>
        <v>0.327</v>
      </c>
      <c r="O63" s="522">
        <f t="shared" si="17"/>
        <v>0.415</v>
      </c>
      <c r="P63" s="319">
        <f t="shared" si="17"/>
        <v>0.513</v>
      </c>
      <c r="Q63" s="319">
        <f t="shared" si="17"/>
        <v>0.623</v>
      </c>
      <c r="R63" s="319">
        <f t="shared" si="17"/>
        <v>0.744</v>
      </c>
      <c r="S63" s="319">
        <f t="shared" si="17"/>
        <v>0.876</v>
      </c>
      <c r="T63" s="320">
        <f t="shared" si="17"/>
        <v>1.01</v>
      </c>
      <c r="U63" s="495">
        <f t="shared" si="17"/>
        <v>1.16</v>
      </c>
      <c r="V63" s="523">
        <f t="shared" si="17"/>
        <v>1.31</v>
      </c>
      <c r="W63" s="495">
        <f t="shared" si="17"/>
        <v>1.47</v>
      </c>
      <c r="X63" s="495">
        <f t="shared" si="17"/>
        <v>1.64</v>
      </c>
      <c r="Y63" s="495">
        <f t="shared" si="17"/>
        <v>2.01</v>
      </c>
      <c r="Z63" s="495">
        <f t="shared" si="17"/>
        <v>2.42</v>
      </c>
      <c r="AA63" s="495">
        <f t="shared" si="17"/>
        <v>2.86</v>
      </c>
      <c r="AB63" s="495">
        <f t="shared" si="17"/>
        <v>3.33</v>
      </c>
      <c r="AC63" s="495">
        <f t="shared" si="17"/>
        <v>3.85</v>
      </c>
      <c r="AD63" s="513">
        <f ca="1">IF($AD$45=2,$AC63,IF($AD$45&gt;2,"ERROR",FORECAST($AD$45,OFFSET($M63,0,$AD$37):OFFSET($M63,0,$AD$37+1),OFFSET($M$45,0,$AD$37):OFFSET($M$45,0,$AD$37+1))))</f>
        <v>0.5221666666666667</v>
      </c>
      <c r="AF63" s="405" t="s">
        <v>753</v>
      </c>
      <c r="AG63" s="406">
        <v>49.5</v>
      </c>
      <c r="AH63" s="407">
        <v>33.8</v>
      </c>
      <c r="AI63" s="408">
        <v>0.67</v>
      </c>
      <c r="AJ63" s="407">
        <v>11.5</v>
      </c>
      <c r="AK63" s="409">
        <v>1.22</v>
      </c>
      <c r="AL63" s="410">
        <v>1.92</v>
      </c>
      <c r="AN63" s="50" t="s">
        <v>388</v>
      </c>
      <c r="AO63" s="100">
        <f>IF($D$16&gt;0,$D$16/$B$63,"")</f>
        <v>0.4870087316640433</v>
      </c>
    </row>
    <row r="64" spans="1:41" ht="12.75">
      <c r="A64" s="51" t="s">
        <v>429</v>
      </c>
      <c r="B64" s="183">
        <f>$N$13</f>
        <v>10.26675637398876</v>
      </c>
      <c r="C64" s="113" t="s">
        <v>425</v>
      </c>
      <c r="D64" s="455" t="s">
        <v>641</v>
      </c>
      <c r="E64" s="10"/>
      <c r="F64" s="10"/>
      <c r="G64" s="10"/>
      <c r="H64" s="10"/>
      <c r="I64" s="389" t="str">
        <f>IF($D$17&gt;0,IF($B$64&gt;=$D$17,"Rwa &gt;= P,  O.K.  ","Rwa &lt; P, N.G.  "),"")</f>
        <v>Rwa &gt;= P,  O.K.  </v>
      </c>
      <c r="M64" s="487">
        <v>2.2</v>
      </c>
      <c r="N64" s="483">
        <f aca="true" t="shared" si="18" ref="N64:AC64">IF($N$29=0,N95,IF($N$29=15,N123,IF($N$29=30,N151,IF($N$29=45,N179,IF($N$29=60,N207,IF($N$29=75,N235,"ERROR"))))))</f>
        <v>0.297</v>
      </c>
      <c r="O64" s="522">
        <f t="shared" si="18"/>
        <v>0.377</v>
      </c>
      <c r="P64" s="319">
        <f t="shared" si="18"/>
        <v>0.467</v>
      </c>
      <c r="Q64" s="319">
        <f t="shared" si="18"/>
        <v>0.567</v>
      </c>
      <c r="R64" s="319">
        <f t="shared" si="18"/>
        <v>0.677</v>
      </c>
      <c r="S64" s="319">
        <f t="shared" si="18"/>
        <v>0.799</v>
      </c>
      <c r="T64" s="319">
        <f t="shared" si="18"/>
        <v>0.925</v>
      </c>
      <c r="U64" s="495">
        <f t="shared" si="18"/>
        <v>1.06</v>
      </c>
      <c r="V64" s="495">
        <f t="shared" si="18"/>
        <v>1.2</v>
      </c>
      <c r="W64" s="495">
        <f t="shared" si="18"/>
        <v>1.35</v>
      </c>
      <c r="X64" s="495">
        <f t="shared" si="18"/>
        <v>1.5</v>
      </c>
      <c r="Y64" s="495">
        <f t="shared" si="18"/>
        <v>1.84</v>
      </c>
      <c r="Z64" s="495">
        <f t="shared" si="18"/>
        <v>2.21</v>
      </c>
      <c r="AA64" s="495">
        <f t="shared" si="18"/>
        <v>2.62</v>
      </c>
      <c r="AB64" s="495">
        <f t="shared" si="18"/>
        <v>3.07</v>
      </c>
      <c r="AC64" s="495">
        <f t="shared" si="18"/>
        <v>3.54</v>
      </c>
      <c r="AD64" s="513">
        <f ca="1">IF($AD$45=2,$AC64,IF($AD$45&gt;2,"ERROR",FORECAST($AD$45,OFFSET($M64,0,$AD$37):OFFSET($M64,0,$AD$37+1),OFFSET($M$45,0,$AD$37):OFFSET($M$45,0,$AD$37+1))))</f>
        <v>0.4753333333333334</v>
      </c>
      <c r="AF64" s="405" t="s">
        <v>754</v>
      </c>
      <c r="AG64" s="406">
        <v>44.8</v>
      </c>
      <c r="AH64" s="407">
        <v>33.5</v>
      </c>
      <c r="AI64" s="408">
        <v>0.635</v>
      </c>
      <c r="AJ64" s="407">
        <v>11.6</v>
      </c>
      <c r="AK64" s="409">
        <v>1.06</v>
      </c>
      <c r="AL64" s="410">
        <v>1.76</v>
      </c>
      <c r="AN64" s="50" t="str">
        <f>IF(AO64="","N.A.","SR =")</f>
        <v>SR =</v>
      </c>
      <c r="AO64" s="100">
        <f>IF($D$17&gt;0,$D$17/$B$64,"")</f>
        <v>0.48700873166404346</v>
      </c>
    </row>
    <row r="65" spans="1:38" ht="12.75">
      <c r="A65" s="19"/>
      <c r="B65" s="10"/>
      <c r="C65" s="10"/>
      <c r="D65" s="10"/>
      <c r="E65" s="10"/>
      <c r="F65" s="10"/>
      <c r="G65" s="10"/>
      <c r="H65" s="10"/>
      <c r="I65" s="389"/>
      <c r="M65" s="487">
        <v>2.4</v>
      </c>
      <c r="N65" s="483">
        <f aca="true" t="shared" si="19" ref="N65:AC65">IF($N$29=0,N96,IF($N$29=15,N124,IF($N$29=30,N152,IF($N$29=45,N180,IF($N$29=60,N208,IF($N$29=75,N236,"ERROR"))))))</f>
        <v>0.273</v>
      </c>
      <c r="O65" s="522">
        <f t="shared" si="19"/>
        <v>0.347</v>
      </c>
      <c r="P65" s="319">
        <f t="shared" si="19"/>
        <v>0.428</v>
      </c>
      <c r="Q65" s="319">
        <f t="shared" si="19"/>
        <v>0.52</v>
      </c>
      <c r="R65" s="319">
        <f t="shared" si="19"/>
        <v>0.623</v>
      </c>
      <c r="S65" s="319">
        <f t="shared" si="19"/>
        <v>0.735</v>
      </c>
      <c r="T65" s="319">
        <f t="shared" si="19"/>
        <v>0.852</v>
      </c>
      <c r="U65" s="319">
        <f t="shared" si="19"/>
        <v>0.972</v>
      </c>
      <c r="V65" s="495">
        <f t="shared" si="19"/>
        <v>1.1</v>
      </c>
      <c r="W65" s="495">
        <f t="shared" si="19"/>
        <v>1.24</v>
      </c>
      <c r="X65" s="495">
        <f t="shared" si="19"/>
        <v>1.38</v>
      </c>
      <c r="Y65" s="495">
        <f t="shared" si="19"/>
        <v>1.7</v>
      </c>
      <c r="Z65" s="495">
        <f t="shared" si="19"/>
        <v>2.04</v>
      </c>
      <c r="AA65" s="495">
        <f t="shared" si="19"/>
        <v>2.42</v>
      </c>
      <c r="AB65" s="495">
        <f t="shared" si="19"/>
        <v>2.83</v>
      </c>
      <c r="AC65" s="495">
        <f t="shared" si="19"/>
        <v>3.27</v>
      </c>
      <c r="AD65" s="513">
        <f ca="1">IF($AD$45=2,$AC65,IF($AD$45&gt;2,"ERROR",FORECAST($AD$45,OFFSET($M65,0,$AD$37):OFFSET($M65,0,$AD$37+1),OFFSET($M$45,0,$AD$37):OFFSET($M$45,0,$AD$37+1))))</f>
        <v>0.43566666666666665</v>
      </c>
      <c r="AF65" s="405" t="s">
        <v>755</v>
      </c>
      <c r="AG65" s="406">
        <v>41.6</v>
      </c>
      <c r="AH65" s="407">
        <v>33.3</v>
      </c>
      <c r="AI65" s="408">
        <v>0.605</v>
      </c>
      <c r="AJ65" s="407">
        <v>11.5</v>
      </c>
      <c r="AK65" s="408">
        <v>0.96</v>
      </c>
      <c r="AL65" s="410">
        <v>1.66</v>
      </c>
    </row>
    <row r="66" spans="1:38" ht="12.75">
      <c r="A66" s="73" t="s">
        <v>1173</v>
      </c>
      <c r="B66" s="10"/>
      <c r="C66" s="10"/>
      <c r="D66" s="10"/>
      <c r="E66" s="10"/>
      <c r="F66" s="10"/>
      <c r="G66" s="10"/>
      <c r="H66" s="10"/>
      <c r="I66" s="14"/>
      <c r="M66" s="487">
        <v>2.6</v>
      </c>
      <c r="N66" s="483">
        <f aca="true" t="shared" si="20" ref="N66:AC66">IF($N$29=0,N97,IF($N$29=15,N125,IF($N$29=30,N153,IF($N$29=45,N181,IF($N$29=60,N209,IF($N$29=75,N237,"ERROR"))))))</f>
        <v>0.252</v>
      </c>
      <c r="O66" s="522">
        <f t="shared" si="20"/>
        <v>0.32</v>
      </c>
      <c r="P66" s="319">
        <f t="shared" si="20"/>
        <v>0.396</v>
      </c>
      <c r="Q66" s="319">
        <f t="shared" si="20"/>
        <v>0.48</v>
      </c>
      <c r="R66" s="319">
        <f t="shared" si="20"/>
        <v>0.575</v>
      </c>
      <c r="S66" s="319">
        <f t="shared" si="20"/>
        <v>0.679</v>
      </c>
      <c r="T66" s="319">
        <f t="shared" si="20"/>
        <v>0.788</v>
      </c>
      <c r="U66" s="319">
        <f t="shared" si="20"/>
        <v>0.9</v>
      </c>
      <c r="V66" s="495">
        <f t="shared" si="20"/>
        <v>1.02</v>
      </c>
      <c r="W66" s="495">
        <f t="shared" si="20"/>
        <v>1.15</v>
      </c>
      <c r="X66" s="495">
        <f t="shared" si="20"/>
        <v>1.28</v>
      </c>
      <c r="Y66" s="495">
        <f t="shared" si="20"/>
        <v>1.57</v>
      </c>
      <c r="Z66" s="495">
        <f t="shared" si="20"/>
        <v>1.9</v>
      </c>
      <c r="AA66" s="495">
        <f t="shared" si="20"/>
        <v>2.25</v>
      </c>
      <c r="AB66" s="495">
        <f t="shared" si="20"/>
        <v>2.63</v>
      </c>
      <c r="AC66" s="495">
        <f t="shared" si="20"/>
        <v>3.05</v>
      </c>
      <c r="AD66" s="513">
        <f ca="1">IF($AD$45=2,$AC66,IF($AD$45&gt;2,"ERROR",FORECAST($AD$45,OFFSET($M66,0,$AD$37):OFFSET($M66,0,$AD$37+1),OFFSET($M$45,0,$AD$37):OFFSET($M$45,0,$AD$37+1))))</f>
        <v>0.403</v>
      </c>
      <c r="AF66" s="405" t="s">
        <v>756</v>
      </c>
      <c r="AG66" s="406">
        <v>38.3</v>
      </c>
      <c r="AH66" s="407">
        <v>33.1</v>
      </c>
      <c r="AI66" s="408">
        <v>0.58</v>
      </c>
      <c r="AJ66" s="407">
        <v>11.5</v>
      </c>
      <c r="AK66" s="408">
        <v>0.855</v>
      </c>
      <c r="AL66" s="410">
        <v>1.56</v>
      </c>
    </row>
    <row r="67" spans="1:38" ht="12.75">
      <c r="A67" s="443" t="s">
        <v>124</v>
      </c>
      <c r="B67" s="607">
        <f>$N$15</f>
        <v>28.244444444444447</v>
      </c>
      <c r="C67" s="113" t="s">
        <v>245</v>
      </c>
      <c r="D67" s="10" t="str">
        <f>$P$15</f>
        <v>fb = (P*(2*Lc+tw)/4) / (L*ta^2 / 6)</v>
      </c>
      <c r="E67" s="10"/>
      <c r="F67" s="10"/>
      <c r="G67" s="10"/>
      <c r="H67" s="10"/>
      <c r="I67" s="14"/>
      <c r="M67" s="487">
        <v>2.8</v>
      </c>
      <c r="N67" s="483">
        <f aca="true" t="shared" si="21" ref="N67:AC67">IF($N$29=0,N98,IF($N$29=15,N126,IF($N$29=30,N154,IF($N$29=45,N182,IF($N$29=60,N210,IF($N$29=75,N238,"ERROR"))))))</f>
        <v>0.235</v>
      </c>
      <c r="O67" s="522">
        <f t="shared" si="21"/>
        <v>0.297</v>
      </c>
      <c r="P67" s="319">
        <f t="shared" si="21"/>
        <v>0.368</v>
      </c>
      <c r="Q67" s="319">
        <f t="shared" si="21"/>
        <v>0.447</v>
      </c>
      <c r="R67" s="319">
        <f t="shared" si="21"/>
        <v>0.535</v>
      </c>
      <c r="S67" s="319">
        <f t="shared" si="21"/>
        <v>0.632</v>
      </c>
      <c r="T67" s="319">
        <f t="shared" si="21"/>
        <v>0.733</v>
      </c>
      <c r="U67" s="319">
        <f t="shared" si="21"/>
        <v>0.837</v>
      </c>
      <c r="V67" s="324">
        <f t="shared" si="21"/>
        <v>0.949</v>
      </c>
      <c r="W67" s="495">
        <f t="shared" si="21"/>
        <v>1.07</v>
      </c>
      <c r="X67" s="495">
        <f t="shared" si="21"/>
        <v>1.19</v>
      </c>
      <c r="Y67" s="495">
        <f t="shared" si="21"/>
        <v>1.47</v>
      </c>
      <c r="Z67" s="495">
        <f t="shared" si="21"/>
        <v>1.77</v>
      </c>
      <c r="AA67" s="495">
        <f t="shared" si="21"/>
        <v>2.1</v>
      </c>
      <c r="AB67" s="495">
        <f t="shared" si="21"/>
        <v>2.46</v>
      </c>
      <c r="AC67" s="495">
        <f t="shared" si="21"/>
        <v>2.85</v>
      </c>
      <c r="AD67" s="513">
        <f ca="1">IF($AD$45=2,$AC67,IF($AD$45&gt;2,"ERROR",FORECAST($AD$45,OFFSET($M67,0,$AD$37):OFFSET($M67,0,$AD$37+1),OFFSET($M$45,0,$AD$37):OFFSET($M$45,0,$AD$37+1))))</f>
        <v>0.37458333333333327</v>
      </c>
      <c r="AF67" s="405" t="s">
        <v>757</v>
      </c>
      <c r="AG67" s="406">
        <v>34.7</v>
      </c>
      <c r="AH67" s="407">
        <v>32.9</v>
      </c>
      <c r="AI67" s="408">
        <v>0.55</v>
      </c>
      <c r="AJ67" s="407">
        <v>11.5</v>
      </c>
      <c r="AK67" s="408">
        <v>0.74</v>
      </c>
      <c r="AL67" s="410">
        <v>1.44</v>
      </c>
    </row>
    <row r="68" spans="1:41" ht="12.75">
      <c r="A68" s="443" t="s">
        <v>159</v>
      </c>
      <c r="B68" s="183">
        <f>$N$16</f>
        <v>32.33532934131737</v>
      </c>
      <c r="C68" s="113" t="s">
        <v>245</v>
      </c>
      <c r="D68" s="10" t="str">
        <f>$P$16</f>
        <v>Fb = (1.5/1.67)*Fya</v>
      </c>
      <c r="E68" s="10"/>
      <c r="F68" s="10"/>
      <c r="G68" s="10"/>
      <c r="H68" s="10"/>
      <c r="I68" s="389" t="str">
        <f>IF($D$17&gt;0,IF($B$68&gt;=$B$67,"Fb &gt;= fb,  O.K.  ","Fb &lt; fb, N.G.  "),"")</f>
        <v>Fb &gt;= fb,  O.K.  </v>
      </c>
      <c r="M68" s="498">
        <v>3</v>
      </c>
      <c r="N68" s="505">
        <f aca="true" t="shared" si="22" ref="N68:AC68">IF($N$29=0,N99,IF($N$29=15,N127,IF($N$29=30,N155,IF($N$29=45,N183,IF($N$29=60,N211,IF($N$29=75,N239,"ERROR"))))))</f>
        <v>0.219</v>
      </c>
      <c r="O68" s="322">
        <f t="shared" si="22"/>
        <v>0.277</v>
      </c>
      <c r="P68" s="322">
        <f t="shared" si="22"/>
        <v>0.343</v>
      </c>
      <c r="Q68" s="322">
        <f t="shared" si="22"/>
        <v>0.417</v>
      </c>
      <c r="R68" s="322">
        <f t="shared" si="22"/>
        <v>0.5</v>
      </c>
      <c r="S68" s="322">
        <f t="shared" si="22"/>
        <v>0.591</v>
      </c>
      <c r="T68" s="322">
        <f t="shared" si="22"/>
        <v>0.685</v>
      </c>
      <c r="U68" s="322">
        <f t="shared" si="22"/>
        <v>0.784</v>
      </c>
      <c r="V68" s="322">
        <f t="shared" si="22"/>
        <v>0.888</v>
      </c>
      <c r="W68" s="322">
        <f t="shared" si="22"/>
        <v>0.999</v>
      </c>
      <c r="X68" s="495">
        <f t="shared" si="22"/>
        <v>1.12</v>
      </c>
      <c r="Y68" s="495">
        <f t="shared" si="22"/>
        <v>1.37</v>
      </c>
      <c r="Z68" s="495">
        <f t="shared" si="22"/>
        <v>1.65</v>
      </c>
      <c r="AA68" s="495">
        <f t="shared" si="22"/>
        <v>1.97</v>
      </c>
      <c r="AB68" s="495">
        <f t="shared" si="22"/>
        <v>2.31</v>
      </c>
      <c r="AC68" s="495">
        <f t="shared" si="22"/>
        <v>2.67</v>
      </c>
      <c r="AD68" s="514">
        <f ca="1">IF($AD$45=2,$AC68,IF($AD$45&gt;2,"ERROR",FORECAST($AD$45,OFFSET($M68,0,$AD$37):OFFSET($M68,0,$AD$37+1),OFFSET($M$45,0,$AD$37):OFFSET($M$45,0,$AD$37+1))))</f>
        <v>0.3491666666666667</v>
      </c>
      <c r="AF68" s="405" t="s">
        <v>758</v>
      </c>
      <c r="AG68" s="411">
        <v>115</v>
      </c>
      <c r="AH68" s="407">
        <v>33.2</v>
      </c>
      <c r="AI68" s="409">
        <v>1.36</v>
      </c>
      <c r="AJ68" s="407">
        <v>15.6</v>
      </c>
      <c r="AK68" s="409">
        <v>2.44</v>
      </c>
      <c r="AL68" s="410">
        <v>3.23</v>
      </c>
      <c r="AN68" s="50" t="s">
        <v>388</v>
      </c>
      <c r="AO68" s="100">
        <f>IF($D$17&gt;0,$B$67/$B$68,"")</f>
        <v>0.8734855967078189</v>
      </c>
    </row>
    <row r="69" spans="1:38" ht="12.75">
      <c r="A69" s="19"/>
      <c r="B69" s="10"/>
      <c r="C69" s="10"/>
      <c r="D69" s="10"/>
      <c r="E69" s="10"/>
      <c r="F69" s="10"/>
      <c r="G69" s="10"/>
      <c r="H69" s="10"/>
      <c r="I69" s="14"/>
      <c r="M69" s="504" t="s">
        <v>526</v>
      </c>
      <c r="N69" s="519">
        <f aca="true" t="shared" si="23" ref="N69:AC69">IF($N$29=0,N100,IF($N$29=15,N128,IF($N$29=30,N156,IF($N$29=45,N184,IF($N$29=60,N212,IF($N$29=75,N240,"ERROR"))))))</f>
        <v>0</v>
      </c>
      <c r="O69" s="520">
        <f t="shared" si="23"/>
        <v>0.008</v>
      </c>
      <c r="P69" s="520">
        <f t="shared" si="23"/>
        <v>0.029</v>
      </c>
      <c r="Q69" s="520">
        <f t="shared" si="23"/>
        <v>0.056</v>
      </c>
      <c r="R69" s="520">
        <f t="shared" si="23"/>
        <v>0.089</v>
      </c>
      <c r="S69" s="520">
        <f t="shared" si="23"/>
        <v>0.125</v>
      </c>
      <c r="T69" s="520">
        <f t="shared" si="23"/>
        <v>0.164</v>
      </c>
      <c r="U69" s="520">
        <f t="shared" si="23"/>
        <v>0.204</v>
      </c>
      <c r="V69" s="520">
        <f t="shared" si="23"/>
        <v>0.246</v>
      </c>
      <c r="W69" s="520">
        <f t="shared" si="23"/>
        <v>0.289</v>
      </c>
      <c r="X69" s="520">
        <f t="shared" si="23"/>
        <v>0.333</v>
      </c>
      <c r="Y69" s="520">
        <f t="shared" si="23"/>
        <v>0.424</v>
      </c>
      <c r="Z69" s="520">
        <f t="shared" si="23"/>
        <v>0.516</v>
      </c>
      <c r="AA69" s="520">
        <f t="shared" si="23"/>
        <v>0.61</v>
      </c>
      <c r="AB69" s="520">
        <f t="shared" si="23"/>
        <v>0.704</v>
      </c>
      <c r="AC69" s="521">
        <f t="shared" si="23"/>
        <v>0.8</v>
      </c>
      <c r="AD69" s="507">
        <f ca="1">IF($AD$45=2,$AC69,IF($AD$45&gt;2,"ERROR",FORECAST($AD$45,OFFSET($M69,0,$AD$37):OFFSET($M69,0,$AD$37+1),OFFSET($M$45,0,$AD$37):OFFSET($M$45,0,$AD$37+1))))</f>
        <v>0.03125</v>
      </c>
      <c r="AF69" s="405" t="s">
        <v>759</v>
      </c>
      <c r="AG69" s="411">
        <v>105</v>
      </c>
      <c r="AH69" s="407">
        <v>32.8</v>
      </c>
      <c r="AI69" s="409">
        <v>1.24</v>
      </c>
      <c r="AJ69" s="407">
        <v>15.5</v>
      </c>
      <c r="AK69" s="409">
        <v>2.24</v>
      </c>
      <c r="AL69" s="410">
        <v>3.03</v>
      </c>
    </row>
    <row r="70" spans="1:38" ht="12.75">
      <c r="A70" s="86" t="s">
        <v>463</v>
      </c>
      <c r="B70" s="10"/>
      <c r="C70" s="10"/>
      <c r="D70" s="10"/>
      <c r="E70" s="10"/>
      <c r="F70" s="10"/>
      <c r="G70" s="10"/>
      <c r="H70" s="10"/>
      <c r="I70" s="389"/>
      <c r="M70" s="153"/>
      <c r="N70" s="148"/>
      <c r="O70" s="147"/>
      <c r="P70" s="147"/>
      <c r="Q70" s="147"/>
      <c r="R70" s="147"/>
      <c r="S70" s="147"/>
      <c r="T70" s="147"/>
      <c r="U70" s="148"/>
      <c r="V70" s="148"/>
      <c r="W70" s="148"/>
      <c r="X70" s="148"/>
      <c r="Y70" s="148"/>
      <c r="Z70" s="148"/>
      <c r="AB70" s="148"/>
      <c r="AC70" s="508"/>
      <c r="AD70" s="37"/>
      <c r="AF70" s="405" t="s">
        <v>760</v>
      </c>
      <c r="AG70" s="406">
        <v>95.8</v>
      </c>
      <c r="AH70" s="407">
        <v>32.4</v>
      </c>
      <c r="AI70" s="409">
        <v>1.14</v>
      </c>
      <c r="AJ70" s="407">
        <v>15.4</v>
      </c>
      <c r="AK70" s="409">
        <v>2.05</v>
      </c>
      <c r="AL70" s="410">
        <v>2.84</v>
      </c>
    </row>
    <row r="71" spans="1:41" ht="12.75">
      <c r="A71" s="19" t="str">
        <f>$M$18</f>
        <v>  "C-shaped" Welding:  (using AISC Table 8-8, pages 8-90 through 8-95)</v>
      </c>
      <c r="B71" s="10"/>
      <c r="C71" s="10"/>
      <c r="D71" s="10"/>
      <c r="E71" s="10"/>
      <c r="F71" s="10"/>
      <c r="G71" s="10"/>
      <c r="H71" s="10"/>
      <c r="I71" s="389"/>
      <c r="M71" s="153"/>
      <c r="N71" s="148"/>
      <c r="O71" s="147"/>
      <c r="P71" s="147"/>
      <c r="Q71" s="147"/>
      <c r="R71" s="147"/>
      <c r="S71" s="147"/>
      <c r="T71" s="147"/>
      <c r="U71" s="148"/>
      <c r="V71" s="148"/>
      <c r="W71" s="148"/>
      <c r="X71" s="148"/>
      <c r="Y71" s="148"/>
      <c r="Z71" s="148"/>
      <c r="AB71" s="148"/>
      <c r="AC71" s="186" t="s">
        <v>18</v>
      </c>
      <c r="AD71" s="509">
        <f>$N$24</f>
        <v>0.20833333333333334</v>
      </c>
      <c r="AF71" s="405" t="s">
        <v>761</v>
      </c>
      <c r="AG71" s="406">
        <v>85.9</v>
      </c>
      <c r="AH71" s="407">
        <v>32</v>
      </c>
      <c r="AI71" s="409">
        <v>1.02</v>
      </c>
      <c r="AJ71" s="407">
        <v>15.3</v>
      </c>
      <c r="AK71" s="409">
        <v>1.85</v>
      </c>
      <c r="AL71" s="410">
        <v>2.64</v>
      </c>
      <c r="AN71" s="50"/>
      <c r="AO71" s="100"/>
    </row>
    <row r="72" spans="1:41" ht="12.75">
      <c r="A72" s="443" t="s">
        <v>401</v>
      </c>
      <c r="B72" s="174">
        <f aca="true" t="shared" si="24" ref="B72:B80">N19</f>
        <v>12</v>
      </c>
      <c r="C72" s="113" t="s">
        <v>268</v>
      </c>
      <c r="D72" s="441" t="str">
        <f aca="true" t="shared" si="25" ref="D72:D80">P19</f>
        <v>L = vertical height of "C-shaped" weld</v>
      </c>
      <c r="E72" s="10"/>
      <c r="F72" s="10"/>
      <c r="G72" s="10"/>
      <c r="H72" s="10"/>
      <c r="I72" s="389"/>
      <c r="M72" s="510"/>
      <c r="N72" s="148"/>
      <c r="O72" s="147"/>
      <c r="P72" s="147"/>
      <c r="Q72" s="147"/>
      <c r="R72" s="147"/>
      <c r="S72" s="147"/>
      <c r="T72" s="147"/>
      <c r="U72" s="148"/>
      <c r="V72" s="148"/>
      <c r="W72" s="148"/>
      <c r="X72" s="148"/>
      <c r="Y72" s="148"/>
      <c r="Z72" s="148"/>
      <c r="AB72" s="148"/>
      <c r="AC72" s="511">
        <f>$N$23</f>
        <v>0.21875</v>
      </c>
      <c r="AD72" s="511">
        <f ca="1">IF($AC$72&lt;=$M$68,IF($AD$45&gt;2,"ERROR",IF($AC$72&gt;3,"ERROR",FORECAST($AC$72,OFFSET($AD$45,$AD$41,0):OFFSET($AD$45,$AD$41+1,0),OFFSET($M$45,$AD$41,0):OFFSET($M$45,$AD$41+1,0)))),$AD$68)</f>
        <v>2.6240625</v>
      </c>
      <c r="AF72" s="405" t="s">
        <v>762</v>
      </c>
      <c r="AG72" s="406">
        <v>76.9</v>
      </c>
      <c r="AH72" s="407">
        <v>31.6</v>
      </c>
      <c r="AI72" s="408">
        <v>0.93</v>
      </c>
      <c r="AJ72" s="407">
        <v>15.2</v>
      </c>
      <c r="AK72" s="409">
        <v>1.65</v>
      </c>
      <c r="AL72" s="410">
        <v>2.44</v>
      </c>
      <c r="AN72" s="50"/>
      <c r="AO72" s="100"/>
    </row>
    <row r="73" spans="1:41" ht="12.75">
      <c r="A73" s="443" t="s">
        <v>413</v>
      </c>
      <c r="B73" s="179">
        <f t="shared" si="24"/>
        <v>2.5</v>
      </c>
      <c r="C73" s="113" t="s">
        <v>268</v>
      </c>
      <c r="D73" s="441" t="str">
        <f t="shared" si="25"/>
        <v>kL = Lb-s  (horizontal width of "C-shaped" weld)</v>
      </c>
      <c r="E73" s="10"/>
      <c r="F73" s="10"/>
      <c r="G73" s="10"/>
      <c r="H73" s="10"/>
      <c r="I73" s="389"/>
      <c r="K73" s="61"/>
      <c r="AF73" s="405" t="s">
        <v>763</v>
      </c>
      <c r="AG73" s="406">
        <v>69.2</v>
      </c>
      <c r="AH73" s="407">
        <v>31.3</v>
      </c>
      <c r="AI73" s="408">
        <v>0.83</v>
      </c>
      <c r="AJ73" s="407">
        <v>15.1</v>
      </c>
      <c r="AK73" s="409">
        <v>1.5</v>
      </c>
      <c r="AL73" s="410">
        <v>2.29</v>
      </c>
      <c r="AN73" s="50"/>
      <c r="AO73" s="100"/>
    </row>
    <row r="74" spans="1:41" ht="12.75">
      <c r="A74" s="443" t="s">
        <v>519</v>
      </c>
      <c r="B74" s="175">
        <f t="shared" si="24"/>
        <v>0.03125</v>
      </c>
      <c r="C74" s="10"/>
      <c r="D74" s="449" t="str">
        <f t="shared" si="25"/>
        <v>x = "x" coefficient interpolated from AISC Table 8-8, pages 8-90 through 8-95)</v>
      </c>
      <c r="E74" s="10"/>
      <c r="F74" s="10"/>
      <c r="G74" s="10"/>
      <c r="H74" s="10"/>
      <c r="I74" s="389"/>
      <c r="M74" s="141" t="s">
        <v>525</v>
      </c>
      <c r="N74" s="463"/>
      <c r="O74" s="107"/>
      <c r="P74" s="463"/>
      <c r="Q74" s="463"/>
      <c r="R74" s="143"/>
      <c r="S74" s="143"/>
      <c r="T74" s="143"/>
      <c r="U74" s="142"/>
      <c r="V74" s="143"/>
      <c r="W74" s="143"/>
      <c r="X74" s="143"/>
      <c r="Y74" s="143"/>
      <c r="Z74" s="144"/>
      <c r="AA74" s="143"/>
      <c r="AB74" s="143"/>
      <c r="AC74" s="144"/>
      <c r="AF74" s="405" t="s">
        <v>764</v>
      </c>
      <c r="AG74" s="406">
        <v>62.2</v>
      </c>
      <c r="AH74" s="407">
        <v>30.9</v>
      </c>
      <c r="AI74" s="408">
        <v>0.775</v>
      </c>
      <c r="AJ74" s="407">
        <v>15.1</v>
      </c>
      <c r="AK74" s="409">
        <v>1.32</v>
      </c>
      <c r="AL74" s="410">
        <v>2.1</v>
      </c>
      <c r="AN74" s="50"/>
      <c r="AO74" s="100"/>
    </row>
    <row r="75" spans="1:41" ht="12.75">
      <c r="A75" s="443" t="s">
        <v>469</v>
      </c>
      <c r="B75" s="179">
        <f t="shared" si="24"/>
        <v>2.625</v>
      </c>
      <c r="C75" s="113" t="s">
        <v>268</v>
      </c>
      <c r="D75" s="441" t="str">
        <f t="shared" si="25"/>
        <v>aL = Lb-(x*L)  (eccentricity of shear reaction, R, to C.G. of weld)</v>
      </c>
      <c r="E75" s="10"/>
      <c r="F75" s="10"/>
      <c r="G75" s="10"/>
      <c r="H75" s="10"/>
      <c r="I75" s="389"/>
      <c r="M75" s="464"/>
      <c r="N75" s="141" t="s">
        <v>323</v>
      </c>
      <c r="O75" s="107"/>
      <c r="P75" s="143"/>
      <c r="Q75" s="143"/>
      <c r="R75" s="143"/>
      <c r="S75" s="143"/>
      <c r="T75" s="465"/>
      <c r="U75" s="143"/>
      <c r="V75" s="143"/>
      <c r="W75" s="143"/>
      <c r="X75" s="143"/>
      <c r="Y75" s="156"/>
      <c r="Z75" s="144"/>
      <c r="AA75" s="143"/>
      <c r="AB75" s="156"/>
      <c r="AC75" s="144"/>
      <c r="AF75" s="405" t="s">
        <v>765</v>
      </c>
      <c r="AG75" s="406">
        <v>56.3</v>
      </c>
      <c r="AH75" s="407">
        <v>30.7</v>
      </c>
      <c r="AI75" s="408">
        <v>0.71</v>
      </c>
      <c r="AJ75" s="407">
        <v>15</v>
      </c>
      <c r="AK75" s="409">
        <v>1.19</v>
      </c>
      <c r="AL75" s="410">
        <v>1.97</v>
      </c>
      <c r="AN75" s="50"/>
      <c r="AO75" s="100"/>
    </row>
    <row r="76" spans="1:38" ht="12.75">
      <c r="A76" s="443" t="s">
        <v>1032</v>
      </c>
      <c r="B76" s="179">
        <f t="shared" si="24"/>
        <v>0.21875</v>
      </c>
      <c r="C76" s="10"/>
      <c r="D76" s="441" t="str">
        <f t="shared" si="25"/>
        <v>a = (aL)/L</v>
      </c>
      <c r="E76" s="10"/>
      <c r="F76" s="10"/>
      <c r="G76" s="10"/>
      <c r="H76" s="10"/>
      <c r="I76" s="389"/>
      <c r="L76" s="43"/>
      <c r="M76" s="467" t="s">
        <v>18</v>
      </c>
      <c r="N76" s="468">
        <v>0</v>
      </c>
      <c r="O76" s="140">
        <v>0.1</v>
      </c>
      <c r="P76" s="140">
        <v>0.2</v>
      </c>
      <c r="Q76" s="469">
        <v>0.3</v>
      </c>
      <c r="R76" s="140">
        <v>0.4</v>
      </c>
      <c r="S76" s="469">
        <v>0.5</v>
      </c>
      <c r="T76" s="140">
        <v>0.6</v>
      </c>
      <c r="U76" s="469">
        <v>0.7</v>
      </c>
      <c r="V76" s="140">
        <v>0.8</v>
      </c>
      <c r="W76" s="469">
        <v>0.9</v>
      </c>
      <c r="X76" s="140">
        <v>1</v>
      </c>
      <c r="Y76" s="469">
        <v>1.2</v>
      </c>
      <c r="Z76" s="140">
        <v>1.4</v>
      </c>
      <c r="AA76" s="140">
        <v>1.6</v>
      </c>
      <c r="AB76" s="469">
        <v>1.8</v>
      </c>
      <c r="AC76" s="140">
        <v>2</v>
      </c>
      <c r="AF76" s="405" t="s">
        <v>766</v>
      </c>
      <c r="AG76" s="406">
        <v>51</v>
      </c>
      <c r="AH76" s="407">
        <v>30.4</v>
      </c>
      <c r="AI76" s="408">
        <v>0.655</v>
      </c>
      <c r="AJ76" s="407">
        <v>15</v>
      </c>
      <c r="AK76" s="409">
        <v>1.07</v>
      </c>
      <c r="AL76" s="410">
        <v>1.85</v>
      </c>
    </row>
    <row r="77" spans="1:41" ht="12.75">
      <c r="A77" s="443" t="s">
        <v>460</v>
      </c>
      <c r="B77" s="179">
        <f t="shared" si="24"/>
        <v>0.20833333333333334</v>
      </c>
      <c r="C77" s="10"/>
      <c r="D77" s="441" t="str">
        <f t="shared" si="25"/>
        <v>k = (kL)/L</v>
      </c>
      <c r="E77" s="10"/>
      <c r="F77" s="10"/>
      <c r="G77" s="10"/>
      <c r="H77" s="10"/>
      <c r="I77" s="389"/>
      <c r="M77" s="471">
        <v>0</v>
      </c>
      <c r="N77" s="472">
        <v>1.53</v>
      </c>
      <c r="O77" s="473">
        <v>2.09</v>
      </c>
      <c r="P77" s="474">
        <v>2.64</v>
      </c>
      <c r="Q77" s="318">
        <v>3.2</v>
      </c>
      <c r="R77" s="474">
        <v>3.76</v>
      </c>
      <c r="S77" s="474">
        <v>4.32</v>
      </c>
      <c r="T77" s="474">
        <v>4.87</v>
      </c>
      <c r="U77" s="474">
        <v>5.43</v>
      </c>
      <c r="V77" s="474">
        <v>5.99</v>
      </c>
      <c r="W77" s="474">
        <v>6.54</v>
      </c>
      <c r="X77" s="318">
        <v>7.1</v>
      </c>
      <c r="Y77" s="474">
        <v>8.21</v>
      </c>
      <c r="Z77" s="475">
        <v>9.33</v>
      </c>
      <c r="AA77" s="474">
        <v>10.4</v>
      </c>
      <c r="AB77" s="474">
        <v>11.6</v>
      </c>
      <c r="AC77" s="476">
        <v>12.7</v>
      </c>
      <c r="AF77" s="405" t="s">
        <v>767</v>
      </c>
      <c r="AG77" s="406">
        <v>43.5</v>
      </c>
      <c r="AH77" s="407">
        <v>30.7</v>
      </c>
      <c r="AI77" s="408">
        <v>0.65</v>
      </c>
      <c r="AJ77" s="407">
        <v>10.5</v>
      </c>
      <c r="AK77" s="409">
        <v>1.18</v>
      </c>
      <c r="AL77" s="410">
        <v>1.83</v>
      </c>
      <c r="AN77" s="50"/>
      <c r="AO77" s="100"/>
    </row>
    <row r="78" spans="1:41" ht="12.75">
      <c r="A78" s="443" t="s">
        <v>381</v>
      </c>
      <c r="B78" s="179">
        <f t="shared" si="24"/>
        <v>1</v>
      </c>
      <c r="C78" s="10"/>
      <c r="D78" s="441" t="str">
        <f t="shared" si="25"/>
        <v>C1 = 1.0 for E70XX electrode</v>
      </c>
      <c r="E78" s="10"/>
      <c r="F78" s="10"/>
      <c r="G78" s="10"/>
      <c r="H78" s="10"/>
      <c r="I78" s="389"/>
      <c r="M78" s="477">
        <v>0.1</v>
      </c>
      <c r="N78" s="478">
        <v>1.86</v>
      </c>
      <c r="O78" s="479">
        <v>2.28</v>
      </c>
      <c r="P78" s="480">
        <v>2.78</v>
      </c>
      <c r="Q78" s="320">
        <v>3.3</v>
      </c>
      <c r="R78" s="480">
        <v>3.84</v>
      </c>
      <c r="S78" s="480">
        <v>4.37</v>
      </c>
      <c r="T78" s="480">
        <v>4.92</v>
      </c>
      <c r="U78" s="480">
        <v>5.46</v>
      </c>
      <c r="V78" s="480">
        <v>6.01</v>
      </c>
      <c r="W78" s="480">
        <v>6.56</v>
      </c>
      <c r="X78" s="480">
        <v>7.11</v>
      </c>
      <c r="Y78" s="480">
        <v>8.21</v>
      </c>
      <c r="Z78" s="481">
        <v>9.32</v>
      </c>
      <c r="AA78" s="480">
        <v>10.4</v>
      </c>
      <c r="AB78" s="480">
        <v>11.5</v>
      </c>
      <c r="AC78" s="482">
        <v>12.6</v>
      </c>
      <c r="AF78" s="405" t="s">
        <v>768</v>
      </c>
      <c r="AG78" s="406">
        <v>38.9</v>
      </c>
      <c r="AH78" s="407">
        <v>30.3</v>
      </c>
      <c r="AI78" s="408">
        <v>0.615</v>
      </c>
      <c r="AJ78" s="407">
        <v>10.5</v>
      </c>
      <c r="AK78" s="409">
        <v>1</v>
      </c>
      <c r="AL78" s="410">
        <v>1.65</v>
      </c>
      <c r="AN78" s="50"/>
      <c r="AO78" s="100"/>
    </row>
    <row r="79" spans="1:41" ht="12.75">
      <c r="A79" s="443" t="s">
        <v>19</v>
      </c>
      <c r="B79" s="179">
        <f t="shared" si="24"/>
        <v>2.6240625</v>
      </c>
      <c r="C79" s="10"/>
      <c r="D79" s="449" t="str">
        <f t="shared" si="25"/>
        <v>C = "C" coefficient interpolated from AISC Table 8-8, pages 8-90 through 8-95)</v>
      </c>
      <c r="E79" s="10"/>
      <c r="F79" s="10"/>
      <c r="G79" s="10"/>
      <c r="H79" s="10"/>
      <c r="I79" s="389"/>
      <c r="M79" s="483">
        <v>0.15</v>
      </c>
      <c r="N79" s="478">
        <v>1.83</v>
      </c>
      <c r="O79" s="479">
        <v>2.25</v>
      </c>
      <c r="P79" s="480">
        <v>2.73</v>
      </c>
      <c r="Q79" s="480">
        <v>3.23</v>
      </c>
      <c r="R79" s="480">
        <v>3.75</v>
      </c>
      <c r="S79" s="480">
        <v>4.27</v>
      </c>
      <c r="T79" s="320">
        <v>4.8</v>
      </c>
      <c r="U79" s="480">
        <v>5.33</v>
      </c>
      <c r="V79" s="480">
        <v>5.87</v>
      </c>
      <c r="W79" s="320">
        <v>6.4</v>
      </c>
      <c r="X79" s="480">
        <v>6.94</v>
      </c>
      <c r="Y79" s="480">
        <v>8.02</v>
      </c>
      <c r="Z79" s="481">
        <v>9.12</v>
      </c>
      <c r="AA79" s="480">
        <v>10.2</v>
      </c>
      <c r="AB79" s="480">
        <v>11.3</v>
      </c>
      <c r="AC79" s="482">
        <v>12.4</v>
      </c>
      <c r="AF79" s="405" t="s">
        <v>769</v>
      </c>
      <c r="AG79" s="406">
        <v>36.5</v>
      </c>
      <c r="AH79" s="407">
        <v>30.2</v>
      </c>
      <c r="AI79" s="408">
        <v>0.585</v>
      </c>
      <c r="AJ79" s="407">
        <v>10.5</v>
      </c>
      <c r="AK79" s="408">
        <v>0.93</v>
      </c>
      <c r="AL79" s="410">
        <v>1.58</v>
      </c>
      <c r="AN79" s="50"/>
      <c r="AO79" s="100"/>
    </row>
    <row r="80" spans="1:41" ht="12.75">
      <c r="A80" s="77" t="s">
        <v>32</v>
      </c>
      <c r="B80" s="179">
        <f t="shared" si="24"/>
        <v>40.311288741492746</v>
      </c>
      <c r="C80" s="113" t="s">
        <v>237</v>
      </c>
      <c r="D80" s="441" t="str">
        <f t="shared" si="25"/>
        <v>Pr = SQRT(R^2+P^2)  (total resultant load taken by 2 "C" welds)</v>
      </c>
      <c r="E80" s="55"/>
      <c r="F80" s="10"/>
      <c r="G80" s="10"/>
      <c r="H80" s="10"/>
      <c r="I80" s="389"/>
      <c r="M80" s="483">
        <v>0.2</v>
      </c>
      <c r="N80" s="478">
        <v>1.76</v>
      </c>
      <c r="O80" s="479">
        <v>2.18</v>
      </c>
      <c r="P80" s="480">
        <v>2.63</v>
      </c>
      <c r="Q80" s="480">
        <v>3.11</v>
      </c>
      <c r="R80" s="320">
        <v>3.6</v>
      </c>
      <c r="S80" s="480">
        <v>4.1</v>
      </c>
      <c r="T80" s="480">
        <v>4.61</v>
      </c>
      <c r="U80" s="480">
        <v>5.13</v>
      </c>
      <c r="V80" s="480">
        <v>5.64</v>
      </c>
      <c r="W80" s="480">
        <v>6.16</v>
      </c>
      <c r="X80" s="480">
        <v>6.65</v>
      </c>
      <c r="Y80" s="480">
        <v>7.73</v>
      </c>
      <c r="Z80" s="481">
        <v>8.78</v>
      </c>
      <c r="AA80" s="480">
        <v>9.83</v>
      </c>
      <c r="AB80" s="480">
        <v>10.9</v>
      </c>
      <c r="AC80" s="484">
        <v>12</v>
      </c>
      <c r="AF80" s="405" t="s">
        <v>770</v>
      </c>
      <c r="AG80" s="406">
        <v>34.2</v>
      </c>
      <c r="AH80" s="407">
        <v>30</v>
      </c>
      <c r="AI80" s="408">
        <v>0.565</v>
      </c>
      <c r="AJ80" s="407">
        <v>10.5</v>
      </c>
      <c r="AK80" s="408">
        <v>0.85</v>
      </c>
      <c r="AL80" s="410">
        <v>1.5</v>
      </c>
      <c r="AN80" s="50"/>
      <c r="AO80" s="100"/>
    </row>
    <row r="81" spans="1:41" ht="12.75">
      <c r="A81" s="81" t="s">
        <v>50</v>
      </c>
      <c r="B81" s="179">
        <f>$N$28</f>
        <v>7.125016348901795</v>
      </c>
      <c r="C81" s="113" t="s">
        <v>269</v>
      </c>
      <c r="D81" s="96" t="s">
        <v>364</v>
      </c>
      <c r="E81" s="55"/>
      <c r="F81" s="10"/>
      <c r="G81" s="10"/>
      <c r="H81" s="10"/>
      <c r="I81" s="389"/>
      <c r="M81" s="483">
        <v>0.25</v>
      </c>
      <c r="N81" s="478">
        <v>1.66</v>
      </c>
      <c r="O81" s="479">
        <v>2.07</v>
      </c>
      <c r="P81" s="480">
        <v>2.51</v>
      </c>
      <c r="Q81" s="480">
        <v>2.96</v>
      </c>
      <c r="R81" s="480">
        <v>3.42</v>
      </c>
      <c r="S81" s="480">
        <v>3.9</v>
      </c>
      <c r="T81" s="480">
        <v>4.38</v>
      </c>
      <c r="U81" s="480">
        <v>4.87</v>
      </c>
      <c r="V81" s="480">
        <v>5.37</v>
      </c>
      <c r="W81" s="480">
        <v>5.86</v>
      </c>
      <c r="X81" s="480">
        <v>6.36</v>
      </c>
      <c r="Y81" s="480">
        <v>7.37</v>
      </c>
      <c r="Z81" s="481">
        <v>8.39</v>
      </c>
      <c r="AA81" s="480">
        <v>9.42</v>
      </c>
      <c r="AB81" s="480">
        <v>10.5</v>
      </c>
      <c r="AC81" s="482">
        <v>11.5</v>
      </c>
      <c r="AF81" s="405" t="s">
        <v>771</v>
      </c>
      <c r="AG81" s="406">
        <v>31.7</v>
      </c>
      <c r="AH81" s="407">
        <v>29.8</v>
      </c>
      <c r="AI81" s="408">
        <v>0.545</v>
      </c>
      <c r="AJ81" s="407">
        <v>10.5</v>
      </c>
      <c r="AK81" s="408">
        <v>0.76</v>
      </c>
      <c r="AL81" s="410">
        <v>1.41</v>
      </c>
      <c r="AN81" s="50"/>
      <c r="AO81" s="100"/>
    </row>
    <row r="82" spans="1:41" ht="12.75">
      <c r="A82" s="525" t="s">
        <v>517</v>
      </c>
      <c r="B82" s="179">
        <f>$N$29</f>
        <v>0</v>
      </c>
      <c r="C82" s="10"/>
      <c r="D82" s="526" t="s">
        <v>542</v>
      </c>
      <c r="E82" s="10"/>
      <c r="F82" s="10"/>
      <c r="G82" s="10"/>
      <c r="H82" s="10"/>
      <c r="I82" s="389"/>
      <c r="M82" s="483">
        <v>0.3</v>
      </c>
      <c r="N82" s="478">
        <v>1.55</v>
      </c>
      <c r="O82" s="479">
        <v>1.95</v>
      </c>
      <c r="P82" s="480">
        <v>2.36</v>
      </c>
      <c r="Q82" s="480">
        <v>2.79</v>
      </c>
      <c r="R82" s="480">
        <v>3.23</v>
      </c>
      <c r="S82" s="480">
        <v>3.68</v>
      </c>
      <c r="T82" s="480">
        <v>4.14</v>
      </c>
      <c r="U82" s="320">
        <v>4.6</v>
      </c>
      <c r="V82" s="480">
        <v>5.07</v>
      </c>
      <c r="W82" s="480">
        <v>5.55</v>
      </c>
      <c r="X82" s="480">
        <v>6.03</v>
      </c>
      <c r="Y82" s="480">
        <v>7.01</v>
      </c>
      <c r="Z82" s="485">
        <v>8</v>
      </c>
      <c r="AA82" s="320">
        <v>9</v>
      </c>
      <c r="AB82" s="486">
        <v>10</v>
      </c>
      <c r="AC82" s="484">
        <v>11</v>
      </c>
      <c r="AF82" s="405" t="s">
        <v>772</v>
      </c>
      <c r="AG82" s="406">
        <v>29.1</v>
      </c>
      <c r="AH82" s="407">
        <v>29.7</v>
      </c>
      <c r="AI82" s="408">
        <v>0.52</v>
      </c>
      <c r="AJ82" s="407">
        <v>10.5</v>
      </c>
      <c r="AK82" s="408">
        <v>0.67</v>
      </c>
      <c r="AL82" s="410">
        <v>1.32</v>
      </c>
      <c r="AN82" s="50"/>
      <c r="AO82" s="100"/>
    </row>
    <row r="83" spans="1:41" ht="12.75">
      <c r="A83" s="81" t="s">
        <v>362</v>
      </c>
      <c r="B83" s="176">
        <f>$N$30</f>
        <v>0.08001129121807937</v>
      </c>
      <c r="C83" s="113" t="s">
        <v>393</v>
      </c>
      <c r="D83" s="82" t="s">
        <v>362</v>
      </c>
      <c r="E83" s="52" t="s">
        <v>491</v>
      </c>
      <c r="F83" s="10"/>
      <c r="G83" s="10"/>
      <c r="H83" s="10"/>
      <c r="I83" s="389"/>
      <c r="M83" s="483">
        <v>0.4</v>
      </c>
      <c r="N83" s="478">
        <v>1.33</v>
      </c>
      <c r="O83" s="479">
        <v>1.69</v>
      </c>
      <c r="P83" s="480">
        <v>2.07</v>
      </c>
      <c r="Q83" s="480">
        <v>2.45</v>
      </c>
      <c r="R83" s="480">
        <v>2.84</v>
      </c>
      <c r="S83" s="480">
        <v>3.24</v>
      </c>
      <c r="T83" s="480">
        <v>3.65</v>
      </c>
      <c r="U83" s="480">
        <v>4.07</v>
      </c>
      <c r="V83" s="320">
        <v>4.5</v>
      </c>
      <c r="W83" s="480">
        <v>4.94</v>
      </c>
      <c r="X83" s="480">
        <v>5.39</v>
      </c>
      <c r="Y83" s="320">
        <v>6.3</v>
      </c>
      <c r="Z83" s="481">
        <v>7.24</v>
      </c>
      <c r="AA83" s="480">
        <v>8.19</v>
      </c>
      <c r="AB83" s="480">
        <v>9.16</v>
      </c>
      <c r="AC83" s="482">
        <v>10.1</v>
      </c>
      <c r="AF83" s="405" t="s">
        <v>773</v>
      </c>
      <c r="AG83" s="406">
        <v>26.4</v>
      </c>
      <c r="AH83" s="407">
        <v>29.5</v>
      </c>
      <c r="AI83" s="408">
        <v>0.47</v>
      </c>
      <c r="AJ83" s="407">
        <v>10.4</v>
      </c>
      <c r="AK83" s="408">
        <v>0.61</v>
      </c>
      <c r="AL83" s="410">
        <v>1.26</v>
      </c>
      <c r="AN83" s="50"/>
      <c r="AO83" s="100"/>
    </row>
    <row r="84" spans="1:41" ht="12.75">
      <c r="A84" s="81" t="s">
        <v>21</v>
      </c>
      <c r="B84" s="437">
        <f>$N$31</f>
        <v>0.1875</v>
      </c>
      <c r="C84" s="113" t="s">
        <v>268</v>
      </c>
      <c r="D84" s="82" t="s">
        <v>0</v>
      </c>
      <c r="E84" s="10"/>
      <c r="F84" s="10"/>
      <c r="G84" s="10"/>
      <c r="H84" s="10"/>
      <c r="I84" s="389"/>
      <c r="M84" s="483">
        <v>0.5</v>
      </c>
      <c r="N84" s="478">
        <v>1.15</v>
      </c>
      <c r="O84" s="479">
        <v>1.46</v>
      </c>
      <c r="P84" s="480">
        <v>1.79</v>
      </c>
      <c r="Q84" s="480">
        <v>2.14</v>
      </c>
      <c r="R84" s="480">
        <v>2.49</v>
      </c>
      <c r="S84" s="480">
        <v>2.85</v>
      </c>
      <c r="T84" s="480">
        <v>3.22</v>
      </c>
      <c r="U84" s="320">
        <v>3.6</v>
      </c>
      <c r="V84" s="320">
        <v>4</v>
      </c>
      <c r="W84" s="320">
        <v>4.4</v>
      </c>
      <c r="X84" s="480">
        <v>4.81</v>
      </c>
      <c r="Y84" s="480">
        <v>5.67</v>
      </c>
      <c r="Z84" s="481">
        <v>6.56</v>
      </c>
      <c r="AA84" s="480">
        <v>7.47</v>
      </c>
      <c r="AB84" s="320">
        <v>8.4</v>
      </c>
      <c r="AC84" s="482">
        <v>9.35</v>
      </c>
      <c r="AF84" s="405" t="s">
        <v>774</v>
      </c>
      <c r="AG84" s="411">
        <v>159</v>
      </c>
      <c r="AH84" s="407">
        <v>32.5</v>
      </c>
      <c r="AI84" s="409">
        <v>1.97</v>
      </c>
      <c r="AJ84" s="407">
        <v>15.3</v>
      </c>
      <c r="AK84" s="409">
        <v>3.54</v>
      </c>
      <c r="AL84" s="410">
        <v>4.33</v>
      </c>
      <c r="AN84" s="50"/>
      <c r="AO84" s="100"/>
    </row>
    <row r="85" spans="1:38" ht="12.75">
      <c r="A85" s="77" t="s">
        <v>427</v>
      </c>
      <c r="B85" s="179">
        <f>$N$32</f>
        <v>125.955</v>
      </c>
      <c r="C85" s="113" t="s">
        <v>237</v>
      </c>
      <c r="D85" s="63" t="s">
        <v>492</v>
      </c>
      <c r="E85" s="55"/>
      <c r="F85" s="10"/>
      <c r="G85" s="10"/>
      <c r="H85" s="10"/>
      <c r="I85" s="389"/>
      <c r="M85" s="483">
        <v>0.6</v>
      </c>
      <c r="N85" s="478">
        <v>0.997</v>
      </c>
      <c r="O85" s="479">
        <v>1.27</v>
      </c>
      <c r="P85" s="480">
        <v>1.57</v>
      </c>
      <c r="Q85" s="480">
        <v>1.88</v>
      </c>
      <c r="R85" s="480">
        <v>2.19</v>
      </c>
      <c r="S85" s="480">
        <v>2.52</v>
      </c>
      <c r="T85" s="480">
        <v>2.85</v>
      </c>
      <c r="U85" s="320">
        <v>3.2</v>
      </c>
      <c r="V85" s="480">
        <v>3.56</v>
      </c>
      <c r="W85" s="480">
        <v>3.94</v>
      </c>
      <c r="X85" s="480">
        <v>4.32</v>
      </c>
      <c r="Y85" s="480">
        <v>5.13</v>
      </c>
      <c r="Z85" s="481">
        <v>5.97</v>
      </c>
      <c r="AA85" s="480">
        <v>6.84</v>
      </c>
      <c r="AB85" s="480">
        <v>7.73</v>
      </c>
      <c r="AC85" s="482">
        <v>8.65</v>
      </c>
      <c r="AF85" s="405" t="s">
        <v>775</v>
      </c>
      <c r="AG85" s="411">
        <v>108</v>
      </c>
      <c r="AH85" s="407">
        <v>30.4</v>
      </c>
      <c r="AI85" s="409">
        <v>1.38</v>
      </c>
      <c r="AJ85" s="407">
        <v>14.7</v>
      </c>
      <c r="AK85" s="409">
        <v>2.48</v>
      </c>
      <c r="AL85" s="410">
        <v>3.27</v>
      </c>
    </row>
    <row r="86" spans="1:38" ht="12.75">
      <c r="A86" s="443" t="s">
        <v>625</v>
      </c>
      <c r="B86" s="435">
        <f>$N$33</f>
        <v>0.3809230769230769</v>
      </c>
      <c r="C86" s="113" t="s">
        <v>268</v>
      </c>
      <c r="D86" s="459" t="s">
        <v>1179</v>
      </c>
      <c r="E86" s="10"/>
      <c r="F86" s="10"/>
      <c r="G86" s="59"/>
      <c r="H86" s="10"/>
      <c r="I86" s="389"/>
      <c r="M86" s="483">
        <v>0.7</v>
      </c>
      <c r="N86" s="478">
        <v>0.879</v>
      </c>
      <c r="O86" s="479">
        <v>1.12</v>
      </c>
      <c r="P86" s="480">
        <v>1.38</v>
      </c>
      <c r="Q86" s="480">
        <v>1.66</v>
      </c>
      <c r="R86" s="480">
        <v>1.95</v>
      </c>
      <c r="S86" s="480">
        <v>2.24</v>
      </c>
      <c r="T86" s="480">
        <v>2.55</v>
      </c>
      <c r="U86" s="480">
        <v>2.87</v>
      </c>
      <c r="V86" s="320">
        <v>3.2</v>
      </c>
      <c r="W86" s="480">
        <v>3.55</v>
      </c>
      <c r="X86" s="480">
        <v>3.91</v>
      </c>
      <c r="Y86" s="480">
        <v>4.66</v>
      </c>
      <c r="Z86" s="481">
        <v>5.46</v>
      </c>
      <c r="AA86" s="480">
        <v>6.29</v>
      </c>
      <c r="AB86" s="480">
        <v>7.15</v>
      </c>
      <c r="AC86" s="482">
        <v>8.04</v>
      </c>
      <c r="AF86" s="405" t="s">
        <v>776</v>
      </c>
      <c r="AG86" s="406">
        <v>98.9</v>
      </c>
      <c r="AH86" s="407">
        <v>30</v>
      </c>
      <c r="AI86" s="409">
        <v>1.26</v>
      </c>
      <c r="AJ86" s="407">
        <v>14.6</v>
      </c>
      <c r="AK86" s="409">
        <v>2.28</v>
      </c>
      <c r="AL86" s="410">
        <v>3.07</v>
      </c>
    </row>
    <row r="87" spans="1:38" ht="12.75">
      <c r="A87" s="443" t="s">
        <v>648</v>
      </c>
      <c r="B87" s="179" t="str">
        <f>$N$34</f>
        <v>Yes</v>
      </c>
      <c r="C87" s="10"/>
      <c r="D87" s="441" t="str">
        <f>P34</f>
        <v>Is tmin &gt; twb?  If so, Rwr' = Rwr* twb / tmin.  If not, Rwr' = Rwr</v>
      </c>
      <c r="E87" s="10"/>
      <c r="F87" s="10"/>
      <c r="G87" s="10"/>
      <c r="H87" s="10"/>
      <c r="I87" s="389"/>
      <c r="L87" s="43"/>
      <c r="M87" s="483">
        <v>0.8</v>
      </c>
      <c r="N87" s="478">
        <v>0.781</v>
      </c>
      <c r="O87" s="479">
        <v>0.995</v>
      </c>
      <c r="P87" s="480">
        <v>1.23</v>
      </c>
      <c r="Q87" s="480">
        <v>1.48</v>
      </c>
      <c r="R87" s="480">
        <v>1.75</v>
      </c>
      <c r="S87" s="480">
        <v>2.02</v>
      </c>
      <c r="T87" s="320">
        <v>2.3</v>
      </c>
      <c r="U87" s="480">
        <v>2.59</v>
      </c>
      <c r="V87" s="320">
        <v>2.9</v>
      </c>
      <c r="W87" s="480">
        <v>3.22</v>
      </c>
      <c r="X87" s="480">
        <v>3.56</v>
      </c>
      <c r="Y87" s="480">
        <v>4.27</v>
      </c>
      <c r="Z87" s="481">
        <v>5.02</v>
      </c>
      <c r="AA87" s="480">
        <v>5.81</v>
      </c>
      <c r="AB87" s="480">
        <v>6.64</v>
      </c>
      <c r="AC87" s="321">
        <v>7.5</v>
      </c>
      <c r="AF87" s="405" t="s">
        <v>777</v>
      </c>
      <c r="AG87" s="406">
        <v>90.4</v>
      </c>
      <c r="AH87" s="407">
        <v>29.6</v>
      </c>
      <c r="AI87" s="409">
        <v>1.16</v>
      </c>
      <c r="AJ87" s="407">
        <v>14.4</v>
      </c>
      <c r="AK87" s="409">
        <v>2.09</v>
      </c>
      <c r="AL87" s="410">
        <v>2.88</v>
      </c>
    </row>
    <row r="88" spans="1:38" ht="12.75">
      <c r="A88" s="443" t="s">
        <v>624</v>
      </c>
      <c r="B88" s="179">
        <f>$N$35</f>
        <v>117.38334511308562</v>
      </c>
      <c r="C88" s="113" t="s">
        <v>237</v>
      </c>
      <c r="D88" s="441" t="str">
        <f>P35</f>
        <v>Rwr' = Rwr*twb/tmin</v>
      </c>
      <c r="E88" s="10"/>
      <c r="F88" s="10"/>
      <c r="G88" s="10"/>
      <c r="H88" s="10"/>
      <c r="I88" s="389"/>
      <c r="M88" s="483">
        <v>0.9</v>
      </c>
      <c r="N88" s="478">
        <v>0.709</v>
      </c>
      <c r="O88" s="479">
        <v>0.895</v>
      </c>
      <c r="P88" s="480">
        <v>1.11</v>
      </c>
      <c r="Q88" s="480">
        <v>1.33</v>
      </c>
      <c r="R88" s="480">
        <v>1.58</v>
      </c>
      <c r="S88" s="480">
        <v>1.83</v>
      </c>
      <c r="T88" s="480">
        <v>2.09</v>
      </c>
      <c r="U88" s="480">
        <v>2.36</v>
      </c>
      <c r="V88" s="480">
        <v>2.64</v>
      </c>
      <c r="W88" s="480">
        <v>2.94</v>
      </c>
      <c r="X88" s="480">
        <v>3.26</v>
      </c>
      <c r="Y88" s="480">
        <v>3.93</v>
      </c>
      <c r="Z88" s="481">
        <v>4.64</v>
      </c>
      <c r="AA88" s="320">
        <v>5.4</v>
      </c>
      <c r="AB88" s="480">
        <v>6.18</v>
      </c>
      <c r="AC88" s="321">
        <v>7</v>
      </c>
      <c r="AF88" s="405" t="s">
        <v>778</v>
      </c>
      <c r="AG88" s="406">
        <v>82.9</v>
      </c>
      <c r="AH88" s="407">
        <v>29.3</v>
      </c>
      <c r="AI88" s="409">
        <v>1.06</v>
      </c>
      <c r="AJ88" s="407">
        <v>14.4</v>
      </c>
      <c r="AK88" s="409">
        <v>1.93</v>
      </c>
      <c r="AL88" s="410">
        <v>2.72</v>
      </c>
    </row>
    <row r="89" spans="1:41" ht="12.75">
      <c r="A89" s="443" t="s">
        <v>428</v>
      </c>
      <c r="B89" s="179">
        <f>$N$36</f>
        <v>116.47689645036027</v>
      </c>
      <c r="C89" s="113" t="s">
        <v>237</v>
      </c>
      <c r="D89" s="455" t="s">
        <v>637</v>
      </c>
      <c r="E89" s="10"/>
      <c r="F89" s="10"/>
      <c r="G89" s="10"/>
      <c r="H89" s="10"/>
      <c r="I89" s="389" t="str">
        <f>IF($D$16&gt;0,IF($B$89&gt;=$D$16,"Rwv &gt;= R,  O.K.  ","Rwv &lt; R, N.G.  "),"")</f>
        <v>Rwv &gt;= R,  O.K.  </v>
      </c>
      <c r="M89" s="487">
        <v>1</v>
      </c>
      <c r="N89" s="478">
        <v>0.637</v>
      </c>
      <c r="O89" s="479">
        <v>0.712</v>
      </c>
      <c r="P89" s="320">
        <v>1</v>
      </c>
      <c r="Q89" s="480">
        <v>1.21</v>
      </c>
      <c r="R89" s="480">
        <v>1.44</v>
      </c>
      <c r="S89" s="480">
        <v>1.67</v>
      </c>
      <c r="T89" s="480">
        <v>1.91</v>
      </c>
      <c r="U89" s="480">
        <v>2.16</v>
      </c>
      <c r="V89" s="480">
        <v>2.43</v>
      </c>
      <c r="W89" s="480">
        <v>2.71</v>
      </c>
      <c r="X89" s="480">
        <v>3.01</v>
      </c>
      <c r="Y89" s="480">
        <v>3.63</v>
      </c>
      <c r="Z89" s="481">
        <v>4.31</v>
      </c>
      <c r="AA89" s="480">
        <v>5.02</v>
      </c>
      <c r="AB89" s="480">
        <v>5.77</v>
      </c>
      <c r="AC89" s="482">
        <v>6.56</v>
      </c>
      <c r="AF89" s="405" t="s">
        <v>779</v>
      </c>
      <c r="AG89" s="406">
        <v>76</v>
      </c>
      <c r="AH89" s="407">
        <v>29</v>
      </c>
      <c r="AI89" s="408">
        <v>0.98</v>
      </c>
      <c r="AJ89" s="407">
        <v>14.3</v>
      </c>
      <c r="AK89" s="409">
        <v>1.77</v>
      </c>
      <c r="AL89" s="410">
        <v>2.56</v>
      </c>
      <c r="AN89" s="50" t="s">
        <v>388</v>
      </c>
      <c r="AO89" s="100">
        <f>IF($D$16&gt;0,$D$16/$B$89,"")</f>
        <v>0.34341574354230037</v>
      </c>
    </row>
    <row r="90" spans="1:41" ht="12.75">
      <c r="A90" s="443" t="s">
        <v>429</v>
      </c>
      <c r="B90" s="183">
        <f>$N$37</f>
        <v>14.55961205629503</v>
      </c>
      <c r="C90" s="113" t="s">
        <v>237</v>
      </c>
      <c r="D90" s="455" t="s">
        <v>638</v>
      </c>
      <c r="E90" s="10"/>
      <c r="F90" s="10"/>
      <c r="G90" s="10"/>
      <c r="H90" s="10"/>
      <c r="I90" s="389" t="str">
        <f>IF($D$17&gt;0,IF($B$90&gt;=$D$17,"Rwa &gt;= P,  O.K.  ","Rwa &lt; P, N.G.  "),"")</f>
        <v>Rwa &gt;= P,  O.K.  </v>
      </c>
      <c r="M90" s="487">
        <v>1.2</v>
      </c>
      <c r="N90" s="478">
        <v>0.537</v>
      </c>
      <c r="O90" s="479">
        <v>0.683</v>
      </c>
      <c r="P90" s="480">
        <v>0.844</v>
      </c>
      <c r="Q90" s="480">
        <v>1.02</v>
      </c>
      <c r="R90" s="480">
        <v>1.21</v>
      </c>
      <c r="S90" s="480">
        <v>1.42</v>
      </c>
      <c r="T90" s="480">
        <v>1.63</v>
      </c>
      <c r="U90" s="480">
        <v>1.85</v>
      </c>
      <c r="V90" s="480">
        <v>2.08</v>
      </c>
      <c r="W90" s="480">
        <v>2.33</v>
      </c>
      <c r="X90" s="480">
        <v>2.59</v>
      </c>
      <c r="Y90" s="480">
        <v>3.15</v>
      </c>
      <c r="Z90" s="481">
        <v>3.75</v>
      </c>
      <c r="AA90" s="480">
        <v>4.39</v>
      </c>
      <c r="AB90" s="480">
        <v>5.07</v>
      </c>
      <c r="AC90" s="482">
        <v>5.78</v>
      </c>
      <c r="AF90" s="405" t="s">
        <v>780</v>
      </c>
      <c r="AG90" s="406">
        <v>69.4</v>
      </c>
      <c r="AH90" s="407">
        <v>28.7</v>
      </c>
      <c r="AI90" s="408">
        <v>0.91</v>
      </c>
      <c r="AJ90" s="407">
        <v>14.2</v>
      </c>
      <c r="AK90" s="409">
        <v>1.61</v>
      </c>
      <c r="AL90" s="410">
        <v>2.4</v>
      </c>
      <c r="AN90" s="50" t="str">
        <f>IF(AO90="","N.A.","SR =")</f>
        <v>SR =</v>
      </c>
      <c r="AO90" s="100">
        <f>IF($D$17&gt;0,$D$17/$B$90,"")</f>
        <v>0.3434157435423005</v>
      </c>
    </row>
    <row r="91" spans="1:41" ht="12.75">
      <c r="A91" s="19"/>
      <c r="B91" s="10"/>
      <c r="C91" s="10"/>
      <c r="D91" s="10"/>
      <c r="E91" s="10"/>
      <c r="F91" s="10"/>
      <c r="G91" s="10"/>
      <c r="H91" s="10"/>
      <c r="I91" s="389" t="str">
        <f>IF($D$24&gt;=$B$83,"Weld(used) &gt;= weld(req'd), O.K.  ","Weld(used) &lt; weld(req'd), N.G.  ")</f>
        <v>Weld(used) &gt;= weld(req'd), O.K.  </v>
      </c>
      <c r="K91" s="42"/>
      <c r="L91" s="3"/>
      <c r="M91" s="487">
        <v>1.4</v>
      </c>
      <c r="N91" s="478">
        <v>0.464</v>
      </c>
      <c r="O91" s="479">
        <v>0.588</v>
      </c>
      <c r="P91" s="480">
        <v>0.728</v>
      </c>
      <c r="Q91" s="480">
        <v>0.881</v>
      </c>
      <c r="R91" s="480">
        <v>1.05</v>
      </c>
      <c r="S91" s="480">
        <v>1.23</v>
      </c>
      <c r="T91" s="480">
        <v>1.41</v>
      </c>
      <c r="U91" s="480">
        <v>1.61</v>
      </c>
      <c r="V91" s="480">
        <v>1.82</v>
      </c>
      <c r="W91" s="480">
        <v>2.04</v>
      </c>
      <c r="X91" s="480">
        <v>2.27</v>
      </c>
      <c r="Y91" s="480">
        <v>2.77</v>
      </c>
      <c r="Z91" s="481">
        <v>3.31</v>
      </c>
      <c r="AA91" s="480">
        <v>3.89</v>
      </c>
      <c r="AB91" s="320">
        <v>4.5</v>
      </c>
      <c r="AC91" s="482">
        <v>5.15</v>
      </c>
      <c r="AF91" s="405" t="s">
        <v>781</v>
      </c>
      <c r="AG91" s="406">
        <v>64</v>
      </c>
      <c r="AH91" s="407">
        <v>28.4</v>
      </c>
      <c r="AI91" s="408">
        <v>0.83</v>
      </c>
      <c r="AJ91" s="407">
        <v>14.1</v>
      </c>
      <c r="AK91" s="409">
        <v>1.5</v>
      </c>
      <c r="AL91" s="410">
        <v>2.29</v>
      </c>
      <c r="AN91" s="50" t="s">
        <v>388</v>
      </c>
      <c r="AO91" s="100">
        <f>$B$83/$D$24</f>
        <v>0.3200451648723175</v>
      </c>
    </row>
    <row r="92" spans="1:41" ht="12.75">
      <c r="A92" s="67" t="str">
        <f>$M$242</f>
        <v>  Shear Yielding Capacity of (2) Clip Angles at Beam Web:</v>
      </c>
      <c r="B92" s="45"/>
      <c r="C92" s="7"/>
      <c r="D92" s="45"/>
      <c r="E92" s="10"/>
      <c r="F92" s="10"/>
      <c r="G92" s="10"/>
      <c r="H92" s="10"/>
      <c r="I92" s="389"/>
      <c r="K92" s="42"/>
      <c r="L92" s="3"/>
      <c r="M92" s="487">
        <v>1.6</v>
      </c>
      <c r="N92" s="478">
        <v>0.407</v>
      </c>
      <c r="O92" s="479">
        <v>0.516</v>
      </c>
      <c r="P92" s="480">
        <v>0.639</v>
      </c>
      <c r="Q92" s="480">
        <v>0.775</v>
      </c>
      <c r="R92" s="480">
        <v>0.923</v>
      </c>
      <c r="S92" s="480">
        <v>1.08</v>
      </c>
      <c r="T92" s="480">
        <v>1.25</v>
      </c>
      <c r="U92" s="480">
        <v>1.43</v>
      </c>
      <c r="V92" s="480">
        <v>1.61</v>
      </c>
      <c r="W92" s="480">
        <v>1.81</v>
      </c>
      <c r="X92" s="480">
        <v>2.02</v>
      </c>
      <c r="Y92" s="480">
        <v>2.46</v>
      </c>
      <c r="Z92" s="481">
        <v>2.95</v>
      </c>
      <c r="AA92" s="480">
        <v>3.47</v>
      </c>
      <c r="AB92" s="480">
        <v>4.04</v>
      </c>
      <c r="AC92" s="482">
        <v>4.63</v>
      </c>
      <c r="AF92" s="405" t="s">
        <v>782</v>
      </c>
      <c r="AG92" s="406">
        <v>57.2</v>
      </c>
      <c r="AH92" s="407">
        <v>28.1</v>
      </c>
      <c r="AI92" s="408">
        <v>0.75</v>
      </c>
      <c r="AJ92" s="407">
        <v>14</v>
      </c>
      <c r="AK92" s="409">
        <v>1.34</v>
      </c>
      <c r="AL92" s="410">
        <v>2.13</v>
      </c>
      <c r="AN92" s="50"/>
      <c r="AO92" s="100"/>
    </row>
    <row r="93" spans="1:38" ht="12.75">
      <c r="A93" s="69" t="s">
        <v>75</v>
      </c>
      <c r="B93" s="184">
        <f>$N$243</f>
        <v>9</v>
      </c>
      <c r="C93" s="113" t="s">
        <v>243</v>
      </c>
      <c r="D93" s="52" t="str">
        <f>P243</f>
        <v>Avg = 2*L*ta</v>
      </c>
      <c r="E93" s="10"/>
      <c r="F93" s="10"/>
      <c r="G93" s="10"/>
      <c r="H93" s="59"/>
      <c r="I93" s="389"/>
      <c r="M93" s="487">
        <v>1.8</v>
      </c>
      <c r="N93" s="478">
        <v>0.363</v>
      </c>
      <c r="O93" s="324">
        <v>0.46</v>
      </c>
      <c r="P93" s="480">
        <v>0.569</v>
      </c>
      <c r="Q93" s="480">
        <v>0.691</v>
      </c>
      <c r="R93" s="480">
        <v>0.824</v>
      </c>
      <c r="S93" s="480">
        <v>0.969</v>
      </c>
      <c r="T93" s="480">
        <v>1.12</v>
      </c>
      <c r="U93" s="480">
        <v>1.28</v>
      </c>
      <c r="V93" s="480">
        <v>1.45</v>
      </c>
      <c r="W93" s="480">
        <v>1.62</v>
      </c>
      <c r="X93" s="480">
        <v>1.81</v>
      </c>
      <c r="Y93" s="480">
        <v>2.22</v>
      </c>
      <c r="Z93" s="481">
        <v>2.66</v>
      </c>
      <c r="AA93" s="480">
        <v>3.14</v>
      </c>
      <c r="AB93" s="480">
        <v>3.65</v>
      </c>
      <c r="AC93" s="321">
        <v>4.2</v>
      </c>
      <c r="AF93" s="405" t="s">
        <v>783</v>
      </c>
      <c r="AG93" s="406">
        <v>52.5</v>
      </c>
      <c r="AH93" s="407">
        <v>27.8</v>
      </c>
      <c r="AI93" s="408">
        <v>0.725</v>
      </c>
      <c r="AJ93" s="407">
        <v>14.1</v>
      </c>
      <c r="AK93" s="409">
        <v>1.19</v>
      </c>
      <c r="AL93" s="410">
        <v>1.98</v>
      </c>
    </row>
    <row r="94" spans="1:41" ht="12.75">
      <c r="A94" s="69" t="s">
        <v>252</v>
      </c>
      <c r="B94" s="183">
        <f>$N$244</f>
        <v>129.6</v>
      </c>
      <c r="C94" s="113" t="s">
        <v>237</v>
      </c>
      <c r="D94" s="52" t="str">
        <f>P244</f>
        <v>Rvg = (1/1.5)*0.60*Fya*Avg</v>
      </c>
      <c r="E94" s="10"/>
      <c r="F94" s="10"/>
      <c r="G94" s="10"/>
      <c r="H94" s="10"/>
      <c r="I94" s="389" t="str">
        <f>IF($B$94&gt;=$D$16,"Rvg &gt;= R,  O.K.  ","Rvg &lt; R, N.G.  ")</f>
        <v>Rvg &gt;= R,  O.K.  </v>
      </c>
      <c r="M94" s="487">
        <v>2</v>
      </c>
      <c r="N94" s="478">
        <v>0.327</v>
      </c>
      <c r="O94" s="488">
        <v>0.415</v>
      </c>
      <c r="P94" s="489">
        <v>0.513</v>
      </c>
      <c r="Q94" s="489">
        <v>0.623</v>
      </c>
      <c r="R94" s="489">
        <v>0.744</v>
      </c>
      <c r="S94" s="489">
        <v>0.876</v>
      </c>
      <c r="T94" s="489">
        <v>1.01</v>
      </c>
      <c r="U94" s="489">
        <v>1.16</v>
      </c>
      <c r="V94" s="489">
        <v>1.31</v>
      </c>
      <c r="W94" s="489">
        <v>1.47</v>
      </c>
      <c r="X94" s="489">
        <v>1.64</v>
      </c>
      <c r="Y94" s="489">
        <v>2.01</v>
      </c>
      <c r="Z94" s="490">
        <v>2.42</v>
      </c>
      <c r="AA94" s="489">
        <v>2.86</v>
      </c>
      <c r="AB94" s="489">
        <v>3.33</v>
      </c>
      <c r="AC94" s="491">
        <v>3.85</v>
      </c>
      <c r="AF94" s="405" t="s">
        <v>784</v>
      </c>
      <c r="AG94" s="406">
        <v>47.6</v>
      </c>
      <c r="AH94" s="407">
        <v>27.6</v>
      </c>
      <c r="AI94" s="408">
        <v>0.66</v>
      </c>
      <c r="AJ94" s="407">
        <v>14</v>
      </c>
      <c r="AK94" s="409">
        <v>1.08</v>
      </c>
      <c r="AL94" s="410">
        <v>1.87</v>
      </c>
      <c r="AN94" s="50" t="s">
        <v>388</v>
      </c>
      <c r="AO94" s="100">
        <f>$D$16/$B$94</f>
        <v>0.308641975308642</v>
      </c>
    </row>
    <row r="95" spans="1:41" ht="12.75">
      <c r="A95" s="19"/>
      <c r="B95" s="10"/>
      <c r="C95" s="10"/>
      <c r="D95" s="10"/>
      <c r="E95" s="10"/>
      <c r="F95" s="10"/>
      <c r="G95" s="10"/>
      <c r="H95" s="10"/>
      <c r="I95" s="389"/>
      <c r="M95" s="487">
        <v>2.2</v>
      </c>
      <c r="N95" s="492">
        <v>0.297</v>
      </c>
      <c r="O95" s="479">
        <v>0.377</v>
      </c>
      <c r="P95" s="480">
        <v>0.467</v>
      </c>
      <c r="Q95" s="480">
        <v>0.567</v>
      </c>
      <c r="R95" s="480">
        <v>0.677</v>
      </c>
      <c r="S95" s="480">
        <v>0.799</v>
      </c>
      <c r="T95" s="480">
        <v>0.925</v>
      </c>
      <c r="U95" s="480">
        <v>1.06</v>
      </c>
      <c r="V95" s="320">
        <v>1.2</v>
      </c>
      <c r="W95" s="480">
        <v>1.35</v>
      </c>
      <c r="X95" s="320">
        <v>1.5</v>
      </c>
      <c r="Y95" s="480">
        <v>1.84</v>
      </c>
      <c r="Z95" s="480">
        <v>2.21</v>
      </c>
      <c r="AA95" s="480">
        <v>2.62</v>
      </c>
      <c r="AB95" s="480">
        <v>3.07</v>
      </c>
      <c r="AC95" s="482">
        <v>3.54</v>
      </c>
      <c r="AF95" s="405" t="s">
        <v>785</v>
      </c>
      <c r="AG95" s="406">
        <v>43.1</v>
      </c>
      <c r="AH95" s="407">
        <v>27.4</v>
      </c>
      <c r="AI95" s="408">
        <v>0.605</v>
      </c>
      <c r="AJ95" s="407">
        <v>14</v>
      </c>
      <c r="AK95" s="408">
        <v>0.975</v>
      </c>
      <c r="AL95" s="410">
        <v>1.76</v>
      </c>
      <c r="AN95" s="50"/>
      <c r="AO95" s="100"/>
    </row>
    <row r="96" spans="1:41" ht="12.75">
      <c r="A96" s="67" t="str">
        <f>$M$245</f>
        <v>  Shear Rupture Capacity of (2) Clip Angles at Beam Web:</v>
      </c>
      <c r="B96" s="10"/>
      <c r="C96" s="10"/>
      <c r="D96" s="10"/>
      <c r="E96" s="10"/>
      <c r="F96" s="10"/>
      <c r="G96" s="10"/>
      <c r="H96" s="10"/>
      <c r="I96" s="389"/>
      <c r="M96" s="487">
        <v>2.4</v>
      </c>
      <c r="N96" s="478">
        <v>0.273</v>
      </c>
      <c r="O96" s="493">
        <v>0.347</v>
      </c>
      <c r="P96" s="494">
        <v>0.428</v>
      </c>
      <c r="Q96" s="326">
        <v>0.52</v>
      </c>
      <c r="R96" s="494">
        <v>0.623</v>
      </c>
      <c r="S96" s="494">
        <v>0.735</v>
      </c>
      <c r="T96" s="494">
        <v>0.852</v>
      </c>
      <c r="U96" s="494">
        <v>0.972</v>
      </c>
      <c r="V96" s="495">
        <v>1.1</v>
      </c>
      <c r="W96" s="494">
        <v>1.24</v>
      </c>
      <c r="X96" s="494">
        <v>1.38</v>
      </c>
      <c r="Y96" s="495">
        <v>1.7</v>
      </c>
      <c r="Z96" s="496">
        <v>2.04</v>
      </c>
      <c r="AA96" s="494">
        <v>2.42</v>
      </c>
      <c r="AB96" s="494">
        <v>2.83</v>
      </c>
      <c r="AC96" s="497">
        <v>3.27</v>
      </c>
      <c r="AF96" s="405" t="s">
        <v>786</v>
      </c>
      <c r="AG96" s="406">
        <v>37.8</v>
      </c>
      <c r="AH96" s="407">
        <v>27.6</v>
      </c>
      <c r="AI96" s="408">
        <v>0.61</v>
      </c>
      <c r="AJ96" s="407">
        <v>10</v>
      </c>
      <c r="AK96" s="409">
        <v>1.1</v>
      </c>
      <c r="AL96" s="410">
        <v>1.7</v>
      </c>
      <c r="AN96" s="50"/>
      <c r="AO96" s="100"/>
    </row>
    <row r="97" spans="1:41" ht="12.75">
      <c r="A97" s="51" t="s">
        <v>253</v>
      </c>
      <c r="B97" s="184">
        <f>$N$246</f>
        <v>9</v>
      </c>
      <c r="C97" s="113" t="s">
        <v>243</v>
      </c>
      <c r="D97" s="52" t="str">
        <f>$P$246</f>
        <v>Avn = Avg = 2*L*ta</v>
      </c>
      <c r="E97" s="10"/>
      <c r="F97" s="10"/>
      <c r="G97" s="10"/>
      <c r="H97" s="10"/>
      <c r="I97" s="389"/>
      <c r="L97" s="61"/>
      <c r="M97" s="487">
        <v>2.6</v>
      </c>
      <c r="N97" s="478">
        <v>0.252</v>
      </c>
      <c r="O97" s="324">
        <v>0.32</v>
      </c>
      <c r="P97" s="480">
        <v>0.396</v>
      </c>
      <c r="Q97" s="480">
        <v>0.48</v>
      </c>
      <c r="R97" s="480">
        <v>0.575</v>
      </c>
      <c r="S97" s="480">
        <v>0.679</v>
      </c>
      <c r="T97" s="480">
        <v>0.788</v>
      </c>
      <c r="U97" s="319">
        <v>0.9</v>
      </c>
      <c r="V97" s="480">
        <v>1.02</v>
      </c>
      <c r="W97" s="480">
        <v>1.15</v>
      </c>
      <c r="X97" s="480">
        <v>1.28</v>
      </c>
      <c r="Y97" s="480">
        <v>1.57</v>
      </c>
      <c r="Z97" s="485">
        <v>1.9</v>
      </c>
      <c r="AA97" s="480">
        <v>2.25</v>
      </c>
      <c r="AB97" s="480">
        <v>2.63</v>
      </c>
      <c r="AC97" s="482">
        <v>3.05</v>
      </c>
      <c r="AF97" s="405" t="s">
        <v>787</v>
      </c>
      <c r="AG97" s="406">
        <v>33.5</v>
      </c>
      <c r="AH97" s="407">
        <v>27.3</v>
      </c>
      <c r="AI97" s="408">
        <v>0.57</v>
      </c>
      <c r="AJ97" s="407">
        <v>10.1</v>
      </c>
      <c r="AK97" s="408">
        <v>0.93</v>
      </c>
      <c r="AL97" s="410">
        <v>1.53</v>
      </c>
      <c r="AN97" s="50"/>
      <c r="AO97" s="100"/>
    </row>
    <row r="98" spans="1:41" ht="12.75">
      <c r="A98" s="51" t="s">
        <v>254</v>
      </c>
      <c r="B98" s="183">
        <f>$N$247</f>
        <v>156.6</v>
      </c>
      <c r="C98" s="113" t="s">
        <v>237</v>
      </c>
      <c r="D98" s="52" t="str">
        <f>$P$247</f>
        <v>Rvn = (1/2)*0.60*Fua*Avn</v>
      </c>
      <c r="E98" s="10"/>
      <c r="F98" s="10"/>
      <c r="G98" s="10"/>
      <c r="H98" s="10"/>
      <c r="I98" s="389" t="str">
        <f>IF($B$98&gt;=$D$16,"Rvn &gt;= R,  O.K.  ","Rvn &lt; R, N.G.  ")</f>
        <v>Rvn &gt;= R,  O.K.  </v>
      </c>
      <c r="M98" s="487">
        <v>2.8</v>
      </c>
      <c r="N98" s="478">
        <v>0.235</v>
      </c>
      <c r="O98" s="479">
        <v>0.297</v>
      </c>
      <c r="P98" s="480">
        <v>0.368</v>
      </c>
      <c r="Q98" s="480">
        <v>0.447</v>
      </c>
      <c r="R98" s="480">
        <v>0.535</v>
      </c>
      <c r="S98" s="480">
        <v>0.632</v>
      </c>
      <c r="T98" s="480">
        <v>0.733</v>
      </c>
      <c r="U98" s="480">
        <v>0.837</v>
      </c>
      <c r="V98" s="480">
        <v>0.949</v>
      </c>
      <c r="W98" s="480">
        <v>1.07</v>
      </c>
      <c r="X98" s="480">
        <v>1.19</v>
      </c>
      <c r="Y98" s="480">
        <v>1.47</v>
      </c>
      <c r="Z98" s="481">
        <v>1.77</v>
      </c>
      <c r="AA98" s="320">
        <v>2.1</v>
      </c>
      <c r="AB98" s="480">
        <v>2.46</v>
      </c>
      <c r="AC98" s="482">
        <v>2.85</v>
      </c>
      <c r="AF98" s="405" t="s">
        <v>788</v>
      </c>
      <c r="AG98" s="406">
        <v>30</v>
      </c>
      <c r="AH98" s="407">
        <v>27.1</v>
      </c>
      <c r="AI98" s="408">
        <v>0.515</v>
      </c>
      <c r="AJ98" s="407">
        <v>10</v>
      </c>
      <c r="AK98" s="408">
        <v>0.83</v>
      </c>
      <c r="AL98" s="410">
        <v>1.43</v>
      </c>
      <c r="AN98" s="50" t="s">
        <v>388</v>
      </c>
      <c r="AO98" s="100">
        <f>$D$16/$B$98</f>
        <v>0.2554278416347382</v>
      </c>
    </row>
    <row r="99" spans="1:41" ht="12.75">
      <c r="A99" s="19"/>
      <c r="B99" s="10"/>
      <c r="C99" s="10"/>
      <c r="D99" s="10"/>
      <c r="E99" s="10"/>
      <c r="F99" s="10"/>
      <c r="G99" s="10"/>
      <c r="H99" s="10"/>
      <c r="I99" s="14"/>
      <c r="M99" s="498">
        <v>3</v>
      </c>
      <c r="N99" s="499">
        <v>0.219</v>
      </c>
      <c r="O99" s="500">
        <v>0.277</v>
      </c>
      <c r="P99" s="501">
        <v>0.343</v>
      </c>
      <c r="Q99" s="501">
        <v>0.417</v>
      </c>
      <c r="R99" s="322">
        <v>0.5</v>
      </c>
      <c r="S99" s="501">
        <v>0.591</v>
      </c>
      <c r="T99" s="501">
        <v>0.685</v>
      </c>
      <c r="U99" s="501">
        <v>0.784</v>
      </c>
      <c r="V99" s="501">
        <v>0.888</v>
      </c>
      <c r="W99" s="501">
        <v>0.999</v>
      </c>
      <c r="X99" s="501">
        <v>1.12</v>
      </c>
      <c r="Y99" s="501">
        <v>1.37</v>
      </c>
      <c r="Z99" s="502">
        <v>1.65</v>
      </c>
      <c r="AA99" s="501">
        <v>1.97</v>
      </c>
      <c r="AB99" s="501">
        <v>2.31</v>
      </c>
      <c r="AC99" s="503">
        <v>2.67</v>
      </c>
      <c r="AF99" s="405" t="s">
        <v>789</v>
      </c>
      <c r="AG99" s="406">
        <v>27.7</v>
      </c>
      <c r="AH99" s="407">
        <v>26.9</v>
      </c>
      <c r="AI99" s="408">
        <v>0.49</v>
      </c>
      <c r="AJ99" s="407">
        <v>10</v>
      </c>
      <c r="AK99" s="408">
        <v>0.745</v>
      </c>
      <c r="AL99" s="410">
        <v>1.34</v>
      </c>
      <c r="AN99" s="50"/>
      <c r="AO99" s="100"/>
    </row>
    <row r="100" spans="1:38" ht="12.75">
      <c r="A100" s="20"/>
      <c r="B100" s="21"/>
      <c r="C100" s="21"/>
      <c r="D100" s="21"/>
      <c r="E100" s="21"/>
      <c r="F100" s="21"/>
      <c r="G100" s="21"/>
      <c r="H100" s="21"/>
      <c r="I100" s="128" t="s">
        <v>105</v>
      </c>
      <c r="M100" s="504" t="s">
        <v>526</v>
      </c>
      <c r="N100" s="505">
        <v>0</v>
      </c>
      <c r="O100" s="325">
        <v>0.008</v>
      </c>
      <c r="P100" s="322">
        <v>0.029</v>
      </c>
      <c r="Q100" s="322">
        <v>0.056</v>
      </c>
      <c r="R100" s="322">
        <v>0.089</v>
      </c>
      <c r="S100" s="322">
        <v>0.125</v>
      </c>
      <c r="T100" s="322">
        <v>0.164</v>
      </c>
      <c r="U100" s="322">
        <v>0.204</v>
      </c>
      <c r="V100" s="322">
        <v>0.246</v>
      </c>
      <c r="W100" s="322">
        <v>0.289</v>
      </c>
      <c r="X100" s="322">
        <v>0.333</v>
      </c>
      <c r="Y100" s="322">
        <v>0.424</v>
      </c>
      <c r="Z100" s="506">
        <v>0.516</v>
      </c>
      <c r="AA100" s="322">
        <v>0.61</v>
      </c>
      <c r="AB100" s="322">
        <v>0.704</v>
      </c>
      <c r="AC100" s="323">
        <v>0.8</v>
      </c>
      <c r="AF100" s="405" t="s">
        <v>790</v>
      </c>
      <c r="AG100" s="406">
        <v>24.8</v>
      </c>
      <c r="AH100" s="407">
        <v>26.7</v>
      </c>
      <c r="AI100" s="408">
        <v>0.46</v>
      </c>
      <c r="AJ100" s="407">
        <v>10</v>
      </c>
      <c r="AK100" s="408">
        <v>0.64</v>
      </c>
      <c r="AL100" s="410">
        <v>1.24</v>
      </c>
    </row>
    <row r="101" spans="1:38" ht="12.75">
      <c r="A101" s="17"/>
      <c r="B101" s="18"/>
      <c r="C101" s="124"/>
      <c r="D101" s="18"/>
      <c r="E101" s="18"/>
      <c r="F101" s="18"/>
      <c r="G101" s="18"/>
      <c r="H101" s="195"/>
      <c r="I101" s="189"/>
      <c r="AF101" s="405" t="s">
        <v>791</v>
      </c>
      <c r="AG101" s="411">
        <v>109</v>
      </c>
      <c r="AH101" s="407">
        <v>28</v>
      </c>
      <c r="AI101" s="409">
        <v>1.52</v>
      </c>
      <c r="AJ101" s="407">
        <v>13.7</v>
      </c>
      <c r="AK101" s="409">
        <v>2.72</v>
      </c>
      <c r="AL101" s="410">
        <v>3.22</v>
      </c>
    </row>
    <row r="102" spans="1:38" ht="12.75">
      <c r="A102" s="86" t="s">
        <v>1176</v>
      </c>
      <c r="B102" s="10"/>
      <c r="C102" s="10"/>
      <c r="D102" s="10"/>
      <c r="E102" s="10"/>
      <c r="F102" s="10"/>
      <c r="G102" s="10"/>
      <c r="H102" s="10"/>
      <c r="I102" s="14"/>
      <c r="M102" s="141" t="s">
        <v>530</v>
      </c>
      <c r="N102" s="463"/>
      <c r="O102" s="107"/>
      <c r="P102" s="463"/>
      <c r="Q102" s="463"/>
      <c r="R102" s="143"/>
      <c r="S102" s="143"/>
      <c r="T102" s="143"/>
      <c r="U102" s="142"/>
      <c r="V102" s="143"/>
      <c r="W102" s="143"/>
      <c r="X102" s="143"/>
      <c r="Y102" s="143"/>
      <c r="Z102" s="144"/>
      <c r="AA102" s="143"/>
      <c r="AB102" s="143"/>
      <c r="AC102" s="144"/>
      <c r="AF102" s="405" t="s">
        <v>792</v>
      </c>
      <c r="AG102" s="406">
        <v>98.4</v>
      </c>
      <c r="AH102" s="407">
        <v>27.5</v>
      </c>
      <c r="AI102" s="409">
        <v>1.38</v>
      </c>
      <c r="AJ102" s="407">
        <v>13.5</v>
      </c>
      <c r="AK102" s="409">
        <v>2.48</v>
      </c>
      <c r="AL102" s="410">
        <v>2.98</v>
      </c>
    </row>
    <row r="103" spans="1:38" ht="12.75">
      <c r="A103" s="19"/>
      <c r="B103" s="10"/>
      <c r="C103" s="10"/>
      <c r="D103" s="10"/>
      <c r="E103" s="10"/>
      <c r="F103" s="10"/>
      <c r="G103" s="10"/>
      <c r="H103" s="10"/>
      <c r="I103" s="14"/>
      <c r="M103" s="464"/>
      <c r="N103" s="141" t="s">
        <v>323</v>
      </c>
      <c r="O103" s="107"/>
      <c r="P103" s="143"/>
      <c r="Q103" s="143"/>
      <c r="R103" s="143"/>
      <c r="S103" s="143"/>
      <c r="T103" s="465"/>
      <c r="U103" s="143"/>
      <c r="V103" s="143"/>
      <c r="W103" s="143"/>
      <c r="X103" s="143"/>
      <c r="Y103" s="156"/>
      <c r="Z103" s="144"/>
      <c r="AA103" s="143"/>
      <c r="AB103" s="156"/>
      <c r="AC103" s="144"/>
      <c r="AF103" s="405" t="s">
        <v>793</v>
      </c>
      <c r="AG103" s="406">
        <v>89.8</v>
      </c>
      <c r="AH103" s="407">
        <v>27.1</v>
      </c>
      <c r="AI103" s="409">
        <v>1.26</v>
      </c>
      <c r="AJ103" s="407">
        <v>13.4</v>
      </c>
      <c r="AK103" s="409">
        <v>2.28</v>
      </c>
      <c r="AL103" s="410">
        <v>2.78</v>
      </c>
    </row>
    <row r="104" spans="1:38" ht="12.75">
      <c r="A104" s="67" t="s">
        <v>17</v>
      </c>
      <c r="B104" s="45"/>
      <c r="C104" s="129"/>
      <c r="D104" s="45"/>
      <c r="E104" s="10"/>
      <c r="F104" s="10"/>
      <c r="G104" s="10"/>
      <c r="H104" s="45"/>
      <c r="I104" s="389"/>
      <c r="M104" s="467" t="s">
        <v>18</v>
      </c>
      <c r="N104" s="468">
        <v>0</v>
      </c>
      <c r="O104" s="140">
        <v>0.1</v>
      </c>
      <c r="P104" s="140">
        <v>0.2</v>
      </c>
      <c r="Q104" s="469">
        <v>0.3</v>
      </c>
      <c r="R104" s="140">
        <v>0.4</v>
      </c>
      <c r="S104" s="469">
        <v>0.5</v>
      </c>
      <c r="T104" s="140">
        <v>0.6</v>
      </c>
      <c r="U104" s="469">
        <v>0.7</v>
      </c>
      <c r="V104" s="140">
        <v>0.8</v>
      </c>
      <c r="W104" s="469">
        <v>0.9</v>
      </c>
      <c r="X104" s="140">
        <v>1</v>
      </c>
      <c r="Y104" s="469">
        <v>1.2</v>
      </c>
      <c r="Z104" s="140">
        <v>1.4</v>
      </c>
      <c r="AA104" s="140">
        <v>1.6</v>
      </c>
      <c r="AB104" s="469">
        <v>1.8</v>
      </c>
      <c r="AC104" s="140">
        <v>2</v>
      </c>
      <c r="AF104" s="405" t="s">
        <v>794</v>
      </c>
      <c r="AG104" s="406">
        <v>82</v>
      </c>
      <c r="AH104" s="407">
        <v>26.7</v>
      </c>
      <c r="AI104" s="409">
        <v>1.16</v>
      </c>
      <c r="AJ104" s="407">
        <v>13.3</v>
      </c>
      <c r="AK104" s="409">
        <v>2.09</v>
      </c>
      <c r="AL104" s="410">
        <v>2.59</v>
      </c>
    </row>
    <row r="105" spans="1:38" ht="12.75">
      <c r="A105" s="69" t="s">
        <v>35</v>
      </c>
      <c r="B105" s="184">
        <f>$N$249</f>
        <v>9</v>
      </c>
      <c r="C105" s="113" t="s">
        <v>243</v>
      </c>
      <c r="D105" s="52" t="str">
        <f>$P$249</f>
        <v>Atg = 2*L*ta</v>
      </c>
      <c r="E105" s="55"/>
      <c r="F105" s="55"/>
      <c r="G105" s="55"/>
      <c r="H105" s="45"/>
      <c r="I105" s="389"/>
      <c r="M105" s="471">
        <v>0</v>
      </c>
      <c r="N105" s="472">
        <v>1.92</v>
      </c>
      <c r="O105" s="473">
        <v>2.47</v>
      </c>
      <c r="P105" s="474">
        <v>3.01</v>
      </c>
      <c r="Q105" s="318">
        <v>3.56</v>
      </c>
      <c r="R105" s="474">
        <v>4.1</v>
      </c>
      <c r="S105" s="474">
        <v>4.65</v>
      </c>
      <c r="T105" s="474">
        <v>5.19</v>
      </c>
      <c r="U105" s="474">
        <v>5.74</v>
      </c>
      <c r="V105" s="474">
        <v>6.29</v>
      </c>
      <c r="W105" s="474">
        <v>6.83</v>
      </c>
      <c r="X105" s="318">
        <v>7.38</v>
      </c>
      <c r="Y105" s="474">
        <v>8.47</v>
      </c>
      <c r="Z105" s="475">
        <v>9.56</v>
      </c>
      <c r="AA105" s="474">
        <v>10.6</v>
      </c>
      <c r="AB105" s="474">
        <v>11.7</v>
      </c>
      <c r="AC105" s="476">
        <v>12.8</v>
      </c>
      <c r="AF105" s="405" t="s">
        <v>795</v>
      </c>
      <c r="AG105" s="406">
        <v>73.5</v>
      </c>
      <c r="AH105" s="407">
        <v>26.3</v>
      </c>
      <c r="AI105" s="409">
        <v>1.04</v>
      </c>
      <c r="AJ105" s="407">
        <v>13.2</v>
      </c>
      <c r="AK105" s="409">
        <v>1.89</v>
      </c>
      <c r="AL105" s="410">
        <v>2.39</v>
      </c>
    </row>
    <row r="106" spans="1:41" ht="12.75">
      <c r="A106" s="69" t="s">
        <v>36</v>
      </c>
      <c r="B106" s="183">
        <f>$N$250</f>
        <v>175.88148148148144</v>
      </c>
      <c r="C106" s="113" t="s">
        <v>237</v>
      </c>
      <c r="D106" s="52" t="str">
        <f>$P$250</f>
        <v>Rtg = (0.60*Fya*Atg)*(1-(R/Rvg)^2)</v>
      </c>
      <c r="E106" s="55"/>
      <c r="F106" s="55"/>
      <c r="G106" s="55"/>
      <c r="H106" s="80"/>
      <c r="I106" s="389" t="str">
        <f>IF($D$17&gt;0,IF($B$106&gt;=$D$17,"Rtg &gt;= P,  O.K.  ","Rtg &lt; P, N.G.  "),"")</f>
        <v>Rtg &gt;= P,  O.K.  </v>
      </c>
      <c r="M106" s="477">
        <v>0.1</v>
      </c>
      <c r="N106" s="478">
        <v>1.89</v>
      </c>
      <c r="O106" s="479">
        <v>2.35</v>
      </c>
      <c r="P106" s="480">
        <v>2.87</v>
      </c>
      <c r="Q106" s="320">
        <v>3.4</v>
      </c>
      <c r="R106" s="480">
        <v>3.95</v>
      </c>
      <c r="S106" s="480">
        <v>4.5</v>
      </c>
      <c r="T106" s="480">
        <v>5.05</v>
      </c>
      <c r="U106" s="480">
        <v>5.6</v>
      </c>
      <c r="V106" s="480">
        <v>6.14</v>
      </c>
      <c r="W106" s="480">
        <v>6.69</v>
      </c>
      <c r="X106" s="480">
        <v>7.24</v>
      </c>
      <c r="Y106" s="480">
        <v>8.33</v>
      </c>
      <c r="Z106" s="481">
        <v>9.43</v>
      </c>
      <c r="AA106" s="480">
        <v>10.5</v>
      </c>
      <c r="AB106" s="480">
        <v>11.6</v>
      </c>
      <c r="AC106" s="482">
        <v>12.7</v>
      </c>
      <c r="AF106" s="405" t="s">
        <v>796</v>
      </c>
      <c r="AG106" s="406">
        <v>67.2</v>
      </c>
      <c r="AH106" s="407">
        <v>26</v>
      </c>
      <c r="AI106" s="408">
        <v>0.96</v>
      </c>
      <c r="AJ106" s="407">
        <v>13.1</v>
      </c>
      <c r="AK106" s="409">
        <v>1.73</v>
      </c>
      <c r="AL106" s="410">
        <v>2.23</v>
      </c>
      <c r="AN106" s="50" t="str">
        <f>IF(AO106="","N.A.","SR =")</f>
        <v>SR =</v>
      </c>
      <c r="AO106" s="100">
        <f>IF($D$17&gt;0,$D$17/$B$106,"")</f>
        <v>0.028428234501347713</v>
      </c>
    </row>
    <row r="107" spans="1:38" ht="12.75">
      <c r="A107" s="19"/>
      <c r="B107" s="10"/>
      <c r="C107" s="10"/>
      <c r="D107" s="112" t="s">
        <v>112</v>
      </c>
      <c r="E107" s="55"/>
      <c r="F107" s="55"/>
      <c r="G107" s="55"/>
      <c r="H107" s="10"/>
      <c r="I107" s="389"/>
      <c r="M107" s="483">
        <v>0.15</v>
      </c>
      <c r="N107" s="478">
        <v>1.84</v>
      </c>
      <c r="O107" s="479">
        <v>2.3</v>
      </c>
      <c r="P107" s="480">
        <v>2.79</v>
      </c>
      <c r="Q107" s="480">
        <v>3.29</v>
      </c>
      <c r="R107" s="480">
        <v>3.81</v>
      </c>
      <c r="S107" s="480">
        <v>4.33</v>
      </c>
      <c r="T107" s="320">
        <v>4.86</v>
      </c>
      <c r="U107" s="480">
        <v>5.39</v>
      </c>
      <c r="V107" s="480">
        <v>5.92</v>
      </c>
      <c r="W107" s="320">
        <v>6.45</v>
      </c>
      <c r="X107" s="480">
        <v>6.99</v>
      </c>
      <c r="Y107" s="480">
        <v>8.06</v>
      </c>
      <c r="Z107" s="481">
        <v>9.13</v>
      </c>
      <c r="AA107" s="480">
        <v>10.2</v>
      </c>
      <c r="AB107" s="480">
        <v>11.3</v>
      </c>
      <c r="AC107" s="482">
        <v>12.4</v>
      </c>
      <c r="AF107" s="405" t="s">
        <v>797</v>
      </c>
      <c r="AG107" s="406">
        <v>60.7</v>
      </c>
      <c r="AH107" s="407">
        <v>25.7</v>
      </c>
      <c r="AI107" s="408">
        <v>0.87</v>
      </c>
      <c r="AJ107" s="407">
        <v>13</v>
      </c>
      <c r="AK107" s="409">
        <v>1.57</v>
      </c>
      <c r="AL107" s="410">
        <v>2.07</v>
      </c>
    </row>
    <row r="108" spans="1:38" ht="12.75">
      <c r="A108" s="19"/>
      <c r="B108" s="10"/>
      <c r="C108" s="10"/>
      <c r="D108" s="112" t="s">
        <v>111</v>
      </c>
      <c r="E108" s="10"/>
      <c r="F108" s="10"/>
      <c r="G108" s="10"/>
      <c r="H108" s="10"/>
      <c r="I108" s="14"/>
      <c r="M108" s="483">
        <v>0.2</v>
      </c>
      <c r="N108" s="478">
        <v>1.75</v>
      </c>
      <c r="O108" s="479">
        <v>2.21</v>
      </c>
      <c r="P108" s="480">
        <v>2.68</v>
      </c>
      <c r="Q108" s="480">
        <v>3.16</v>
      </c>
      <c r="R108" s="320">
        <v>3.65</v>
      </c>
      <c r="S108" s="480">
        <v>4.15</v>
      </c>
      <c r="T108" s="480">
        <v>4.65</v>
      </c>
      <c r="U108" s="480">
        <v>5.16</v>
      </c>
      <c r="V108" s="480">
        <v>5.67</v>
      </c>
      <c r="W108" s="480">
        <v>6.18</v>
      </c>
      <c r="X108" s="480">
        <v>6.69</v>
      </c>
      <c r="Y108" s="480">
        <v>7.73</v>
      </c>
      <c r="Z108" s="481">
        <v>8.76</v>
      </c>
      <c r="AA108" s="480">
        <v>9.81</v>
      </c>
      <c r="AB108" s="480">
        <v>10.9</v>
      </c>
      <c r="AC108" s="484">
        <v>11.9</v>
      </c>
      <c r="AF108" s="405" t="s">
        <v>798</v>
      </c>
      <c r="AG108" s="406">
        <v>56.3</v>
      </c>
      <c r="AH108" s="407">
        <v>25.5</v>
      </c>
      <c r="AI108" s="408">
        <v>0.81</v>
      </c>
      <c r="AJ108" s="407">
        <v>13</v>
      </c>
      <c r="AK108" s="409">
        <v>1.46</v>
      </c>
      <c r="AL108" s="410">
        <v>1.96</v>
      </c>
    </row>
    <row r="109" spans="1:38" ht="12.75">
      <c r="A109" s="19"/>
      <c r="B109" s="10"/>
      <c r="C109" s="10"/>
      <c r="D109" s="10"/>
      <c r="E109" s="10"/>
      <c r="F109" s="10"/>
      <c r="G109" s="10"/>
      <c r="H109" s="10"/>
      <c r="I109" s="14"/>
      <c r="M109" s="483">
        <v>0.25</v>
      </c>
      <c r="N109" s="478">
        <v>1.65</v>
      </c>
      <c r="O109" s="479">
        <v>2.08</v>
      </c>
      <c r="P109" s="480">
        <v>2.54</v>
      </c>
      <c r="Q109" s="480">
        <v>3</v>
      </c>
      <c r="R109" s="480">
        <v>3.47</v>
      </c>
      <c r="S109" s="480">
        <v>3.94</v>
      </c>
      <c r="T109" s="480">
        <v>4.42</v>
      </c>
      <c r="U109" s="480">
        <v>4.91</v>
      </c>
      <c r="V109" s="480">
        <v>5.39</v>
      </c>
      <c r="W109" s="480">
        <v>5.89</v>
      </c>
      <c r="X109" s="480">
        <v>6.38</v>
      </c>
      <c r="Y109" s="480">
        <v>7.38</v>
      </c>
      <c r="Z109" s="481">
        <v>8.39</v>
      </c>
      <c r="AA109" s="480">
        <v>9.41</v>
      </c>
      <c r="AB109" s="480">
        <v>10.4</v>
      </c>
      <c r="AC109" s="482">
        <v>11.5</v>
      </c>
      <c r="AF109" s="405" t="s">
        <v>799</v>
      </c>
      <c r="AG109" s="406">
        <v>51.7</v>
      </c>
      <c r="AH109" s="407">
        <v>25.2</v>
      </c>
      <c r="AI109" s="408">
        <v>0.75</v>
      </c>
      <c r="AJ109" s="407">
        <v>12.9</v>
      </c>
      <c r="AK109" s="409">
        <v>1.34</v>
      </c>
      <c r="AL109" s="410">
        <v>1.84</v>
      </c>
    </row>
    <row r="110" spans="1:41" ht="12.75">
      <c r="A110" s="136" t="str">
        <f>IF(AND($D$29=0,$D$30=0,$D$31=0),$M$251,IF(AND($D$29&gt;0,$D$30&gt;0,$D$31=0),$M$279,IF(AND($D$29&gt;0,$D$30&gt;0,$D$31&gt;0),$M$320)))</f>
        <v>Beam Checks for Both Flanges Coped:</v>
      </c>
      <c r="B110" s="10"/>
      <c r="C110" s="10"/>
      <c r="D110" s="10"/>
      <c r="E110" s="10"/>
      <c r="F110" s="10"/>
      <c r="G110" s="10"/>
      <c r="H110" s="10"/>
      <c r="I110" s="389"/>
      <c r="K110" s="42"/>
      <c r="M110" s="483">
        <v>0.3</v>
      </c>
      <c r="N110" s="478">
        <v>1.55</v>
      </c>
      <c r="O110" s="479">
        <v>1.95</v>
      </c>
      <c r="P110" s="480">
        <v>2.39</v>
      </c>
      <c r="Q110" s="480">
        <v>2.82</v>
      </c>
      <c r="R110" s="480">
        <v>3.27</v>
      </c>
      <c r="S110" s="480">
        <v>3.72</v>
      </c>
      <c r="T110" s="480">
        <v>4.18</v>
      </c>
      <c r="U110" s="320">
        <v>4.64</v>
      </c>
      <c r="V110" s="480">
        <v>5.11</v>
      </c>
      <c r="W110" s="480">
        <v>5.58</v>
      </c>
      <c r="X110" s="480">
        <v>6.06</v>
      </c>
      <c r="Y110" s="480">
        <v>7.02</v>
      </c>
      <c r="Z110" s="485">
        <v>8.01</v>
      </c>
      <c r="AA110" s="320">
        <v>9</v>
      </c>
      <c r="AB110" s="486">
        <v>10</v>
      </c>
      <c r="AC110" s="484">
        <v>11</v>
      </c>
      <c r="AF110" s="405" t="s">
        <v>800</v>
      </c>
      <c r="AG110" s="406">
        <v>47.7</v>
      </c>
      <c r="AH110" s="407">
        <v>25</v>
      </c>
      <c r="AI110" s="408">
        <v>0.705</v>
      </c>
      <c r="AJ110" s="407">
        <v>13</v>
      </c>
      <c r="AK110" s="409">
        <v>1.22</v>
      </c>
      <c r="AL110" s="410">
        <v>1.72</v>
      </c>
      <c r="AN110" s="50"/>
      <c r="AO110" s="100"/>
    </row>
    <row r="111" spans="1:38" ht="12.75">
      <c r="A111" s="19"/>
      <c r="B111" s="10"/>
      <c r="C111" s="10"/>
      <c r="D111" s="10"/>
      <c r="E111" s="10"/>
      <c r="F111" s="10"/>
      <c r="G111" s="10"/>
      <c r="H111" s="10"/>
      <c r="I111" s="389"/>
      <c r="M111" s="483">
        <v>0.4</v>
      </c>
      <c r="N111" s="478">
        <v>1.34</v>
      </c>
      <c r="O111" s="479">
        <v>1.69</v>
      </c>
      <c r="P111" s="480">
        <v>2.07</v>
      </c>
      <c r="Q111" s="480">
        <v>2.47</v>
      </c>
      <c r="R111" s="480">
        <v>2.87</v>
      </c>
      <c r="S111" s="480">
        <v>3.28</v>
      </c>
      <c r="T111" s="480">
        <v>3.7</v>
      </c>
      <c r="U111" s="480">
        <v>4.12</v>
      </c>
      <c r="V111" s="320">
        <v>4.55</v>
      </c>
      <c r="W111" s="480">
        <v>4.99</v>
      </c>
      <c r="X111" s="480">
        <v>5.43</v>
      </c>
      <c r="Y111" s="320">
        <v>6.34</v>
      </c>
      <c r="Z111" s="481">
        <v>7.27</v>
      </c>
      <c r="AA111" s="480">
        <v>8.22</v>
      </c>
      <c r="AB111" s="480">
        <v>9.19</v>
      </c>
      <c r="AC111" s="482">
        <v>10.2</v>
      </c>
      <c r="AF111" s="405" t="s">
        <v>801</v>
      </c>
      <c r="AG111" s="406">
        <v>43</v>
      </c>
      <c r="AH111" s="407">
        <v>24.7</v>
      </c>
      <c r="AI111" s="408">
        <v>0.65</v>
      </c>
      <c r="AJ111" s="407">
        <v>12.9</v>
      </c>
      <c r="AK111" s="409">
        <v>1.09</v>
      </c>
      <c r="AL111" s="410">
        <v>1.59</v>
      </c>
    </row>
    <row r="112" spans="1:41" ht="12.75">
      <c r="A112" s="73" t="str">
        <f>IF(AND($D$29=0,$D$30=0,$D$31=0),$M$252,IF(AND($D$29&gt;0,$D$30&gt;0,$D$31=0),$M$280,IF(AND($D$29&gt;0,$D$30&gt;0,$D$31&gt;0),$M$321)))</f>
        <v>  Shear Yielding Capacity of Beam Web for Both Flanges Coped:</v>
      </c>
      <c r="B112" s="10"/>
      <c r="C112" s="10"/>
      <c r="D112" s="10"/>
      <c r="E112" s="10"/>
      <c r="F112" s="10"/>
      <c r="G112" s="10"/>
      <c r="H112" s="10"/>
      <c r="I112" s="389"/>
      <c r="M112" s="483">
        <v>0.5</v>
      </c>
      <c r="N112" s="478">
        <v>1.16</v>
      </c>
      <c r="O112" s="479">
        <v>1.46</v>
      </c>
      <c r="P112" s="480">
        <v>1.8</v>
      </c>
      <c r="Q112" s="480">
        <v>2.16</v>
      </c>
      <c r="R112" s="480">
        <v>2.52</v>
      </c>
      <c r="S112" s="480">
        <v>2.89</v>
      </c>
      <c r="T112" s="480">
        <v>3.27</v>
      </c>
      <c r="U112" s="320">
        <v>3.65</v>
      </c>
      <c r="V112" s="320">
        <v>4.05</v>
      </c>
      <c r="W112" s="320">
        <v>4.46</v>
      </c>
      <c r="X112" s="480">
        <v>4.87</v>
      </c>
      <c r="Y112" s="480">
        <v>5.73</v>
      </c>
      <c r="Z112" s="481">
        <v>6.61</v>
      </c>
      <c r="AA112" s="480">
        <v>7.53</v>
      </c>
      <c r="AB112" s="320">
        <v>8.46</v>
      </c>
      <c r="AC112" s="482">
        <v>9.41</v>
      </c>
      <c r="AF112" s="405" t="s">
        <v>802</v>
      </c>
      <c r="AG112" s="406">
        <v>38.5</v>
      </c>
      <c r="AH112" s="407">
        <v>24.5</v>
      </c>
      <c r="AI112" s="408">
        <v>0.605</v>
      </c>
      <c r="AJ112" s="407">
        <v>12.9</v>
      </c>
      <c r="AK112" s="408">
        <v>0.96</v>
      </c>
      <c r="AL112" s="410">
        <v>1.46</v>
      </c>
      <c r="AN112" s="50"/>
      <c r="AO112" s="100"/>
    </row>
    <row r="113" spans="1:41" ht="12.75">
      <c r="A113" s="62" t="s">
        <v>106</v>
      </c>
      <c r="B113" s="184">
        <f>IF(AND($D$29=0,$D$30=0,$D$31=0),$N$253,IF(AND($D$29&gt;0,$D$30&gt;0,$D$30&lt;=0.5*$B$45,$D$31=0),$N$281,IF(AND($D$29&gt;0,$D$30&gt;0,$D$30&lt;=0.5*$B$45,$D$31&gt;0),$N$322)))</f>
        <v>16</v>
      </c>
      <c r="C113" s="113" t="s">
        <v>268</v>
      </c>
      <c r="D113" s="440" t="str">
        <f>IF(AND($D$29=0,$D$30=0,$D$31=0),$P$253,IF(AND($D$29&gt;0,$D$30&gt;0,$D$30&lt;=0.5*$B$45,$D$31=0),$P$281,IF(AND($D$29&gt;0,$D$30&gt;0,$D$30&lt;=0.5*$B$45,$D$31&gt;0),$P$322)))</f>
        <v>ho = d-dc1-dc2</v>
      </c>
      <c r="E113" s="10"/>
      <c r="F113" s="10"/>
      <c r="G113" s="10"/>
      <c r="H113" s="59"/>
      <c r="I113" s="389"/>
      <c r="M113" s="483">
        <v>0.6</v>
      </c>
      <c r="N113" s="478">
        <v>1.01</v>
      </c>
      <c r="O113" s="479">
        <v>1.28</v>
      </c>
      <c r="P113" s="480">
        <v>1.58</v>
      </c>
      <c r="Q113" s="480">
        <v>1.89</v>
      </c>
      <c r="R113" s="480">
        <v>2.22</v>
      </c>
      <c r="S113" s="480">
        <v>2.56</v>
      </c>
      <c r="T113" s="480">
        <v>2.9</v>
      </c>
      <c r="U113" s="320">
        <v>3.26</v>
      </c>
      <c r="V113" s="480">
        <v>3.62</v>
      </c>
      <c r="W113" s="480">
        <v>4</v>
      </c>
      <c r="X113" s="480">
        <v>4.39</v>
      </c>
      <c r="Y113" s="480">
        <v>5.19</v>
      </c>
      <c r="Z113" s="481">
        <v>6.04</v>
      </c>
      <c r="AA113" s="480">
        <v>6.91</v>
      </c>
      <c r="AB113" s="480">
        <v>7.81</v>
      </c>
      <c r="AC113" s="482">
        <v>8.73</v>
      </c>
      <c r="AF113" s="405" t="s">
        <v>803</v>
      </c>
      <c r="AG113" s="406">
        <v>34.4</v>
      </c>
      <c r="AH113" s="407">
        <v>24.3</v>
      </c>
      <c r="AI113" s="408">
        <v>0.55</v>
      </c>
      <c r="AJ113" s="407">
        <v>12.8</v>
      </c>
      <c r="AK113" s="408">
        <v>0.85</v>
      </c>
      <c r="AL113" s="410">
        <v>1.35</v>
      </c>
      <c r="AN113" s="50"/>
      <c r="AO113" s="100"/>
    </row>
    <row r="114" spans="1:41" ht="12.75">
      <c r="A114" s="69" t="s">
        <v>75</v>
      </c>
      <c r="B114" s="175">
        <f>IF(AND($D$29=0,$D$30=0,$D$31=0),$N$254,IF(AND($D$29&gt;0,$D$30&gt;0,$D$30&lt;=0.5*$B$45,$D$31=0),$N$282,IF(AND($D$29&gt;0,$D$30&gt;0,$D$30&lt;=0.5*$B$45,$D$31&gt;0),$N$323)))</f>
        <v>5.68</v>
      </c>
      <c r="C114" s="113" t="s">
        <v>243</v>
      </c>
      <c r="D114" s="440" t="str">
        <f>IF(AND($D$29=0,$D$30=0,$D$31=0),$P$254,IF(AND($D$29&gt;0,$D$30&gt;0,$D$30&lt;=0.5*$B$45,$D$31=0),$P$282,IF(AND($D$29&gt;0,$D$30&gt;0,$D$30&lt;=0.5*$B$45,$D$31&gt;0),$P$323)))</f>
        <v>Avg = ho*tw</v>
      </c>
      <c r="E114" s="10"/>
      <c r="F114" s="10"/>
      <c r="G114" s="10"/>
      <c r="H114" s="10"/>
      <c r="I114" s="389"/>
      <c r="L114" s="396"/>
      <c r="M114" s="483">
        <v>0.7</v>
      </c>
      <c r="N114" s="478">
        <v>0.893</v>
      </c>
      <c r="O114" s="479">
        <v>1.13</v>
      </c>
      <c r="P114" s="480">
        <v>1.39</v>
      </c>
      <c r="Q114" s="480">
        <v>1.68</v>
      </c>
      <c r="R114" s="480">
        <v>1.97</v>
      </c>
      <c r="S114" s="480">
        <v>2.29</v>
      </c>
      <c r="T114" s="480">
        <v>2.6</v>
      </c>
      <c r="U114" s="480">
        <v>2.93</v>
      </c>
      <c r="V114" s="320">
        <v>3.27</v>
      </c>
      <c r="W114" s="480">
        <v>3.62</v>
      </c>
      <c r="X114" s="480">
        <v>3.98</v>
      </c>
      <c r="Y114" s="480">
        <v>4.74</v>
      </c>
      <c r="Z114" s="481">
        <v>5.54</v>
      </c>
      <c r="AA114" s="480">
        <v>6.37</v>
      </c>
      <c r="AB114" s="480">
        <v>7.24</v>
      </c>
      <c r="AC114" s="482">
        <v>8.13</v>
      </c>
      <c r="AF114" s="405" t="s">
        <v>804</v>
      </c>
      <c r="AG114" s="406">
        <v>30.6</v>
      </c>
      <c r="AH114" s="407">
        <v>24.1</v>
      </c>
      <c r="AI114" s="408">
        <v>0.5</v>
      </c>
      <c r="AJ114" s="407">
        <v>12.8</v>
      </c>
      <c r="AK114" s="408">
        <v>0.75</v>
      </c>
      <c r="AL114" s="410">
        <v>1.25</v>
      </c>
      <c r="AN114" s="50"/>
      <c r="AO114" s="100"/>
    </row>
    <row r="115" spans="1:41" ht="12.75">
      <c r="A115" s="69" t="s">
        <v>252</v>
      </c>
      <c r="B115" s="183">
        <f>IF(AND($D$29=0,$D$30=0,$D$31=0),$N$258,IF(AND($D$29&gt;0,$D$30&gt;0,$D$30&lt;=0.5*$B$45,$D$31=0),$N$286,IF(AND($D$29&gt;0,$D$30&gt;0,$D$30&lt;=0.5*$B$45,$D$31&gt;0),$N$327)))</f>
        <v>113.6</v>
      </c>
      <c r="C115" s="113" t="s">
        <v>237</v>
      </c>
      <c r="D115" s="441" t="str">
        <f>IF(AND($D$29=0,$D$30=0,$D$31=0),$P$258,IF(AND($D$29&gt;0,$D$30&gt;0,$D$30&lt;=0.5*$B$45,$D$31=0),$P$286,IF(AND($D$29&gt;0,$D$30&gt;0,$D$30&lt;=0.5*$B$45,$D$31&gt;0),$P$327)))</f>
        <v>Rvg = (1/1.5)*0.60*Cv*Fyb*Avg</v>
      </c>
      <c r="E115" s="10"/>
      <c r="F115" s="10"/>
      <c r="G115" s="10"/>
      <c r="H115" s="10"/>
      <c r="I115" s="389" t="str">
        <f>IF($B$115&gt;=$D$16,"Rvg &gt;= R,  O.K.  ","Rvg &lt; R, N.G.  ")</f>
        <v>Rvg &gt;= R,  O.K.  </v>
      </c>
      <c r="M115" s="483">
        <v>0.8</v>
      </c>
      <c r="N115" s="478">
        <v>0.797</v>
      </c>
      <c r="O115" s="479">
        <v>1.01</v>
      </c>
      <c r="P115" s="480">
        <v>1.25</v>
      </c>
      <c r="Q115" s="480">
        <v>1.5</v>
      </c>
      <c r="R115" s="480">
        <v>1.77</v>
      </c>
      <c r="S115" s="480">
        <v>2.06</v>
      </c>
      <c r="T115" s="320">
        <v>2.35</v>
      </c>
      <c r="U115" s="480">
        <v>2.65</v>
      </c>
      <c r="V115" s="320">
        <v>2.96</v>
      </c>
      <c r="W115" s="480">
        <v>3.29</v>
      </c>
      <c r="X115" s="480">
        <v>3.63</v>
      </c>
      <c r="Y115" s="480">
        <v>4.35</v>
      </c>
      <c r="Z115" s="481">
        <v>5.11</v>
      </c>
      <c r="AA115" s="480">
        <v>5.91</v>
      </c>
      <c r="AB115" s="480">
        <v>6.74</v>
      </c>
      <c r="AC115" s="321">
        <v>7.6</v>
      </c>
      <c r="AF115" s="405" t="s">
        <v>805</v>
      </c>
      <c r="AG115" s="406">
        <v>30.3</v>
      </c>
      <c r="AH115" s="407">
        <v>24.5</v>
      </c>
      <c r="AI115" s="408">
        <v>0.55</v>
      </c>
      <c r="AJ115" s="409">
        <v>9</v>
      </c>
      <c r="AK115" s="408">
        <v>0.98</v>
      </c>
      <c r="AL115" s="410">
        <v>1.48</v>
      </c>
      <c r="AN115" s="50" t="s">
        <v>388</v>
      </c>
      <c r="AO115" s="100">
        <f>$D$16/$B$115</f>
        <v>0.35211267605633806</v>
      </c>
    </row>
    <row r="116" spans="1:41" ht="12.75">
      <c r="A116" s="19"/>
      <c r="B116" s="10"/>
      <c r="C116" s="10"/>
      <c r="D116" s="10"/>
      <c r="E116" s="10"/>
      <c r="F116" s="10"/>
      <c r="G116" s="10"/>
      <c r="H116" s="10"/>
      <c r="I116" s="389"/>
      <c r="M116" s="483">
        <v>0.9</v>
      </c>
      <c r="N116" s="478">
        <v>0.719</v>
      </c>
      <c r="O116" s="479">
        <v>0.911</v>
      </c>
      <c r="P116" s="480">
        <v>1.12</v>
      </c>
      <c r="Q116" s="480">
        <v>1.35</v>
      </c>
      <c r="R116" s="480">
        <v>1.6</v>
      </c>
      <c r="S116" s="480">
        <v>1.87</v>
      </c>
      <c r="T116" s="480">
        <v>2.14</v>
      </c>
      <c r="U116" s="480">
        <v>2.41</v>
      </c>
      <c r="V116" s="480">
        <v>2.71</v>
      </c>
      <c r="W116" s="480">
        <v>3.01</v>
      </c>
      <c r="X116" s="480">
        <v>3.33</v>
      </c>
      <c r="Y116" s="480">
        <v>4.01</v>
      </c>
      <c r="Z116" s="481">
        <v>4.73</v>
      </c>
      <c r="AA116" s="320">
        <v>5.49</v>
      </c>
      <c r="AB116" s="480">
        <v>6.28</v>
      </c>
      <c r="AC116" s="321">
        <v>7.11</v>
      </c>
      <c r="AF116" s="405" t="s">
        <v>806</v>
      </c>
      <c r="AG116" s="406">
        <v>27.7</v>
      </c>
      <c r="AH116" s="407">
        <v>24.3</v>
      </c>
      <c r="AI116" s="408">
        <v>0.515</v>
      </c>
      <c r="AJ116" s="409">
        <v>9.07</v>
      </c>
      <c r="AK116" s="408">
        <v>0.875</v>
      </c>
      <c r="AL116" s="410">
        <v>1.38</v>
      </c>
      <c r="AN116" s="50"/>
      <c r="AO116" s="100"/>
    </row>
    <row r="117" spans="1:41" ht="12.75">
      <c r="A117" s="73" t="str">
        <f>IF(AND($D$29=0,$D$30=0,$D$31=0),$M$259,IF(AND($D$29&gt;0,$D$30&gt;0,$D$31=0),$M$287,IF(AND($D$29&gt;0,$D$30&gt;0,$D$31&gt;0),$M$328)))</f>
        <v>  Shear Rupture Capacity of Beam Web for Both Flanges Coped:</v>
      </c>
      <c r="B117" s="10"/>
      <c r="C117" s="10"/>
      <c r="D117" s="10"/>
      <c r="E117" s="10"/>
      <c r="F117" s="10"/>
      <c r="G117" s="10"/>
      <c r="H117" s="10"/>
      <c r="I117" s="389"/>
      <c r="M117" s="487">
        <v>1</v>
      </c>
      <c r="N117" s="478">
        <v>0.653</v>
      </c>
      <c r="O117" s="479">
        <v>0.828</v>
      </c>
      <c r="P117" s="320">
        <v>1.02</v>
      </c>
      <c r="Q117" s="480">
        <v>1.23</v>
      </c>
      <c r="R117" s="480">
        <v>1.46</v>
      </c>
      <c r="S117" s="480">
        <v>1.7</v>
      </c>
      <c r="T117" s="480">
        <v>1.96</v>
      </c>
      <c r="U117" s="480">
        <v>2.21</v>
      </c>
      <c r="V117" s="480">
        <v>2.49</v>
      </c>
      <c r="W117" s="480">
        <v>2.78</v>
      </c>
      <c r="X117" s="480">
        <v>3.08</v>
      </c>
      <c r="Y117" s="480">
        <v>3.72</v>
      </c>
      <c r="Z117" s="481">
        <v>4.4</v>
      </c>
      <c r="AA117" s="480">
        <v>5.12</v>
      </c>
      <c r="AB117" s="480">
        <v>5.88</v>
      </c>
      <c r="AC117" s="482">
        <v>6.67</v>
      </c>
      <c r="AF117" s="405" t="s">
        <v>807</v>
      </c>
      <c r="AG117" s="406">
        <v>24.7</v>
      </c>
      <c r="AH117" s="407">
        <v>24.1</v>
      </c>
      <c r="AI117" s="408">
        <v>0.47</v>
      </c>
      <c r="AJ117" s="409">
        <v>9.02</v>
      </c>
      <c r="AK117" s="408">
        <v>0.77</v>
      </c>
      <c r="AL117" s="410">
        <v>1.27</v>
      </c>
      <c r="AN117" s="50"/>
      <c r="AO117" s="100"/>
    </row>
    <row r="118" spans="1:41" ht="12.75">
      <c r="A118" s="69" t="s">
        <v>253</v>
      </c>
      <c r="B118" s="184">
        <f>IF(AND($D$29=0,$D$30=0,$D$31=0),$N$260,IF(AND($D$29&gt;0,$D$30&gt;0,$D$30&lt;=0.5*$B$45,$D$31=0),$N$288,IF(AND($D$29&gt;0,$D$30&gt;0,$D$30&lt;=0.5*$B$45,$D$31&gt;0),$N$329)))</f>
        <v>5.68</v>
      </c>
      <c r="C118" s="113" t="s">
        <v>243</v>
      </c>
      <c r="D118" s="440" t="str">
        <f>IF(AND($D$29=0,$D$30=0,$D$31=0),$P$260,IF(AND($D$29&gt;0,$D$30&gt;0,$D$30&lt;=0.5*$B$45,$D$31=0),$P$288,IF(AND($D$29&gt;0,$D$30&gt;0,$D$30&lt;=0.5*$B$45,$D$31&gt;0),$P$329)))</f>
        <v>Avn = Avg = ho*tw</v>
      </c>
      <c r="E118" s="10"/>
      <c r="F118" s="10"/>
      <c r="G118" s="10"/>
      <c r="H118" s="10"/>
      <c r="I118" s="389"/>
      <c r="M118" s="487">
        <v>1.2</v>
      </c>
      <c r="N118" s="478">
        <v>0.551</v>
      </c>
      <c r="O118" s="479">
        <v>0.699</v>
      </c>
      <c r="P118" s="480">
        <v>0.861</v>
      </c>
      <c r="Q118" s="480">
        <v>1.04</v>
      </c>
      <c r="R118" s="480">
        <v>1.24</v>
      </c>
      <c r="S118" s="480">
        <v>1.45</v>
      </c>
      <c r="T118" s="480">
        <v>1.67</v>
      </c>
      <c r="U118" s="480">
        <v>1.9</v>
      </c>
      <c r="V118" s="480">
        <v>2.14</v>
      </c>
      <c r="W118" s="480">
        <v>2.39</v>
      </c>
      <c r="X118" s="480">
        <v>2.66</v>
      </c>
      <c r="Y118" s="480">
        <v>3.23</v>
      </c>
      <c r="Z118" s="481">
        <v>3.84</v>
      </c>
      <c r="AA118" s="480">
        <v>4.49</v>
      </c>
      <c r="AB118" s="480">
        <v>5.18</v>
      </c>
      <c r="AC118" s="482">
        <v>5.9</v>
      </c>
      <c r="AF118" s="405" t="s">
        <v>808</v>
      </c>
      <c r="AG118" s="406">
        <v>22.4</v>
      </c>
      <c r="AH118" s="407">
        <v>23.9</v>
      </c>
      <c r="AI118" s="408">
        <v>0.44</v>
      </c>
      <c r="AJ118" s="409">
        <v>8.99</v>
      </c>
      <c r="AK118" s="408">
        <v>0.68</v>
      </c>
      <c r="AL118" s="410">
        <v>1.18</v>
      </c>
      <c r="AN118" s="50"/>
      <c r="AO118" s="100"/>
    </row>
    <row r="119" spans="1:41" ht="12.75">
      <c r="A119" s="69" t="s">
        <v>254</v>
      </c>
      <c r="B119" s="183">
        <f>IF(AND($D$29=0,$D$30=0,$D$31=0),$N$261,IF(AND($D$29&gt;0,$D$30&gt;0,$D$30&lt;=0.5*$B$45,$D$31=0),$N$289,IF(AND($D$29&gt;0,$D$30&gt;0,$D$30&lt;=0.5*$B$45,$D$31&gt;0),$N$330)))</f>
        <v>110.75999999999999</v>
      </c>
      <c r="C119" s="113" t="s">
        <v>237</v>
      </c>
      <c r="D119" s="441" t="str">
        <f>IF(AND($D$29=0,$D$30=0,$D$31=0),$P$261,IF(AND($D$29&gt;0,$D$30&gt;0,$D$30&lt;=0.5*$B$45,$D$31=0),$P$289,IF(AND($D$29&gt;0,$D$30&gt;0,$D$30&lt;=0.5*$B$45,$D$31&gt;0),$P$330)))</f>
        <v>Rvn = (1/2)*0.60*Fub*Avn</v>
      </c>
      <c r="E119" s="10"/>
      <c r="F119" s="10"/>
      <c r="G119" s="10"/>
      <c r="H119" s="10"/>
      <c r="I119" s="389" t="str">
        <f>IF($B$119="N.A.","",IF($B$119&gt;=$D$16,"Rvn &gt;= R,  O.K.  ","Rvn &lt; R, N.G.  "))</f>
        <v>Rvn &gt;= R,  O.K.  </v>
      </c>
      <c r="M119" s="487">
        <v>1.4</v>
      </c>
      <c r="N119" s="478">
        <v>0.476</v>
      </c>
      <c r="O119" s="479">
        <v>0.603</v>
      </c>
      <c r="P119" s="480">
        <v>0.744</v>
      </c>
      <c r="Q119" s="480">
        <v>0.9</v>
      </c>
      <c r="R119" s="480">
        <v>1.07</v>
      </c>
      <c r="S119" s="480">
        <v>1.26</v>
      </c>
      <c r="T119" s="480">
        <v>1.46</v>
      </c>
      <c r="U119" s="480">
        <v>1.66</v>
      </c>
      <c r="V119" s="480">
        <v>1.87</v>
      </c>
      <c r="W119" s="480">
        <v>2.1</v>
      </c>
      <c r="X119" s="480">
        <v>2.33</v>
      </c>
      <c r="Y119" s="480">
        <v>2.84</v>
      </c>
      <c r="Z119" s="481">
        <v>3.39</v>
      </c>
      <c r="AA119" s="480">
        <v>3.98</v>
      </c>
      <c r="AB119" s="320">
        <v>4.6</v>
      </c>
      <c r="AC119" s="482">
        <v>5.26</v>
      </c>
      <c r="AF119" s="405" t="s">
        <v>809</v>
      </c>
      <c r="AG119" s="406">
        <v>20.1</v>
      </c>
      <c r="AH119" s="407">
        <v>23.7</v>
      </c>
      <c r="AI119" s="408">
        <v>0.415</v>
      </c>
      <c r="AJ119" s="409">
        <v>8.97</v>
      </c>
      <c r="AK119" s="408">
        <v>0.585</v>
      </c>
      <c r="AL119" s="410">
        <v>1.09</v>
      </c>
      <c r="AN119" s="50" t="str">
        <f>IF(AO119="","N.A.","SR =")</f>
        <v>SR =</v>
      </c>
      <c r="AO119" s="100">
        <f>IF($B$119="N.A.","",$D$16/$B$119)</f>
        <v>0.36114120621162876</v>
      </c>
    </row>
    <row r="120" spans="1:38" ht="12.75">
      <c r="A120" s="19"/>
      <c r="B120" s="10"/>
      <c r="C120" s="10"/>
      <c r="D120" s="10"/>
      <c r="E120" s="10"/>
      <c r="F120" s="10"/>
      <c r="G120" s="10"/>
      <c r="H120" s="10"/>
      <c r="I120" s="389"/>
      <c r="M120" s="487">
        <v>1.6</v>
      </c>
      <c r="N120" s="478">
        <v>0.419</v>
      </c>
      <c r="O120" s="479">
        <v>0.531</v>
      </c>
      <c r="P120" s="480">
        <v>0.655</v>
      </c>
      <c r="Q120" s="480">
        <v>0.793</v>
      </c>
      <c r="R120" s="480">
        <v>0.944</v>
      </c>
      <c r="S120" s="480">
        <v>1.11</v>
      </c>
      <c r="T120" s="480">
        <v>1.29</v>
      </c>
      <c r="U120" s="480">
        <v>1.47</v>
      </c>
      <c r="V120" s="480">
        <v>1.66</v>
      </c>
      <c r="W120" s="480">
        <v>1.86</v>
      </c>
      <c r="X120" s="480">
        <v>2.08</v>
      </c>
      <c r="Y120" s="480">
        <v>2.53</v>
      </c>
      <c r="Z120" s="481">
        <v>3.03</v>
      </c>
      <c r="AA120" s="480">
        <v>3.57</v>
      </c>
      <c r="AB120" s="480">
        <v>4.14</v>
      </c>
      <c r="AC120" s="482">
        <v>4.75</v>
      </c>
      <c r="AF120" s="405" t="s">
        <v>810</v>
      </c>
      <c r="AG120" s="406">
        <v>18.2</v>
      </c>
      <c r="AH120" s="407">
        <v>23.7</v>
      </c>
      <c r="AI120" s="408">
        <v>0.43</v>
      </c>
      <c r="AJ120" s="409">
        <v>7.04</v>
      </c>
      <c r="AK120" s="408">
        <v>0.59</v>
      </c>
      <c r="AL120" s="410">
        <v>1.09</v>
      </c>
    </row>
    <row r="121" spans="1:41" ht="12.75">
      <c r="A121" s="73" t="str">
        <f>IF(AND($D$29=0,$D$30=0,$D$31=0),$M$262,IF(AND($D$29&gt;0,$D$30&gt;0,$D$31=0),$M$290,IF(AND($D$29&gt;0,$D$30&gt;0,$D$31&gt;0),$M$331)))</f>
        <v>  Gross Tension Capacity of Beam for Both Flanges Coped:</v>
      </c>
      <c r="B121" s="10"/>
      <c r="C121" s="10"/>
      <c r="D121" s="10"/>
      <c r="E121" s="10"/>
      <c r="F121" s="10"/>
      <c r="G121" s="10"/>
      <c r="H121" s="10"/>
      <c r="I121" s="389"/>
      <c r="M121" s="487">
        <v>1.8</v>
      </c>
      <c r="N121" s="478">
        <v>0.373</v>
      </c>
      <c r="O121" s="324">
        <v>0.473</v>
      </c>
      <c r="P121" s="480">
        <v>0.584</v>
      </c>
      <c r="Q121" s="480">
        <v>0.708</v>
      </c>
      <c r="R121" s="480">
        <v>0.844</v>
      </c>
      <c r="S121" s="480">
        <v>0.995</v>
      </c>
      <c r="T121" s="480">
        <v>1.16</v>
      </c>
      <c r="U121" s="480">
        <v>1.32</v>
      </c>
      <c r="V121" s="480">
        <v>1.49</v>
      </c>
      <c r="W121" s="480">
        <v>1.67</v>
      </c>
      <c r="X121" s="480">
        <v>1.87</v>
      </c>
      <c r="Y121" s="480">
        <v>2.28</v>
      </c>
      <c r="Z121" s="481">
        <v>2.73</v>
      </c>
      <c r="AA121" s="480">
        <v>3.23</v>
      </c>
      <c r="AB121" s="480">
        <v>3.75</v>
      </c>
      <c r="AC121" s="321">
        <v>4.31</v>
      </c>
      <c r="AF121" s="405" t="s">
        <v>811</v>
      </c>
      <c r="AG121" s="406">
        <v>16.2</v>
      </c>
      <c r="AH121" s="407">
        <v>23.6</v>
      </c>
      <c r="AI121" s="408">
        <v>0.395</v>
      </c>
      <c r="AJ121" s="409">
        <v>7.01</v>
      </c>
      <c r="AK121" s="408">
        <v>0.505</v>
      </c>
      <c r="AL121" s="410">
        <v>1.01</v>
      </c>
      <c r="AN121" s="50"/>
      <c r="AO121" s="100"/>
    </row>
    <row r="122" spans="1:41" ht="12.75">
      <c r="A122" s="51" t="s">
        <v>35</v>
      </c>
      <c r="B122" s="184">
        <f>IF(AND($D$29=0,$D$30=0,$D$31=0),$N$263,IF(AND($D$29&gt;0,$D$30&gt;0,$D$30&lt;=0.5*$B$45,$D$31=0),$N$291,IF(AND($D$29&gt;0,$D$30&gt;0,$D$30&lt;=0.5*$B$45,$D$31&gt;0),$N$332)))</f>
        <v>5.68</v>
      </c>
      <c r="C122" s="10"/>
      <c r="D122" s="440" t="str">
        <f>IF(AND($D$29=0,$D$30=0,$D$31=0),$P$263,IF(AND($D$29&gt;0,$D$30&gt;0,$D$30&lt;=0.5*$B$45,$D$31=0),$P$291,IF(AND($D$29&gt;0,$D$30&gt;0,$D$30&lt;=0.5*$B$45,$D$31&gt;0),$P$332)))</f>
        <v>Atg = ho*tw</v>
      </c>
      <c r="E122" s="10"/>
      <c r="F122" s="10"/>
      <c r="G122" s="10"/>
      <c r="H122" s="10"/>
      <c r="I122" s="389"/>
      <c r="L122" s="365"/>
      <c r="M122" s="487">
        <v>2</v>
      </c>
      <c r="N122" s="478">
        <v>0.337</v>
      </c>
      <c r="O122" s="488">
        <v>0.427</v>
      </c>
      <c r="P122" s="489">
        <v>0.527</v>
      </c>
      <c r="Q122" s="489">
        <v>0.639</v>
      </c>
      <c r="R122" s="489">
        <v>0.763</v>
      </c>
      <c r="S122" s="489">
        <v>0.9</v>
      </c>
      <c r="T122" s="489">
        <v>1.05</v>
      </c>
      <c r="U122" s="489">
        <v>1.19</v>
      </c>
      <c r="V122" s="489">
        <v>1.35</v>
      </c>
      <c r="W122" s="489">
        <v>1.52</v>
      </c>
      <c r="X122" s="489">
        <v>1.69</v>
      </c>
      <c r="Y122" s="489">
        <v>2.07</v>
      </c>
      <c r="Z122" s="490">
        <v>2.49</v>
      </c>
      <c r="AA122" s="489">
        <v>2.94</v>
      </c>
      <c r="AB122" s="489">
        <v>3.43</v>
      </c>
      <c r="AC122" s="491">
        <v>3.95</v>
      </c>
      <c r="AF122" s="405" t="s">
        <v>812</v>
      </c>
      <c r="AG122" s="406">
        <v>59.2</v>
      </c>
      <c r="AH122" s="407">
        <v>23</v>
      </c>
      <c r="AI122" s="408">
        <v>0.91</v>
      </c>
      <c r="AJ122" s="407">
        <v>12.6</v>
      </c>
      <c r="AK122" s="409">
        <v>1.63</v>
      </c>
      <c r="AL122" s="410">
        <v>2.13</v>
      </c>
      <c r="AN122" s="50"/>
      <c r="AO122" s="100"/>
    </row>
    <row r="123" spans="1:41" ht="12.75">
      <c r="A123" s="51" t="s">
        <v>36</v>
      </c>
      <c r="B123" s="183">
        <f>IF(AND($D$29=0,$D$30=0,$D$31=0),$N$264,IF(AND($D$29&gt;0,$D$30&gt;0,$D$30&lt;=0.5*$B$45,$D$31=0),$N$292,IF(AND($D$29&gt;0,$D$30&gt;0,$D$30&lt;=0.5*$B$45,$D$31&gt;0),$N$333)))</f>
        <v>149.2732394366197</v>
      </c>
      <c r="C123" s="10"/>
      <c r="D123" s="441" t="str">
        <f>IF(AND($D$29=0,$D$30=0,$D$31=0),$P$264,IF(AND($D$29&gt;0,$D$30&gt;0,$D$30&lt;=0.5*$B$45,$D$31=0),$P$292,IF(AND($D$29&gt;0,$D$30&gt;0,$D$30&lt;=0.5*$B$45,$D$31&gt;0),$P$333)))</f>
        <v>Rtg = (0.60*Fyb*Atg)*(1-(R/Rvg)^2)</v>
      </c>
      <c r="E123" s="10"/>
      <c r="F123" s="10"/>
      <c r="G123" s="10"/>
      <c r="H123" s="10"/>
      <c r="I123" s="389" t="str">
        <f>IF($D$17&gt;0,IF($B$123&gt;=$D$17,"Rtg &gt;= P,  O.K.  ","Rtg &lt; P, N.G.  "),"")</f>
        <v>Rtg &gt;= P,  O.K.  </v>
      </c>
      <c r="L123" s="365"/>
      <c r="M123" s="487">
        <v>2.2</v>
      </c>
      <c r="N123" s="492">
        <v>0.307</v>
      </c>
      <c r="O123" s="479">
        <v>0.388</v>
      </c>
      <c r="P123" s="480">
        <v>0.48</v>
      </c>
      <c r="Q123" s="480">
        <v>0.583</v>
      </c>
      <c r="R123" s="480">
        <v>0.696</v>
      </c>
      <c r="S123" s="480">
        <v>0.821</v>
      </c>
      <c r="T123" s="480">
        <v>0.956</v>
      </c>
      <c r="U123" s="480">
        <v>1.09</v>
      </c>
      <c r="V123" s="320">
        <v>1.23</v>
      </c>
      <c r="W123" s="480">
        <v>1.39</v>
      </c>
      <c r="X123" s="320">
        <v>1.55</v>
      </c>
      <c r="Y123" s="480">
        <v>1.9</v>
      </c>
      <c r="Z123" s="480">
        <v>2.28</v>
      </c>
      <c r="AA123" s="480">
        <v>2.7</v>
      </c>
      <c r="AB123" s="480">
        <v>3.15</v>
      </c>
      <c r="AC123" s="482">
        <v>3.64</v>
      </c>
      <c r="AF123" s="405" t="s">
        <v>813</v>
      </c>
      <c r="AG123" s="406">
        <v>53.6</v>
      </c>
      <c r="AH123" s="407">
        <v>22.7</v>
      </c>
      <c r="AI123" s="408">
        <v>0.83</v>
      </c>
      <c r="AJ123" s="407">
        <v>12.5</v>
      </c>
      <c r="AK123" s="409">
        <v>1.48</v>
      </c>
      <c r="AL123" s="410">
        <v>1.98</v>
      </c>
      <c r="AN123" s="50" t="str">
        <f>IF(AO123="","N.A.","SR =")</f>
        <v>SR =</v>
      </c>
      <c r="AO123" s="100">
        <f>IF($D$17&gt;0,$D$17/$B$123,"")</f>
        <v>0.033495621980676335</v>
      </c>
    </row>
    <row r="124" spans="1:41" ht="12.75">
      <c r="A124" s="19"/>
      <c r="B124" s="10"/>
      <c r="C124" s="10"/>
      <c r="D124" s="10"/>
      <c r="E124" s="10"/>
      <c r="F124" s="10"/>
      <c r="G124" s="10"/>
      <c r="H124" s="10"/>
      <c r="I124" s="389"/>
      <c r="L124" s="365"/>
      <c r="M124" s="487">
        <v>2.4</v>
      </c>
      <c r="N124" s="478">
        <v>0.281</v>
      </c>
      <c r="O124" s="493">
        <v>0.356</v>
      </c>
      <c r="P124" s="494">
        <v>0.44</v>
      </c>
      <c r="Q124" s="326">
        <v>0.535</v>
      </c>
      <c r="R124" s="494">
        <v>0.639</v>
      </c>
      <c r="S124" s="494">
        <v>0.755</v>
      </c>
      <c r="T124" s="494">
        <v>0.879</v>
      </c>
      <c r="U124" s="494">
        <v>1</v>
      </c>
      <c r="V124" s="495">
        <v>1.14</v>
      </c>
      <c r="W124" s="494">
        <v>1.28</v>
      </c>
      <c r="X124" s="494">
        <v>1.43</v>
      </c>
      <c r="Y124" s="495">
        <v>1.75</v>
      </c>
      <c r="Z124" s="496">
        <v>2.11</v>
      </c>
      <c r="AA124" s="494">
        <v>2.5</v>
      </c>
      <c r="AB124" s="494">
        <v>2.92</v>
      </c>
      <c r="AC124" s="497">
        <v>3.37</v>
      </c>
      <c r="AF124" s="405" t="s">
        <v>814</v>
      </c>
      <c r="AG124" s="406">
        <v>48.8</v>
      </c>
      <c r="AH124" s="407">
        <v>22.5</v>
      </c>
      <c r="AI124" s="408">
        <v>0.75</v>
      </c>
      <c r="AJ124" s="407">
        <v>12.4</v>
      </c>
      <c r="AK124" s="409">
        <v>1.36</v>
      </c>
      <c r="AL124" s="410">
        <v>1.86</v>
      </c>
      <c r="AN124" s="50"/>
      <c r="AO124" s="100"/>
    </row>
    <row r="125" spans="1:41" ht="12.75">
      <c r="A125" s="73" t="str">
        <f>IF(AND($D$29=0,$D$30=0,$D$31=0),$M$265,IF(AND($D$29&gt;0,$D$30&gt;0,$D$31=0),$M$293,IF(AND($D$29&gt;0,$D$30&gt;0,$D$31&gt;0),$M$334)))</f>
        <v>  Block Shear ("L-shaped") Capacity of Beam Web for Both Flanges Coped:</v>
      </c>
      <c r="B125" s="45"/>
      <c r="C125" s="129"/>
      <c r="D125" s="45"/>
      <c r="E125" s="10"/>
      <c r="F125" s="10"/>
      <c r="G125" s="10"/>
      <c r="H125" s="10"/>
      <c r="I125" s="389"/>
      <c r="L125" s="365"/>
      <c r="M125" s="487">
        <v>2.6</v>
      </c>
      <c r="N125" s="478">
        <v>0.26</v>
      </c>
      <c r="O125" s="324">
        <v>0.329</v>
      </c>
      <c r="P125" s="480">
        <v>0.407</v>
      </c>
      <c r="Q125" s="480">
        <v>0.493</v>
      </c>
      <c r="R125" s="480">
        <v>0.592</v>
      </c>
      <c r="S125" s="480">
        <v>0.699</v>
      </c>
      <c r="T125" s="480">
        <v>0.813</v>
      </c>
      <c r="U125" s="319">
        <v>0.929</v>
      </c>
      <c r="V125" s="480">
        <v>1.05</v>
      </c>
      <c r="W125" s="480">
        <v>1.19</v>
      </c>
      <c r="X125" s="480">
        <v>1.32</v>
      </c>
      <c r="Y125" s="480">
        <v>1.62</v>
      </c>
      <c r="Z125" s="485">
        <v>1.96</v>
      </c>
      <c r="AA125" s="480">
        <v>2.32</v>
      </c>
      <c r="AB125" s="480">
        <v>2.71</v>
      </c>
      <c r="AC125" s="482">
        <v>3.14</v>
      </c>
      <c r="AF125" s="405" t="s">
        <v>815</v>
      </c>
      <c r="AG125" s="406">
        <v>43.2</v>
      </c>
      <c r="AH125" s="407">
        <v>22.1</v>
      </c>
      <c r="AI125" s="408">
        <v>0.72</v>
      </c>
      <c r="AJ125" s="407">
        <v>12.5</v>
      </c>
      <c r="AK125" s="409">
        <v>1.15</v>
      </c>
      <c r="AL125" s="410">
        <v>1.65</v>
      </c>
      <c r="AN125" s="50"/>
      <c r="AO125" s="100"/>
    </row>
    <row r="126" spans="1:41" ht="12.75">
      <c r="A126" s="69" t="s">
        <v>601</v>
      </c>
      <c r="B126" s="184">
        <f>IF(AND($D$29=0,$D$30=0,$D$31=0),$N$266,IF(AND($D$29&gt;0,$D$30&gt;0,$D$31=0),$N$294,IF(AND($D$29&gt;0,$D$30&gt;0,$D$31&gt;0),$N$335)))</f>
        <v>5.191875</v>
      </c>
      <c r="C126" s="113" t="s">
        <v>243</v>
      </c>
      <c r="D126" s="52" t="str">
        <f>IF(AND($D$29=0,$D$30=0,$D$31=0),$P$266,IF(AND($D$29&gt;0,$D$30&gt;0,$D$31=0),$P$294,IF(AND($D$29&gt;0,$D$30&gt;0,$D$31&gt;0),$P$335)))</f>
        <v>Agv = ((D1-dc1)+L)*tw</v>
      </c>
      <c r="E126" s="10"/>
      <c r="F126" s="10"/>
      <c r="G126" s="10"/>
      <c r="H126" s="10"/>
      <c r="I126" s="389"/>
      <c r="L126" s="365"/>
      <c r="M126" s="487">
        <v>2.8</v>
      </c>
      <c r="N126" s="478">
        <v>0.243</v>
      </c>
      <c r="O126" s="479">
        <v>0.307</v>
      </c>
      <c r="P126" s="480">
        <v>0.379</v>
      </c>
      <c r="Q126" s="480">
        <v>0.459</v>
      </c>
      <c r="R126" s="480">
        <v>0.549</v>
      </c>
      <c r="S126" s="480">
        <v>0.649</v>
      </c>
      <c r="T126" s="480">
        <v>0.757</v>
      </c>
      <c r="U126" s="480">
        <v>0.865</v>
      </c>
      <c r="V126" s="480">
        <v>0.981</v>
      </c>
      <c r="W126" s="480">
        <v>1.1</v>
      </c>
      <c r="X126" s="480">
        <v>1.23</v>
      </c>
      <c r="Y126" s="480">
        <v>1.51</v>
      </c>
      <c r="Z126" s="481">
        <v>1.82</v>
      </c>
      <c r="AA126" s="320">
        <v>2.16</v>
      </c>
      <c r="AB126" s="480">
        <v>2.54</v>
      </c>
      <c r="AC126" s="482">
        <v>2.94</v>
      </c>
      <c r="AF126" s="405" t="s">
        <v>816</v>
      </c>
      <c r="AG126" s="406">
        <v>38.8</v>
      </c>
      <c r="AH126" s="407">
        <v>21.8</v>
      </c>
      <c r="AI126" s="408">
        <v>0.65</v>
      </c>
      <c r="AJ126" s="407">
        <v>12.4</v>
      </c>
      <c r="AK126" s="409">
        <v>1.04</v>
      </c>
      <c r="AL126" s="410">
        <v>1.54</v>
      </c>
      <c r="AN126" s="50"/>
      <c r="AO126" s="100"/>
    </row>
    <row r="127" spans="1:41" ht="12.75">
      <c r="A127" s="69" t="s">
        <v>602</v>
      </c>
      <c r="B127" s="175">
        <f>IF(AND($D$29=0,$D$30=0,$D$31=0),$N$267,IF(AND($D$29&gt;0,$D$30&gt;0,$D$31=0),$N$295,IF(AND($D$29&gt;0,$D$30&gt;0,$D$31&gt;0),$N$336)))</f>
        <v>0.8875</v>
      </c>
      <c r="C127" s="113" t="s">
        <v>243</v>
      </c>
      <c r="D127" s="52" t="str">
        <f>IF(AND($D$29=0,$D$30=0,$D$31=0),$P$267,IF(AND($D$29&gt;0,$D$30&gt;0,$D$31=0),$P$295,IF(AND($D$29&gt;0,$D$30&gt;0,$D$31&gt;0),$P$336)))</f>
        <v>Ant = (Lb-s)*tw</v>
      </c>
      <c r="E127" s="10"/>
      <c r="F127" s="10"/>
      <c r="G127" s="10"/>
      <c r="H127" s="10"/>
      <c r="I127" s="389"/>
      <c r="L127" s="397"/>
      <c r="M127" s="498">
        <v>3</v>
      </c>
      <c r="N127" s="499">
        <v>0.227</v>
      </c>
      <c r="O127" s="500">
        <v>0.285</v>
      </c>
      <c r="P127" s="501">
        <v>0.353</v>
      </c>
      <c r="Q127" s="501">
        <v>0.428</v>
      </c>
      <c r="R127" s="322">
        <v>0.515</v>
      </c>
      <c r="S127" s="501">
        <v>0.608</v>
      </c>
      <c r="T127" s="501">
        <v>0.708</v>
      </c>
      <c r="U127" s="501">
        <v>0.809</v>
      </c>
      <c r="V127" s="501">
        <v>0.917</v>
      </c>
      <c r="W127" s="501">
        <v>1.03</v>
      </c>
      <c r="X127" s="501">
        <v>1.15</v>
      </c>
      <c r="Y127" s="501">
        <v>1.42</v>
      </c>
      <c r="Z127" s="502">
        <v>1.71</v>
      </c>
      <c r="AA127" s="501">
        <v>2.03</v>
      </c>
      <c r="AB127" s="501">
        <v>2.38</v>
      </c>
      <c r="AC127" s="503">
        <v>2.76</v>
      </c>
      <c r="AF127" s="405" t="s">
        <v>817</v>
      </c>
      <c r="AG127" s="406">
        <v>35.9</v>
      </c>
      <c r="AH127" s="407">
        <v>21.7</v>
      </c>
      <c r="AI127" s="408">
        <v>0.6</v>
      </c>
      <c r="AJ127" s="407">
        <v>12.4</v>
      </c>
      <c r="AK127" s="408">
        <v>0.96</v>
      </c>
      <c r="AL127" s="410">
        <v>1.46</v>
      </c>
      <c r="AN127" s="50"/>
      <c r="AO127" s="100"/>
    </row>
    <row r="128" spans="1:41" ht="12.75">
      <c r="A128" s="69" t="s">
        <v>220</v>
      </c>
      <c r="B128" s="183">
        <f>IF(AND($D$29=0,$D$30=0,$D$31=0),$N$268,IF(AND($D$29&gt;0,$D$30&gt;0,$D$31=0),$N$296,IF(AND($D$29&gt;0,$D$30&gt;0,$D$31&gt;0),$N$337)))</f>
        <v>106.721875</v>
      </c>
      <c r="C128" s="113" t="s">
        <v>237</v>
      </c>
      <c r="D128" s="52" t="str">
        <f>IF(AND($D$29=0,$D$30=0,$D$31=0),$P$268,IF(AND($D$29&gt;0,$D$30&gt;0,$D$31=0),$P$296,IF(AND($D$29&gt;0,$D$30&gt;0,$D$31&gt;0),$P$337)))</f>
        <v>Rbs = 0.30*Fyb*Agv+0.50*Fub*Ant</v>
      </c>
      <c r="E128" s="10"/>
      <c r="F128" s="10"/>
      <c r="G128" s="10"/>
      <c r="H128" s="80"/>
      <c r="I128" s="389" t="str">
        <f>IF(AND($D$29=0,$D$30=0,$D$31=0),"",IF($B$128&gt;=$D$16,"Rbs &gt;= R,  O.K.  ","Rbs &lt; R, N.G.  "))</f>
        <v>Rbs &gt;= R,  O.K.  </v>
      </c>
      <c r="L128" s="365"/>
      <c r="M128" s="504" t="s">
        <v>526</v>
      </c>
      <c r="N128" s="505">
        <v>0</v>
      </c>
      <c r="O128" s="325">
        <v>0.008</v>
      </c>
      <c r="P128" s="322">
        <v>0.029</v>
      </c>
      <c r="Q128" s="322">
        <v>0.056</v>
      </c>
      <c r="R128" s="322">
        <v>0.089</v>
      </c>
      <c r="S128" s="322">
        <v>0.125</v>
      </c>
      <c r="T128" s="322">
        <v>0.164</v>
      </c>
      <c r="U128" s="322">
        <v>0.204</v>
      </c>
      <c r="V128" s="322">
        <v>0.246</v>
      </c>
      <c r="W128" s="322">
        <v>0.289</v>
      </c>
      <c r="X128" s="322">
        <v>0.333</v>
      </c>
      <c r="Y128" s="322">
        <v>0.424</v>
      </c>
      <c r="Z128" s="506">
        <v>0.516</v>
      </c>
      <c r="AA128" s="322">
        <v>0.61</v>
      </c>
      <c r="AB128" s="322">
        <v>0.704</v>
      </c>
      <c r="AC128" s="323">
        <v>0.8</v>
      </c>
      <c r="AF128" s="405" t="s">
        <v>818</v>
      </c>
      <c r="AG128" s="406">
        <v>32.7</v>
      </c>
      <c r="AH128" s="407">
        <v>21.5</v>
      </c>
      <c r="AI128" s="408">
        <v>0.55</v>
      </c>
      <c r="AJ128" s="407">
        <v>12.3</v>
      </c>
      <c r="AK128" s="408">
        <v>0.875</v>
      </c>
      <c r="AL128" s="410">
        <v>1.38</v>
      </c>
      <c r="AN128" s="50" t="str">
        <f>IF(AO128="","N.A.","SR =")</f>
        <v>SR =</v>
      </c>
      <c r="AO128" s="100">
        <f>IF(AND($D$29=0,$D$30=0,$D$31=0),"",$D$16/$B$128)</f>
        <v>0.3748060086088255</v>
      </c>
    </row>
    <row r="129" spans="1:41" ht="12.75">
      <c r="A129" s="19"/>
      <c r="B129" s="10"/>
      <c r="C129" s="112"/>
      <c r="D129" s="10"/>
      <c r="E129" s="10"/>
      <c r="F129" s="10"/>
      <c r="G129" s="10"/>
      <c r="H129" s="10"/>
      <c r="I129" s="389"/>
      <c r="L129" s="365"/>
      <c r="AF129" s="405" t="s">
        <v>819</v>
      </c>
      <c r="AG129" s="406">
        <v>29.8</v>
      </c>
      <c r="AH129" s="407">
        <v>21.4</v>
      </c>
      <c r="AI129" s="408">
        <v>0.5</v>
      </c>
      <c r="AJ129" s="407">
        <v>12.3</v>
      </c>
      <c r="AK129" s="408">
        <v>0.8</v>
      </c>
      <c r="AL129" s="410">
        <v>1.3</v>
      </c>
      <c r="AN129" s="50"/>
      <c r="AO129" s="100"/>
    </row>
    <row r="130" spans="1:41" ht="12.75">
      <c r="A130" s="73" t="str">
        <f>IF(AND($D$29=0,$D$30=0,$D$31=0),M269,IF(AND($D$29&gt;0,$D$30&gt;0,$D$31=0),M297,IF(AND($D$29&gt;0,$D$30&gt;0,$D$31&gt;0),M338)))</f>
        <v>  Tension Tear-Out ("L-shaped") Capacity of Beam Web for Both Flanges Coped:</v>
      </c>
      <c r="B130" s="45"/>
      <c r="C130" s="129"/>
      <c r="D130" s="45"/>
      <c r="E130" s="37"/>
      <c r="F130" s="37"/>
      <c r="G130" s="37"/>
      <c r="H130" s="108"/>
      <c r="I130" s="389"/>
      <c r="L130" s="365"/>
      <c r="M130" s="141" t="s">
        <v>529</v>
      </c>
      <c r="N130" s="463"/>
      <c r="O130" s="107"/>
      <c r="P130" s="463"/>
      <c r="Q130" s="463"/>
      <c r="R130" s="143"/>
      <c r="S130" s="143"/>
      <c r="T130" s="143"/>
      <c r="U130" s="142"/>
      <c r="V130" s="143"/>
      <c r="W130" s="143"/>
      <c r="X130" s="143"/>
      <c r="Y130" s="143"/>
      <c r="Z130" s="144"/>
      <c r="AA130" s="143"/>
      <c r="AB130" s="143"/>
      <c r="AC130" s="144"/>
      <c r="AF130" s="405" t="s">
        <v>820</v>
      </c>
      <c r="AG130" s="406">
        <v>27.3</v>
      </c>
      <c r="AH130" s="407">
        <v>21.6</v>
      </c>
      <c r="AI130" s="408">
        <v>0.58</v>
      </c>
      <c r="AJ130" s="409">
        <v>8.42</v>
      </c>
      <c r="AK130" s="408">
        <v>0.93</v>
      </c>
      <c r="AL130" s="410">
        <v>1.43</v>
      </c>
      <c r="AN130" s="50"/>
      <c r="AO130" s="100"/>
    </row>
    <row r="131" spans="1:41" ht="12.75">
      <c r="A131" s="69" t="s">
        <v>601</v>
      </c>
      <c r="B131" s="184">
        <f>IF(AND($D$29=0,$D$30=0,$D$31=0),$N$270,IF(AND($D$29&gt;0,$D$30&gt;0,$D$31=0),$N$298,IF(AND($D$29&gt;0,$D$30&gt;0,$D$31&gt;0),$N$339)))</f>
        <v>0.8875</v>
      </c>
      <c r="C131" s="113" t="s">
        <v>243</v>
      </c>
      <c r="D131" s="52" t="str">
        <f>IF(AND($D$29=0,$D$30=0,$D$31=0),$P$270,IF(AND($D$29&gt;0,$D$30&gt;0,$D$31=0),$P$298,IF(AND($D$29&gt;0,$D$30&gt;0,$D$31&gt;0),$P$339)))</f>
        <v>Agv = (Lb-s)*tw</v>
      </c>
      <c r="E131" s="37"/>
      <c r="F131" s="37"/>
      <c r="G131" s="25"/>
      <c r="H131" s="25"/>
      <c r="I131" s="389"/>
      <c r="L131" s="365"/>
      <c r="M131" s="464"/>
      <c r="N131" s="141" t="s">
        <v>323</v>
      </c>
      <c r="O131" s="107"/>
      <c r="P131" s="143"/>
      <c r="Q131" s="143"/>
      <c r="R131" s="143"/>
      <c r="S131" s="143"/>
      <c r="T131" s="465"/>
      <c r="U131" s="143"/>
      <c r="V131" s="143"/>
      <c r="W131" s="143"/>
      <c r="X131" s="143"/>
      <c r="Y131" s="156"/>
      <c r="Z131" s="144"/>
      <c r="AA131" s="143"/>
      <c r="AB131" s="156"/>
      <c r="AC131" s="144"/>
      <c r="AF131" s="405" t="s">
        <v>830</v>
      </c>
      <c r="AG131" s="406">
        <v>24.3</v>
      </c>
      <c r="AH131" s="407">
        <v>21.4</v>
      </c>
      <c r="AI131" s="408">
        <v>0.515</v>
      </c>
      <c r="AJ131" s="409">
        <v>8.36</v>
      </c>
      <c r="AK131" s="408">
        <v>0.835</v>
      </c>
      <c r="AL131" s="410">
        <v>1.34</v>
      </c>
      <c r="AN131" s="50"/>
      <c r="AO131" s="100"/>
    </row>
    <row r="132" spans="1:41" ht="12.75">
      <c r="A132" s="69" t="s">
        <v>602</v>
      </c>
      <c r="B132" s="175">
        <f>IF(AND($D$29=0,$D$30=0,$D$31=0),$N$271,IF(AND($D$29&gt;0,$D$30&gt;0,$D$31=0),$N$299,IF(AND($D$29&gt;0,$D$30&gt;0,$D$31&gt;0),$N$340)))</f>
        <v>5.191875</v>
      </c>
      <c r="C132" s="113" t="s">
        <v>243</v>
      </c>
      <c r="D132" s="52" t="str">
        <f>IF(AND($D$29=0,$D$30=0,$D$31=0),$P$271,IF(AND($D$29&gt;0,$D$30&gt;0,$D$31=0),$P$299,IF(AND($D$29&gt;0,$D$30&gt;0,$D$31&gt;0),$P$340)))</f>
        <v>At = ((D1-dc1)+L)*tw</v>
      </c>
      <c r="E132" s="37"/>
      <c r="F132" s="37"/>
      <c r="G132" s="25"/>
      <c r="H132" s="25"/>
      <c r="I132" s="389"/>
      <c r="L132" s="365"/>
      <c r="M132" s="467" t="s">
        <v>18</v>
      </c>
      <c r="N132" s="468">
        <v>0</v>
      </c>
      <c r="O132" s="140">
        <v>0.1</v>
      </c>
      <c r="P132" s="140">
        <v>0.2</v>
      </c>
      <c r="Q132" s="469">
        <v>0.3</v>
      </c>
      <c r="R132" s="140">
        <v>0.4</v>
      </c>
      <c r="S132" s="469">
        <v>0.5</v>
      </c>
      <c r="T132" s="140">
        <v>0.6</v>
      </c>
      <c r="U132" s="469">
        <v>0.7</v>
      </c>
      <c r="V132" s="140">
        <v>0.8</v>
      </c>
      <c r="W132" s="469">
        <v>0.9</v>
      </c>
      <c r="X132" s="140">
        <v>1</v>
      </c>
      <c r="Y132" s="469">
        <v>1.2</v>
      </c>
      <c r="Z132" s="140">
        <v>1.4</v>
      </c>
      <c r="AA132" s="140">
        <v>1.6</v>
      </c>
      <c r="AB132" s="469">
        <v>1.8</v>
      </c>
      <c r="AC132" s="140">
        <v>2</v>
      </c>
      <c r="AF132" s="405" t="s">
        <v>831</v>
      </c>
      <c r="AG132" s="406">
        <v>21.5</v>
      </c>
      <c r="AH132" s="407">
        <v>21.2</v>
      </c>
      <c r="AI132" s="408">
        <v>0.455</v>
      </c>
      <c r="AJ132" s="409">
        <v>8.3</v>
      </c>
      <c r="AK132" s="408">
        <v>0.74</v>
      </c>
      <c r="AL132" s="410">
        <v>1.24</v>
      </c>
      <c r="AN132" s="50"/>
      <c r="AO132" s="100"/>
    </row>
    <row r="133" spans="1:41" ht="12.75">
      <c r="A133" s="69" t="s">
        <v>426</v>
      </c>
      <c r="B133" s="183">
        <f>IF(AND($D$29=0,$D$30=0,$D$31=0),$N$272,IF(AND($D$29&gt;0,$D$30&gt;0,$D$31=0),$N$300,IF(AND($D$29&gt;0,$D$30&gt;0,$D$31&gt;0),$N$341)))</f>
        <v>156.47435599783438</v>
      </c>
      <c r="C133" s="113" t="s">
        <v>237</v>
      </c>
      <c r="D133" s="52" t="str">
        <f>IF(AND($D$29=0,$D$30=0,$D$31=0),$P$272,IF(AND($D$29&gt;0,$D$30&gt;0,$D$31=0),$P$300,IF(AND($D$29&gt;0,$D$30&gt;0,$D$31&gt;0),$P$341)))</f>
        <v>Rto = (0.30*Fyb*Agv+0.50*Fub*Ant)*(1-(R/Rbs)^2)</v>
      </c>
      <c r="E133" s="37"/>
      <c r="F133" s="37"/>
      <c r="G133" s="25"/>
      <c r="H133" s="10"/>
      <c r="I133" s="389"/>
      <c r="K133" s="33"/>
      <c r="L133" s="365"/>
      <c r="M133" s="471">
        <v>0</v>
      </c>
      <c r="N133" s="472">
        <v>2.19</v>
      </c>
      <c r="O133" s="473">
        <v>2.59</v>
      </c>
      <c r="P133" s="474">
        <v>3</v>
      </c>
      <c r="Q133" s="318">
        <v>3.41</v>
      </c>
      <c r="R133" s="474">
        <v>3.82</v>
      </c>
      <c r="S133" s="474">
        <v>4.22</v>
      </c>
      <c r="T133" s="474">
        <v>4.63</v>
      </c>
      <c r="U133" s="474">
        <v>5.04</v>
      </c>
      <c r="V133" s="474">
        <v>5.45</v>
      </c>
      <c r="W133" s="474">
        <v>5.86</v>
      </c>
      <c r="X133" s="318">
        <v>6.26</v>
      </c>
      <c r="Y133" s="474">
        <v>7.08</v>
      </c>
      <c r="Z133" s="475">
        <v>7.9</v>
      </c>
      <c r="AA133" s="474">
        <v>8.71</v>
      </c>
      <c r="AB133" s="474">
        <v>9.53</v>
      </c>
      <c r="AC133" s="476">
        <v>10.3</v>
      </c>
      <c r="AF133" s="405" t="s">
        <v>832</v>
      </c>
      <c r="AG133" s="406">
        <v>20</v>
      </c>
      <c r="AH133" s="407">
        <v>21.1</v>
      </c>
      <c r="AI133" s="408">
        <v>0.43</v>
      </c>
      <c r="AJ133" s="409">
        <v>8.27</v>
      </c>
      <c r="AK133" s="408">
        <v>0.685</v>
      </c>
      <c r="AL133" s="410">
        <v>1.19</v>
      </c>
      <c r="AN133" s="50"/>
      <c r="AO133" s="100"/>
    </row>
    <row r="134" spans="1:41" ht="12.75">
      <c r="A134" s="19"/>
      <c r="B134" s="37"/>
      <c r="C134" s="120"/>
      <c r="D134" s="37"/>
      <c r="E134" s="37"/>
      <c r="F134" s="37"/>
      <c r="G134" s="25"/>
      <c r="H134" s="80"/>
      <c r="I134" s="389" t="str">
        <f>IF(AND($D$29=0,$D$30=0,$D$31=0),"",IF($D$17&gt;0,IF($B$133&gt;=$D$17,"Rto &gt;= P,  O.K.  ","Rto &lt; P, N.G.  "),""))</f>
        <v>Rto &gt;= P,  O.K.  </v>
      </c>
      <c r="K134" s="33"/>
      <c r="L134" s="365"/>
      <c r="M134" s="477">
        <v>0.1</v>
      </c>
      <c r="N134" s="478">
        <v>2.02</v>
      </c>
      <c r="O134" s="479">
        <v>2.57</v>
      </c>
      <c r="P134" s="480">
        <v>3.1</v>
      </c>
      <c r="Q134" s="320">
        <v>3.62</v>
      </c>
      <c r="R134" s="480">
        <v>4.15</v>
      </c>
      <c r="S134" s="480">
        <v>4.67</v>
      </c>
      <c r="T134" s="480">
        <v>5.19</v>
      </c>
      <c r="U134" s="480">
        <v>5.71</v>
      </c>
      <c r="V134" s="480">
        <v>6.23</v>
      </c>
      <c r="W134" s="480">
        <v>6.76</v>
      </c>
      <c r="X134" s="480">
        <v>7.28</v>
      </c>
      <c r="Y134" s="480">
        <v>8.33</v>
      </c>
      <c r="Z134" s="481">
        <v>9.37</v>
      </c>
      <c r="AA134" s="480">
        <v>10.4</v>
      </c>
      <c r="AB134" s="480">
        <v>11.5</v>
      </c>
      <c r="AC134" s="482">
        <v>12.5</v>
      </c>
      <c r="AF134" s="405" t="s">
        <v>833</v>
      </c>
      <c r="AG134" s="406">
        <v>18.3</v>
      </c>
      <c r="AH134" s="407">
        <v>21</v>
      </c>
      <c r="AI134" s="408">
        <v>0.4</v>
      </c>
      <c r="AJ134" s="409">
        <v>8.24</v>
      </c>
      <c r="AK134" s="408">
        <v>0.615</v>
      </c>
      <c r="AL134" s="410">
        <v>1.12</v>
      </c>
      <c r="AN134" s="50" t="str">
        <f>IF(AO134="","N.A.","SR =")</f>
        <v>SR =</v>
      </c>
      <c r="AO134" s="100">
        <f>IF(AND($D$29=0,$D$30=0,$D$31=0),"",IF($D$17&gt;0,$D$17/$B$133,""))</f>
        <v>0.03195411777294166</v>
      </c>
    </row>
    <row r="135" spans="1:41" ht="12.75">
      <c r="A135" s="73" t="str">
        <f>IF(AND($D$29=0,$D$30=0,$D$31=0),M273,IF(AND($D$29&gt;0,$D$30&gt;0,$D$31=0),M301,IF(AND($D$29&gt;0,$D$30&gt;0,$D$31&gt;0),M342)))</f>
        <v>  Tension Tear-Out ("U-shaped") Capacity of Beam Web for Both Flanges Coped:</v>
      </c>
      <c r="B135" s="10"/>
      <c r="C135" s="112"/>
      <c r="D135" s="10"/>
      <c r="E135" s="10"/>
      <c r="F135" s="10"/>
      <c r="G135" s="10"/>
      <c r="H135" s="10"/>
      <c r="I135" s="389"/>
      <c r="K135" s="33"/>
      <c r="L135" s="365"/>
      <c r="M135" s="483">
        <v>0.15</v>
      </c>
      <c r="N135" s="478">
        <v>1.92</v>
      </c>
      <c r="O135" s="479">
        <v>2.43</v>
      </c>
      <c r="P135" s="480">
        <v>2.95</v>
      </c>
      <c r="Q135" s="480">
        <v>3.47</v>
      </c>
      <c r="R135" s="480">
        <v>3.98</v>
      </c>
      <c r="S135" s="480">
        <v>4.49</v>
      </c>
      <c r="T135" s="320">
        <v>5.01</v>
      </c>
      <c r="U135" s="480">
        <v>5.52</v>
      </c>
      <c r="V135" s="480">
        <v>6.03</v>
      </c>
      <c r="W135" s="320">
        <v>6.54</v>
      </c>
      <c r="X135" s="480">
        <v>7.06</v>
      </c>
      <c r="Y135" s="480">
        <v>8.09</v>
      </c>
      <c r="Z135" s="481">
        <v>9.12</v>
      </c>
      <c r="AA135" s="480">
        <v>10.2</v>
      </c>
      <c r="AB135" s="480">
        <v>11.2</v>
      </c>
      <c r="AC135" s="482">
        <v>12.3</v>
      </c>
      <c r="AF135" s="405" t="s">
        <v>834</v>
      </c>
      <c r="AG135" s="406">
        <v>16.2</v>
      </c>
      <c r="AH135" s="407">
        <v>20.8</v>
      </c>
      <c r="AI135" s="408">
        <v>0.375</v>
      </c>
      <c r="AJ135" s="409">
        <v>8.22</v>
      </c>
      <c r="AK135" s="408">
        <v>0.522</v>
      </c>
      <c r="AL135" s="410">
        <v>1.02</v>
      </c>
      <c r="AN135" s="50"/>
      <c r="AO135" s="100"/>
    </row>
    <row r="136" spans="1:41" ht="12.75">
      <c r="A136" s="69" t="s">
        <v>601</v>
      </c>
      <c r="B136" s="184">
        <f>IF(AND($D$29=0,$D$30=0,$D$31=0),$N$274,IF(AND($D$29&gt;0,$D$30&gt;0,$D$31=0),$N$302,IF(AND($D$29&gt;0,$D$30&gt;0,$D$31&gt;0),$N$343)))</f>
        <v>1.775</v>
      </c>
      <c r="C136" s="113" t="s">
        <v>243</v>
      </c>
      <c r="D136" s="52" t="str">
        <f>IF(AND($D$29=0,$D$30=0,$D$31=0),$P$274,IF(AND($D$29&gt;0,$D$30&gt;0,$D$31=0),$P$302,IF(AND($D$29&gt;0,$D$30&gt;0,$D$31&gt;0),$P$343)))</f>
        <v>Agv = 2*(LB-s)*tw</v>
      </c>
      <c r="E136" s="10"/>
      <c r="F136" s="10"/>
      <c r="G136" s="10"/>
      <c r="H136" s="10"/>
      <c r="I136" s="389"/>
      <c r="K136" s="74"/>
      <c r="L136" s="365"/>
      <c r="M136" s="483">
        <v>0.2</v>
      </c>
      <c r="N136" s="478">
        <v>1.82</v>
      </c>
      <c r="O136" s="479">
        <v>2.29</v>
      </c>
      <c r="P136" s="480">
        <v>2.79</v>
      </c>
      <c r="Q136" s="480">
        <v>3.29</v>
      </c>
      <c r="R136" s="320">
        <v>3.78</v>
      </c>
      <c r="S136" s="480">
        <v>4.27</v>
      </c>
      <c r="T136" s="480">
        <v>4.77</v>
      </c>
      <c r="U136" s="480">
        <v>5.27</v>
      </c>
      <c r="V136" s="480">
        <v>5.77</v>
      </c>
      <c r="W136" s="480">
        <v>6.27</v>
      </c>
      <c r="X136" s="480">
        <v>6.77</v>
      </c>
      <c r="Y136" s="480">
        <v>7.78</v>
      </c>
      <c r="Z136" s="481">
        <v>8.81</v>
      </c>
      <c r="AA136" s="480">
        <v>9.83</v>
      </c>
      <c r="AB136" s="480">
        <v>10.9</v>
      </c>
      <c r="AC136" s="484">
        <v>11.9</v>
      </c>
      <c r="AF136" s="405" t="s">
        <v>835</v>
      </c>
      <c r="AG136" s="406">
        <v>14.1</v>
      </c>
      <c r="AH136" s="407">
        <v>20.6</v>
      </c>
      <c r="AI136" s="408">
        <v>0.35</v>
      </c>
      <c r="AJ136" s="409">
        <v>8.14</v>
      </c>
      <c r="AK136" s="408">
        <v>0.43</v>
      </c>
      <c r="AL136" s="412">
        <v>0.93</v>
      </c>
      <c r="AN136" s="50"/>
      <c r="AO136" s="100"/>
    </row>
    <row r="137" spans="1:41" ht="12.75">
      <c r="A137" s="69" t="s">
        <v>602</v>
      </c>
      <c r="B137" s="175">
        <f>IF(AND($D$29=0,$D$30=0,$D$31=0),$N$275,IF(AND($D$29&gt;0,$D$30&gt;0,$D$31=0),$N$303,IF(AND($D$29&gt;0,$D$30&gt;0,$D$31&gt;0),$N$344)))</f>
        <v>4.26</v>
      </c>
      <c r="C137" s="113" t="s">
        <v>243</v>
      </c>
      <c r="D137" s="52" t="str">
        <f>IF(AND($D$29=0,$D$30=0,$D$31=0),$P$275,IF(AND($D$29&gt;0,$D$30&gt;0,$D$31=0),$P$303,IF(AND($D$29&gt;0,$D$30&gt;0,$D$31&gt;0),$P$344)))</f>
        <v>Ant = L*tw</v>
      </c>
      <c r="E137" s="10"/>
      <c r="F137" s="10"/>
      <c r="G137" s="10"/>
      <c r="H137" s="10"/>
      <c r="I137" s="389"/>
      <c r="K137" s="33"/>
      <c r="L137" s="365"/>
      <c r="M137" s="483">
        <v>0.25</v>
      </c>
      <c r="N137" s="478">
        <v>1.71</v>
      </c>
      <c r="O137" s="479">
        <v>2.15</v>
      </c>
      <c r="P137" s="480">
        <v>2.62</v>
      </c>
      <c r="Q137" s="480">
        <v>3.1</v>
      </c>
      <c r="R137" s="480">
        <v>3.58</v>
      </c>
      <c r="S137" s="480">
        <v>4.06</v>
      </c>
      <c r="T137" s="480">
        <v>4.53</v>
      </c>
      <c r="U137" s="480">
        <v>5.01</v>
      </c>
      <c r="V137" s="480">
        <v>5.49</v>
      </c>
      <c r="W137" s="480">
        <v>5.97</v>
      </c>
      <c r="X137" s="480">
        <v>6.46</v>
      </c>
      <c r="Y137" s="480">
        <v>7.45</v>
      </c>
      <c r="Z137" s="481">
        <v>8.45</v>
      </c>
      <c r="AA137" s="480">
        <v>9.47</v>
      </c>
      <c r="AB137" s="480">
        <v>10.5</v>
      </c>
      <c r="AC137" s="482">
        <v>11.5</v>
      </c>
      <c r="AF137" s="405" t="s">
        <v>836</v>
      </c>
      <c r="AG137" s="406">
        <v>16.7</v>
      </c>
      <c r="AH137" s="407">
        <v>21.1</v>
      </c>
      <c r="AI137" s="408">
        <v>0.405</v>
      </c>
      <c r="AJ137" s="409">
        <v>6.56</v>
      </c>
      <c r="AK137" s="408">
        <v>0.65</v>
      </c>
      <c r="AL137" s="410">
        <v>1.15</v>
      </c>
      <c r="AN137" s="50"/>
      <c r="AO137" s="100"/>
    </row>
    <row r="138" spans="1:41" ht="12.75">
      <c r="A138" s="69" t="s">
        <v>426</v>
      </c>
      <c r="B138" s="183">
        <f>IF(AND($D$29=0,$D$30=0,$D$31=0),$N$276,IF(AND($D$29&gt;0,$D$30&gt;0,$D$31=0),$N$304,IF(AND($D$29&gt;0,$D$30&gt;0,$D$31&gt;0),$N$345)))</f>
        <v>165.075</v>
      </c>
      <c r="C138" s="113" t="s">
        <v>237</v>
      </c>
      <c r="D138" s="52" t="str">
        <f>IF(AND($D$29=0,$D$30=0,$D$31=0),$P$276,IF(AND($D$29&gt;0,$D$30&gt;0,$D$31=0),$P$304,IF(AND($D$29&gt;0,$D$30&gt;0,$D$31&gt;0),$P$345)))</f>
        <v>Rto = 0.30*Fyb*Agv+0.50*Fub*Ant</v>
      </c>
      <c r="E138" s="10"/>
      <c r="F138" s="10"/>
      <c r="G138" s="10"/>
      <c r="H138" s="59"/>
      <c r="I138" s="389" t="str">
        <f>IF(D17&gt;0,IF($B$138&gt;=$D$17,"Rto &gt;= P,  O.K.  ","Rto &lt; P, N.G.  "),"")</f>
        <v>Rto &gt;= P,  O.K.  </v>
      </c>
      <c r="K138" s="33"/>
      <c r="L138" s="365"/>
      <c r="M138" s="483">
        <v>0.3</v>
      </c>
      <c r="N138" s="478">
        <v>1.6</v>
      </c>
      <c r="O138" s="479">
        <v>2.01</v>
      </c>
      <c r="P138" s="480">
        <v>2.45</v>
      </c>
      <c r="Q138" s="480">
        <v>2.91</v>
      </c>
      <c r="R138" s="480">
        <v>3.37</v>
      </c>
      <c r="S138" s="480">
        <v>3.83</v>
      </c>
      <c r="T138" s="480">
        <v>4.29</v>
      </c>
      <c r="U138" s="320">
        <v>4.75</v>
      </c>
      <c r="V138" s="480">
        <v>5.21</v>
      </c>
      <c r="W138" s="480">
        <v>5.68</v>
      </c>
      <c r="X138" s="480">
        <v>6.15</v>
      </c>
      <c r="Y138" s="480">
        <v>7.11</v>
      </c>
      <c r="Z138" s="485">
        <v>8.09</v>
      </c>
      <c r="AA138" s="320">
        <v>9.09</v>
      </c>
      <c r="AB138" s="486">
        <v>10.1</v>
      </c>
      <c r="AC138" s="484">
        <v>11.1</v>
      </c>
      <c r="AF138" s="405" t="s">
        <v>837</v>
      </c>
      <c r="AG138" s="406">
        <v>14.7</v>
      </c>
      <c r="AH138" s="407">
        <v>20.8</v>
      </c>
      <c r="AI138" s="408">
        <v>0.38</v>
      </c>
      <c r="AJ138" s="409">
        <v>6.53</v>
      </c>
      <c r="AK138" s="408">
        <v>0.535</v>
      </c>
      <c r="AL138" s="410">
        <v>1.04</v>
      </c>
      <c r="AN138" s="50" t="str">
        <f>IF(AO138="","N.A.","SR =")</f>
        <v>SR =</v>
      </c>
      <c r="AO138" s="100">
        <f>IF($D$17&gt;0,$D$17/$B$138,"")</f>
        <v>0.030289262456459187</v>
      </c>
    </row>
    <row r="139" spans="1:38" ht="12.75">
      <c r="A139" s="527"/>
      <c r="B139" s="10"/>
      <c r="C139" s="10"/>
      <c r="D139" s="10"/>
      <c r="E139" s="10"/>
      <c r="F139" s="10"/>
      <c r="G139" s="10"/>
      <c r="H139" s="10"/>
      <c r="I139" s="389"/>
      <c r="K139" s="33"/>
      <c r="L139" s="365"/>
      <c r="M139" s="483">
        <v>0.4</v>
      </c>
      <c r="N139" s="478">
        <v>1.4</v>
      </c>
      <c r="O139" s="479">
        <v>1.76</v>
      </c>
      <c r="P139" s="480">
        <v>2.14</v>
      </c>
      <c r="Q139" s="480">
        <v>2.55</v>
      </c>
      <c r="R139" s="480">
        <v>2.97</v>
      </c>
      <c r="S139" s="480">
        <v>3.4</v>
      </c>
      <c r="T139" s="480">
        <v>3.83</v>
      </c>
      <c r="U139" s="480">
        <v>4.25</v>
      </c>
      <c r="V139" s="320">
        <v>4.69</v>
      </c>
      <c r="W139" s="480">
        <v>5.13</v>
      </c>
      <c r="X139" s="480">
        <v>5.57</v>
      </c>
      <c r="Y139" s="320">
        <v>6.48</v>
      </c>
      <c r="Z139" s="481">
        <v>7.42</v>
      </c>
      <c r="AA139" s="480">
        <v>8.38</v>
      </c>
      <c r="AB139" s="480">
        <v>9.36</v>
      </c>
      <c r="AC139" s="482">
        <v>10.4</v>
      </c>
      <c r="AF139" s="405" t="s">
        <v>838</v>
      </c>
      <c r="AG139" s="406">
        <v>13</v>
      </c>
      <c r="AH139" s="407">
        <v>20.7</v>
      </c>
      <c r="AI139" s="408">
        <v>0.35</v>
      </c>
      <c r="AJ139" s="409">
        <v>6.5</v>
      </c>
      <c r="AK139" s="408">
        <v>0.45</v>
      </c>
      <c r="AL139" s="412">
        <v>0.95</v>
      </c>
    </row>
    <row r="140" spans="1:38" ht="12.75">
      <c r="A140" s="67" t="str">
        <f>IF(AND($D$29=0,$D$30=0,$D$31=0),$M$277,IF(AND($D$29&gt;0,$D$30&gt;0,$D$30&lt;=0.5*$B$45,$D$31=0),$M$305,IF(AND($D$29&gt;0,$D$30&gt;0,$D$30&lt;=0.5*$B$45,$D$31&gt;0),$M$346)))</f>
        <v>  Web Buckling (Flexural Rupture) Capacity for Both Flanges Coped:</v>
      </c>
      <c r="B140" s="10"/>
      <c r="C140" s="10"/>
      <c r="D140" s="10"/>
      <c r="E140" s="10"/>
      <c r="F140" s="10"/>
      <c r="G140" s="10"/>
      <c r="H140" s="10"/>
      <c r="I140" s="389"/>
      <c r="K140" s="33"/>
      <c r="L140" s="365"/>
      <c r="M140" s="483">
        <v>0.5</v>
      </c>
      <c r="N140" s="478">
        <v>1.23</v>
      </c>
      <c r="O140" s="479">
        <v>1.54</v>
      </c>
      <c r="P140" s="480">
        <v>1.88</v>
      </c>
      <c r="Q140" s="480">
        <v>2.24</v>
      </c>
      <c r="R140" s="480">
        <v>2.62</v>
      </c>
      <c r="S140" s="480">
        <v>3.01</v>
      </c>
      <c r="T140" s="480">
        <v>3.41</v>
      </c>
      <c r="U140" s="320">
        <v>3.81</v>
      </c>
      <c r="V140" s="320">
        <v>4.22</v>
      </c>
      <c r="W140" s="320">
        <v>4.63</v>
      </c>
      <c r="X140" s="480">
        <v>5.05</v>
      </c>
      <c r="Y140" s="480">
        <v>5.92</v>
      </c>
      <c r="Z140" s="481">
        <v>6.81</v>
      </c>
      <c r="AA140" s="480">
        <v>7.74</v>
      </c>
      <c r="AB140" s="320">
        <v>8.68</v>
      </c>
      <c r="AC140" s="482">
        <v>9.65</v>
      </c>
      <c r="AF140" s="405" t="s">
        <v>1087</v>
      </c>
      <c r="AG140" s="406">
        <v>91.6</v>
      </c>
      <c r="AH140" s="407">
        <v>22.3</v>
      </c>
      <c r="AI140" s="409">
        <v>1.52</v>
      </c>
      <c r="AJ140" s="407">
        <v>12</v>
      </c>
      <c r="AK140" s="409">
        <v>2.74</v>
      </c>
      <c r="AL140" s="410">
        <v>3.24</v>
      </c>
    </row>
    <row r="141" spans="1:38" ht="12.75">
      <c r="A141" s="443" t="s">
        <v>106</v>
      </c>
      <c r="B141" s="184">
        <f>IF(AND($D$29=0,$D$30=0,$D$31=0),"N.A.",IF(AND($D$29&gt;0,$D$30&gt;0,$D$30&lt;=0.5*$B$45,$D$31=0),$N$306,IF(AND($D$29&gt;0,$D$30&gt;0,$D$30&lt;=0.5*$B$45,$D$31&gt;0),$N$347)))</f>
        <v>16</v>
      </c>
      <c r="C141" s="113" t="s">
        <v>268</v>
      </c>
      <c r="D141" s="440" t="str">
        <f>IF(AND($D$29=0,$D$30=0,$D$31=0),"ho = not applicable for uncoped beam",IF(AND($D$29&gt;0,$D$30&gt;0,$D$30&lt;=0.5*$B$45,$D$31=0),$P$306,IF(AND($D$29&gt;0,$D$30&gt;0,$D$30&lt;=0.5*$B$45,$D$31&gt;0),$P$347)))</f>
        <v>ho = d-dc1-dc2</v>
      </c>
      <c r="E141" s="25"/>
      <c r="F141" s="6"/>
      <c r="G141" s="10"/>
      <c r="H141" s="10"/>
      <c r="I141" s="389"/>
      <c r="K141" s="33"/>
      <c r="L141" s="365"/>
      <c r="M141" s="483">
        <v>0.6</v>
      </c>
      <c r="N141" s="478">
        <v>1.08</v>
      </c>
      <c r="O141" s="479">
        <v>1.36</v>
      </c>
      <c r="P141" s="480">
        <v>1.66</v>
      </c>
      <c r="Q141" s="480">
        <v>1.98</v>
      </c>
      <c r="R141" s="480">
        <v>2.33</v>
      </c>
      <c r="S141" s="480">
        <v>2.68</v>
      </c>
      <c r="T141" s="480">
        <v>3.05</v>
      </c>
      <c r="U141" s="320">
        <v>3.43</v>
      </c>
      <c r="V141" s="480">
        <v>3.81</v>
      </c>
      <c r="W141" s="480">
        <v>4.2</v>
      </c>
      <c r="X141" s="480">
        <v>4.6</v>
      </c>
      <c r="Y141" s="480">
        <v>5.42</v>
      </c>
      <c r="Z141" s="481">
        <v>6.28</v>
      </c>
      <c r="AA141" s="480">
        <v>7.17</v>
      </c>
      <c r="AB141" s="480">
        <v>8.08</v>
      </c>
      <c r="AC141" s="482">
        <v>9.02</v>
      </c>
      <c r="AF141" s="405" t="s">
        <v>1086</v>
      </c>
      <c r="AG141" s="406">
        <v>83.3</v>
      </c>
      <c r="AH141" s="407">
        <v>21.9</v>
      </c>
      <c r="AI141" s="409">
        <v>1.4</v>
      </c>
      <c r="AJ141" s="407">
        <v>11.9</v>
      </c>
      <c r="AK141" s="409">
        <v>2.5</v>
      </c>
      <c r="AL141" s="410">
        <v>3</v>
      </c>
    </row>
    <row r="142" spans="1:41" ht="12.75">
      <c r="A142" s="443" t="s">
        <v>325</v>
      </c>
      <c r="B142" s="175">
        <f>IF(AND($D$29=0,$D$30=0,$D$31=0),"N.A.",IF(AND($D$29&gt;0,$D$30&gt;0,$D$30&lt;=0.5*$B$45,$D$31=0),$N$307,IF(AND($D$29&gt;0,$D$30&gt;0,$D$30&lt;=0.5*$B$45,$D$31&gt;0),$N$348)))</f>
        <v>3.5</v>
      </c>
      <c r="C142" s="113" t="s">
        <v>268</v>
      </c>
      <c r="D142" s="440" t="str">
        <f>IF(AND($D$29=0,$D$30=0,$D$31=0),"ho = not applicable for uncoped beam",IF(AND($D$29&gt;0,$D$30&gt;0,$D$30&lt;=0.5*$B$45,$D$31=0),$P$307,IF(AND($D$29&gt;0,$D$30&gt;0,$D$30&lt;=0.5*$B$45,$D$31&gt;0),$P$348)))</f>
        <v>e = c+s</v>
      </c>
      <c r="E142" s="25"/>
      <c r="F142" s="6"/>
      <c r="G142" s="10"/>
      <c r="H142" s="10"/>
      <c r="I142" s="389"/>
      <c r="K142" s="74"/>
      <c r="M142" s="483">
        <v>0.7</v>
      </c>
      <c r="N142" s="478">
        <v>0.963</v>
      </c>
      <c r="O142" s="479">
        <v>1.21</v>
      </c>
      <c r="P142" s="480">
        <v>1.48</v>
      </c>
      <c r="Q142" s="480">
        <v>1.77</v>
      </c>
      <c r="R142" s="480">
        <v>2.08</v>
      </c>
      <c r="S142" s="480">
        <v>2.41</v>
      </c>
      <c r="T142" s="480">
        <v>2.75</v>
      </c>
      <c r="U142" s="480">
        <v>3.11</v>
      </c>
      <c r="V142" s="320">
        <v>3.46</v>
      </c>
      <c r="W142" s="480">
        <v>3.83</v>
      </c>
      <c r="X142" s="480">
        <v>4.2</v>
      </c>
      <c r="Y142" s="480">
        <v>4.99</v>
      </c>
      <c r="Z142" s="481">
        <v>5.81</v>
      </c>
      <c r="AA142" s="480">
        <v>6.67</v>
      </c>
      <c r="AB142" s="480">
        <v>7.56</v>
      </c>
      <c r="AC142" s="482">
        <v>8.46</v>
      </c>
      <c r="AF142" s="405" t="s">
        <v>1085</v>
      </c>
      <c r="AG142" s="406">
        <v>75.9</v>
      </c>
      <c r="AH142" s="407">
        <v>21.5</v>
      </c>
      <c r="AI142" s="409">
        <v>1.28</v>
      </c>
      <c r="AJ142" s="407">
        <v>11.8</v>
      </c>
      <c r="AK142" s="409">
        <v>2.3</v>
      </c>
      <c r="AL142" s="410">
        <v>2.7</v>
      </c>
      <c r="AN142" s="50"/>
      <c r="AO142" s="100"/>
    </row>
    <row r="143" spans="1:41" ht="12.75">
      <c r="A143" s="443" t="s">
        <v>1131</v>
      </c>
      <c r="B143" s="175">
        <f>IF(AND($D$29=0,$D$30=0,$D$31=0),"N.A.",IF(AND($D$29&gt;0,$D$30&gt;0,$D$30&lt;=0.5*$B$45,$D$31=0),$N$308,IF(AND($D$29&gt;0,$D$30&gt;0,$D$30&lt;=0.5*$B$45,$D$31&gt;0),$N$349)))</f>
        <v>8</v>
      </c>
      <c r="C143" s="113" t="s">
        <v>268</v>
      </c>
      <c r="D143" s="440" t="str">
        <f>IF(AND($D$29=0,$D$30=0,$D$31=0),"ho = not applicable for uncoped beam",IF(AND($D$29&gt;0,$D$30&gt;0,$D$30&lt;=0.5*$B$45,$D$31=0),$P$308,IF(AND($D$29&gt;0,$D$30&gt;0,$D$30&lt;=0.5*$B$45,$D$31&gt;0),$P$349)))</f>
        <v>yc = ho/2</v>
      </c>
      <c r="E143" s="25"/>
      <c r="F143" s="6"/>
      <c r="G143" s="10"/>
      <c r="H143" s="10"/>
      <c r="I143" s="389"/>
      <c r="K143" s="74"/>
      <c r="M143" s="483">
        <v>0.8</v>
      </c>
      <c r="N143" s="478">
        <v>0.863</v>
      </c>
      <c r="O143" s="479">
        <v>1.09</v>
      </c>
      <c r="P143" s="480">
        <v>1.33</v>
      </c>
      <c r="Q143" s="480">
        <v>1.6</v>
      </c>
      <c r="R143" s="480">
        <v>1.88</v>
      </c>
      <c r="S143" s="480">
        <v>2.18</v>
      </c>
      <c r="T143" s="320">
        <v>2.5</v>
      </c>
      <c r="U143" s="480">
        <v>2.83</v>
      </c>
      <c r="V143" s="320">
        <v>3.16</v>
      </c>
      <c r="W143" s="480">
        <v>3.51</v>
      </c>
      <c r="X143" s="480">
        <v>3.86</v>
      </c>
      <c r="Y143" s="480">
        <v>4.61</v>
      </c>
      <c r="Z143" s="481">
        <v>5.4</v>
      </c>
      <c r="AA143" s="480">
        <v>6.22</v>
      </c>
      <c r="AB143" s="480">
        <v>7.07</v>
      </c>
      <c r="AC143" s="321">
        <v>7.94</v>
      </c>
      <c r="AF143" s="405" t="s">
        <v>1102</v>
      </c>
      <c r="AG143" s="406">
        <v>68.8</v>
      </c>
      <c r="AH143" s="407">
        <v>21.1</v>
      </c>
      <c r="AI143" s="409">
        <v>1.16</v>
      </c>
      <c r="AJ143" s="407">
        <v>11.7</v>
      </c>
      <c r="AK143" s="409">
        <v>2.11</v>
      </c>
      <c r="AL143" s="410">
        <v>2.51</v>
      </c>
      <c r="AN143" s="50"/>
      <c r="AO143" s="100"/>
    </row>
    <row r="144" spans="1:41" ht="12.75">
      <c r="A144" s="443" t="s">
        <v>424</v>
      </c>
      <c r="B144" s="179">
        <f>IF(AND($D$29=0,$D$30=0,$D$31=0),"N.A.",IF(AND($D$29&gt;0,$D$30&gt;0,$D$30&lt;=0.5*$B$45,$D$31=0),$N$309,IF(AND($D$29&gt;0,$D$30&gt;0,$D$30&lt;=0.5*$B$45,$D$31&gt;0),$N$350)))</f>
        <v>121.17333333333333</v>
      </c>
      <c r="C144" s="113" t="s">
        <v>499</v>
      </c>
      <c r="D144" s="440" t="str">
        <f>IF(AND($D$29=0,$D$30=0,$D$31=0),"ho = not applicable for uncoped beam",IF(AND($D$29&gt;0,$D$30&gt;0,$D$30&lt;=0.5*$B$45,$D$31=0),$P$309,IF(AND($D$29&gt;0,$D$30&gt;0,$D$30&lt;=0.5*$B$45,$D$31&gt;0),$P$350)))</f>
        <v>In = tw*ho^3/12</v>
      </c>
      <c r="E144" s="25"/>
      <c r="F144" s="3"/>
      <c r="G144" s="10"/>
      <c r="H144" s="80"/>
      <c r="I144" s="389"/>
      <c r="K144" s="74"/>
      <c r="M144" s="483">
        <v>0.9</v>
      </c>
      <c r="N144" s="478">
        <v>0.781</v>
      </c>
      <c r="O144" s="479">
        <v>0.985</v>
      </c>
      <c r="P144" s="480">
        <v>1.21</v>
      </c>
      <c r="Q144" s="480">
        <v>1.45</v>
      </c>
      <c r="R144" s="480">
        <v>1.71</v>
      </c>
      <c r="S144" s="480">
        <v>1.99</v>
      </c>
      <c r="T144" s="480">
        <v>2.29</v>
      </c>
      <c r="U144" s="480">
        <v>2.59</v>
      </c>
      <c r="V144" s="480">
        <v>2.91</v>
      </c>
      <c r="W144" s="480">
        <v>3.23</v>
      </c>
      <c r="X144" s="480">
        <v>3.57</v>
      </c>
      <c r="Y144" s="480">
        <v>4.28</v>
      </c>
      <c r="Z144" s="481">
        <v>5.02</v>
      </c>
      <c r="AA144" s="320">
        <v>5.81</v>
      </c>
      <c r="AB144" s="480">
        <v>6.63</v>
      </c>
      <c r="AC144" s="321">
        <v>7.47</v>
      </c>
      <c r="AF144" s="405" t="s">
        <v>1101</v>
      </c>
      <c r="AG144" s="406">
        <v>62.1</v>
      </c>
      <c r="AH144" s="407">
        <v>20.7</v>
      </c>
      <c r="AI144" s="409">
        <v>1.06</v>
      </c>
      <c r="AJ144" s="407">
        <v>11.6</v>
      </c>
      <c r="AK144" s="409">
        <v>1.91</v>
      </c>
      <c r="AL144" s="410">
        <v>2.31</v>
      </c>
      <c r="AN144" s="50"/>
      <c r="AO144" s="100"/>
    </row>
    <row r="145" spans="1:41" ht="12.75">
      <c r="A145" s="443" t="s">
        <v>191</v>
      </c>
      <c r="B145" s="179">
        <f>IF(AND($D$29=0,$D$30=0,$D$31=0),"N.A.",IF(AND($D$29&gt;0,$D$30&gt;0,$D$30&lt;=0.5*$B$45,$D$31=0),$N$310,IF(AND($D$29&gt;0,$D$30&gt;0,$D$30&lt;=0.5*$B$45,$D$31&gt;0),$N$351)))</f>
        <v>15.146666666666667</v>
      </c>
      <c r="C145" s="113" t="s">
        <v>498</v>
      </c>
      <c r="D145" s="440" t="str">
        <f>IF(AND($D$29=0,$D$30=0,$D$31=0),"ho = not applicable for uncoped beam",IF(AND($D$29&gt;0,$D$30&gt;0,$D$30&lt;=0.5*$B$45,$D$31=0),$P$310,IF(AND($D$29&gt;0,$D$30&gt;0,$D$30&lt;=0.5*$B$45,$D$31&gt;0),$P$351)))</f>
        <v>Sn = In/(ho-yc)</v>
      </c>
      <c r="E145" s="25"/>
      <c r="F145" s="3"/>
      <c r="G145" s="10"/>
      <c r="H145" s="10"/>
      <c r="I145" s="389"/>
      <c r="K145" s="33"/>
      <c r="M145" s="487">
        <v>1</v>
      </c>
      <c r="N145" s="478">
        <v>0.713</v>
      </c>
      <c r="O145" s="479">
        <v>0.899</v>
      </c>
      <c r="P145" s="320">
        <v>1.1</v>
      </c>
      <c r="Q145" s="480">
        <v>1.33</v>
      </c>
      <c r="R145" s="480">
        <v>1.57</v>
      </c>
      <c r="S145" s="480">
        <v>1.83</v>
      </c>
      <c r="T145" s="480">
        <v>2.1</v>
      </c>
      <c r="U145" s="480">
        <v>2.39</v>
      </c>
      <c r="V145" s="480">
        <v>2.69</v>
      </c>
      <c r="W145" s="480">
        <v>2.99</v>
      </c>
      <c r="X145" s="480">
        <v>3.31</v>
      </c>
      <c r="Y145" s="480">
        <v>3.98</v>
      </c>
      <c r="Z145" s="481">
        <v>4.69</v>
      </c>
      <c r="AA145" s="480">
        <v>5.44</v>
      </c>
      <c r="AB145" s="480">
        <v>6.22</v>
      </c>
      <c r="AC145" s="482">
        <v>7.03</v>
      </c>
      <c r="AF145" s="405" t="s">
        <v>1100</v>
      </c>
      <c r="AG145" s="406">
        <v>56.4</v>
      </c>
      <c r="AH145" s="407">
        <v>20.4</v>
      </c>
      <c r="AI145" s="408">
        <v>0.96</v>
      </c>
      <c r="AJ145" s="407">
        <v>11.5</v>
      </c>
      <c r="AK145" s="409">
        <v>1.75</v>
      </c>
      <c r="AL145" s="410">
        <v>2.15</v>
      </c>
      <c r="AN145" s="50"/>
      <c r="AO145" s="100"/>
    </row>
    <row r="146" spans="1:41" ht="12.75">
      <c r="A146" s="443" t="s">
        <v>107</v>
      </c>
      <c r="B146" s="179">
        <f>IF(AND($D$29=0,$D$30=0,$D$31=0),"N.A.",IF(AND($D$29&gt;0,$D$30&gt;0,$D$30&lt;=0.5*$B$45,$D$31=0),$N$311,IF(AND($D$29&gt;0,$D$30&gt;0,$D$30&lt;=0.5*$B$45,$D$31&gt;0),$N$352)))</f>
        <v>31.546361502347416</v>
      </c>
      <c r="C146" s="110" t="s">
        <v>245</v>
      </c>
      <c r="D146" s="440" t="str">
        <f>IF(AND($D$29=0,$D$30=0,$D$31=0),"ho = not applicable for uncoped beam",IF(AND($D$29&gt;0,$D$30&gt;0,$D$30&lt;=0.5*$B$45,$D$31=0),$P$311,IF(AND($D$29&gt;0,$D$30&gt;0,$D$30&lt;=0.5*$B$45,$D$31&gt;0),$P$352)))</f>
        <v>Fbc = (1/2)*Fub*(1-P/(0.60*Fy*Atg))</v>
      </c>
      <c r="E146" s="25"/>
      <c r="F146" s="3"/>
      <c r="G146" s="99"/>
      <c r="H146" s="10"/>
      <c r="I146" s="389"/>
      <c r="K146" s="33"/>
      <c r="M146" s="487">
        <v>1.2</v>
      </c>
      <c r="N146" s="478">
        <v>0.605</v>
      </c>
      <c r="O146" s="479">
        <v>0.763</v>
      </c>
      <c r="P146" s="480">
        <v>0.937</v>
      </c>
      <c r="Q146" s="480">
        <v>1.13</v>
      </c>
      <c r="R146" s="480">
        <v>1.34</v>
      </c>
      <c r="S146" s="480">
        <v>1.56</v>
      </c>
      <c r="T146" s="480">
        <v>1.81</v>
      </c>
      <c r="U146" s="480">
        <v>2.07</v>
      </c>
      <c r="V146" s="480">
        <v>2.33</v>
      </c>
      <c r="W146" s="480">
        <v>2.6</v>
      </c>
      <c r="X146" s="480">
        <v>2.88</v>
      </c>
      <c r="Y146" s="480">
        <v>3.49</v>
      </c>
      <c r="Z146" s="481">
        <v>4.13</v>
      </c>
      <c r="AA146" s="480">
        <v>4.81</v>
      </c>
      <c r="AB146" s="480">
        <v>5.53</v>
      </c>
      <c r="AC146" s="482">
        <v>6.28</v>
      </c>
      <c r="AF146" s="405" t="s">
        <v>839</v>
      </c>
      <c r="AG146" s="406">
        <v>51.3</v>
      </c>
      <c r="AH146" s="407">
        <v>20</v>
      </c>
      <c r="AI146" s="408">
        <v>0.89</v>
      </c>
      <c r="AJ146" s="407">
        <v>11.4</v>
      </c>
      <c r="AK146" s="409">
        <v>1.59</v>
      </c>
      <c r="AL146" s="410">
        <v>1.99</v>
      </c>
      <c r="AN146" s="50"/>
      <c r="AO146" s="100"/>
    </row>
    <row r="147" spans="1:41" ht="12.75">
      <c r="A147" s="443" t="s">
        <v>104</v>
      </c>
      <c r="B147" s="183">
        <f>IF(AND($D$29=0,$D$30=0,$D$31=0),"N.A.",IF(AND($D$29&gt;0,$D$30&gt;0,$D$30&lt;=0.5*$B$45,$D$31=0),$N$312,IF(AND($D$29&gt;0,$D$30&gt;0,$D$30&lt;=0.5*$B$45,$D$31&gt;0),$N$353)))</f>
        <v>136.5206349206349</v>
      </c>
      <c r="C147" s="113" t="s">
        <v>237</v>
      </c>
      <c r="D147" s="440" t="str">
        <f>IF(AND($D$29=0,$D$30=0,$D$31=0),"ho = not applicable for uncoped beam",IF(AND($D$29&gt;0,$D$30&gt;0,$D$30&lt;=0.5*$B$45,$D$31=0),$P$312,IF(AND($D$29&gt;0,$D$30&gt;0,$D$30&lt;=0.5*$B$45,$D$31&gt;0),$P$353)))</f>
        <v>Rwb = Fbc*Sn/e</v>
      </c>
      <c r="E147" s="25"/>
      <c r="F147" s="3"/>
      <c r="G147" s="45"/>
      <c r="H147" s="10"/>
      <c r="I147" s="389" t="str">
        <f>IF(AND($D$29=0,$D$30=0,$D$31=0),"",IF($B$147&gt;=$D$16,"Rwb &gt;= R,  O.K.  ","Rwb &lt; R, N.G.  "))</f>
        <v>Rwb &gt;= R,  O.K.  </v>
      </c>
      <c r="K147" s="33"/>
      <c r="M147" s="487">
        <v>1.4</v>
      </c>
      <c r="N147" s="478">
        <v>0.524</v>
      </c>
      <c r="O147" s="479">
        <v>0.661</v>
      </c>
      <c r="P147" s="480">
        <v>0.813</v>
      </c>
      <c r="Q147" s="480">
        <v>0.981</v>
      </c>
      <c r="R147" s="480">
        <v>1.17</v>
      </c>
      <c r="S147" s="480">
        <v>1.37</v>
      </c>
      <c r="T147" s="480">
        <v>1.58</v>
      </c>
      <c r="U147" s="480">
        <v>1.81</v>
      </c>
      <c r="V147" s="480">
        <v>2.04</v>
      </c>
      <c r="W147" s="480">
        <v>2.29</v>
      </c>
      <c r="X147" s="480">
        <v>2.55</v>
      </c>
      <c r="Y147" s="480">
        <v>3.09</v>
      </c>
      <c r="Z147" s="481">
        <v>3.67</v>
      </c>
      <c r="AA147" s="480">
        <v>4.29</v>
      </c>
      <c r="AB147" s="320">
        <v>4.96</v>
      </c>
      <c r="AC147" s="482">
        <v>5.66</v>
      </c>
      <c r="AF147" s="405" t="s">
        <v>840</v>
      </c>
      <c r="AG147" s="406">
        <v>46.3</v>
      </c>
      <c r="AH147" s="407">
        <v>19.7</v>
      </c>
      <c r="AI147" s="408">
        <v>0.81</v>
      </c>
      <c r="AJ147" s="407">
        <v>11.3</v>
      </c>
      <c r="AK147" s="409">
        <v>1.44</v>
      </c>
      <c r="AL147" s="410">
        <v>1.84</v>
      </c>
      <c r="AN147" s="50" t="str">
        <f>IF(AO147="","N.A.","SR =")</f>
        <v>SR =</v>
      </c>
      <c r="AO147" s="100">
        <f>IF(AND($D$29=0,$D$30=0,$D$31=0),"",$D$16/$B$147)</f>
        <v>0.2929960003720585</v>
      </c>
    </row>
    <row r="148" spans="1:41" ht="12.75">
      <c r="A148" s="19"/>
      <c r="B148" s="10"/>
      <c r="C148" s="10"/>
      <c r="D148" s="10"/>
      <c r="E148" s="10"/>
      <c r="F148" s="10"/>
      <c r="G148" s="10"/>
      <c r="H148" s="10"/>
      <c r="I148" s="14"/>
      <c r="M148" s="487">
        <v>1.6</v>
      </c>
      <c r="N148" s="478">
        <v>0.463</v>
      </c>
      <c r="O148" s="479">
        <v>0.583</v>
      </c>
      <c r="P148" s="480">
        <v>0.717</v>
      </c>
      <c r="Q148" s="480">
        <v>0.867</v>
      </c>
      <c r="R148" s="480">
        <v>1.03</v>
      </c>
      <c r="S148" s="480">
        <v>1.21</v>
      </c>
      <c r="T148" s="480">
        <v>1.41</v>
      </c>
      <c r="U148" s="480">
        <v>1.61</v>
      </c>
      <c r="V148" s="480">
        <v>1.82</v>
      </c>
      <c r="W148" s="480">
        <v>2.04</v>
      </c>
      <c r="X148" s="480">
        <v>2.27</v>
      </c>
      <c r="Y148" s="480">
        <v>2.77</v>
      </c>
      <c r="Z148" s="481">
        <v>3.3</v>
      </c>
      <c r="AA148" s="480">
        <v>3.87</v>
      </c>
      <c r="AB148" s="480">
        <v>4.48</v>
      </c>
      <c r="AC148" s="482">
        <v>5.13</v>
      </c>
      <c r="AF148" s="405" t="s">
        <v>841</v>
      </c>
      <c r="AG148" s="406">
        <v>42.1</v>
      </c>
      <c r="AH148" s="407">
        <v>19.5</v>
      </c>
      <c r="AI148" s="408">
        <v>0.73</v>
      </c>
      <c r="AJ148" s="407">
        <v>11.2</v>
      </c>
      <c r="AK148" s="409">
        <v>1.32</v>
      </c>
      <c r="AL148" s="410">
        <v>1.72</v>
      </c>
      <c r="AN148" s="50"/>
      <c r="AO148" s="100"/>
    </row>
    <row r="149" spans="1:41" ht="12.75">
      <c r="A149" s="19"/>
      <c r="B149" s="10"/>
      <c r="C149" s="10"/>
      <c r="D149" s="10"/>
      <c r="E149" s="10"/>
      <c r="F149" s="10"/>
      <c r="G149" s="10"/>
      <c r="H149" s="10"/>
      <c r="I149" s="14"/>
      <c r="M149" s="487">
        <v>1.8</v>
      </c>
      <c r="N149" s="478">
        <v>0.413</v>
      </c>
      <c r="O149" s="324">
        <v>0.521</v>
      </c>
      <c r="P149" s="480">
        <v>0.641</v>
      </c>
      <c r="Q149" s="480">
        <v>0.776</v>
      </c>
      <c r="R149" s="480">
        <v>0.924</v>
      </c>
      <c r="S149" s="480">
        <v>1.09</v>
      </c>
      <c r="T149" s="480">
        <v>1.27</v>
      </c>
      <c r="U149" s="480">
        <v>1.45</v>
      </c>
      <c r="V149" s="480">
        <v>1.64</v>
      </c>
      <c r="W149" s="480">
        <v>1.84</v>
      </c>
      <c r="X149" s="480">
        <v>2.05</v>
      </c>
      <c r="Y149" s="480">
        <v>2.5</v>
      </c>
      <c r="Z149" s="481">
        <v>2.99</v>
      </c>
      <c r="AA149" s="480">
        <v>3.52</v>
      </c>
      <c r="AB149" s="480">
        <v>4.08</v>
      </c>
      <c r="AC149" s="321">
        <v>4.69</v>
      </c>
      <c r="AF149" s="405" t="s">
        <v>842</v>
      </c>
      <c r="AG149" s="406">
        <v>38.2</v>
      </c>
      <c r="AH149" s="407">
        <v>19.3</v>
      </c>
      <c r="AI149" s="408">
        <v>0.67</v>
      </c>
      <c r="AJ149" s="407">
        <v>11.2</v>
      </c>
      <c r="AK149" s="409">
        <v>1.2</v>
      </c>
      <c r="AL149" s="410">
        <v>1.6</v>
      </c>
      <c r="AN149" s="50"/>
      <c r="AO149" s="100"/>
    </row>
    <row r="150" spans="1:38" ht="12.75">
      <c r="A150" s="20"/>
      <c r="B150" s="21"/>
      <c r="C150" s="125"/>
      <c r="D150" s="21"/>
      <c r="E150" s="21"/>
      <c r="F150" s="21"/>
      <c r="G150" s="21"/>
      <c r="H150" s="21"/>
      <c r="I150" s="128" t="s">
        <v>105</v>
      </c>
      <c r="M150" s="487">
        <v>2</v>
      </c>
      <c r="N150" s="478">
        <v>0.373</v>
      </c>
      <c r="O150" s="488">
        <v>0.471</v>
      </c>
      <c r="P150" s="489">
        <v>0.58</v>
      </c>
      <c r="Q150" s="489">
        <v>0.701</v>
      </c>
      <c r="R150" s="489">
        <v>0.836</v>
      </c>
      <c r="S150" s="489">
        <v>0.987</v>
      </c>
      <c r="T150" s="489">
        <v>1.15</v>
      </c>
      <c r="U150" s="489">
        <v>1.32</v>
      </c>
      <c r="V150" s="489">
        <v>1.49</v>
      </c>
      <c r="W150" s="489">
        <v>1.67</v>
      </c>
      <c r="X150" s="489">
        <v>1.87</v>
      </c>
      <c r="Y150" s="489">
        <v>2.28</v>
      </c>
      <c r="Z150" s="490">
        <v>2.73</v>
      </c>
      <c r="AA150" s="489">
        <v>3.22</v>
      </c>
      <c r="AB150" s="489">
        <v>3.75</v>
      </c>
      <c r="AC150" s="491">
        <v>4.31</v>
      </c>
      <c r="AF150" s="405" t="s">
        <v>843</v>
      </c>
      <c r="AG150" s="406">
        <v>35.1</v>
      </c>
      <c r="AH150" s="407">
        <v>19</v>
      </c>
      <c r="AI150" s="408">
        <v>0.655</v>
      </c>
      <c r="AJ150" s="407">
        <v>11.3</v>
      </c>
      <c r="AK150" s="409">
        <v>1.06</v>
      </c>
      <c r="AL150" s="410">
        <v>1.46</v>
      </c>
    </row>
    <row r="151" spans="1:41" ht="12.75">
      <c r="A151" s="17"/>
      <c r="B151" s="18"/>
      <c r="C151" s="18"/>
      <c r="D151" s="18"/>
      <c r="E151" s="18"/>
      <c r="F151" s="18"/>
      <c r="G151" s="18"/>
      <c r="H151" s="18"/>
      <c r="I151" s="528"/>
      <c r="M151" s="487">
        <v>2.2</v>
      </c>
      <c r="N151" s="492">
        <v>0.34</v>
      </c>
      <c r="O151" s="479">
        <v>0.429</v>
      </c>
      <c r="P151" s="480">
        <v>0.529</v>
      </c>
      <c r="Q151" s="480">
        <v>0.641</v>
      </c>
      <c r="R151" s="480">
        <v>0.764</v>
      </c>
      <c r="S151" s="480">
        <v>0.903</v>
      </c>
      <c r="T151" s="480">
        <v>1.05</v>
      </c>
      <c r="U151" s="480">
        <v>1.21</v>
      </c>
      <c r="V151" s="320">
        <v>1.36</v>
      </c>
      <c r="W151" s="480">
        <v>1.53</v>
      </c>
      <c r="X151" s="320">
        <v>1.71</v>
      </c>
      <c r="Y151" s="480">
        <v>2.09</v>
      </c>
      <c r="Z151" s="480">
        <v>2.51</v>
      </c>
      <c r="AA151" s="480">
        <v>2.97</v>
      </c>
      <c r="AB151" s="480">
        <v>3.45</v>
      </c>
      <c r="AC151" s="482">
        <v>3.98</v>
      </c>
      <c r="AF151" s="405" t="s">
        <v>844</v>
      </c>
      <c r="AG151" s="406">
        <v>31.1</v>
      </c>
      <c r="AH151" s="407">
        <v>18.7</v>
      </c>
      <c r="AI151" s="408">
        <v>0.59</v>
      </c>
      <c r="AJ151" s="407">
        <v>11.2</v>
      </c>
      <c r="AK151" s="408">
        <v>0.94</v>
      </c>
      <c r="AL151" s="410">
        <v>1.34</v>
      </c>
      <c r="AN151" s="50"/>
      <c r="AO151" s="100"/>
    </row>
    <row r="152" spans="1:41" ht="12.75">
      <c r="A152" s="136" t="str">
        <f>IF(AND($D$29=0,$D$30=0,$D$31=0),$R$251,IF(AND($D$29&gt;0,$D$30&gt;0,$D$31=0),$R$279,IF(AND($D$29&gt;0,$D$30&gt;0,$D$31&gt;0),$R$320)))</f>
        <v>Beam Checks for Both Flanges Coped (continued):</v>
      </c>
      <c r="B152" s="10"/>
      <c r="C152" s="10"/>
      <c r="D152" s="10"/>
      <c r="E152" s="10"/>
      <c r="F152" s="10"/>
      <c r="G152" s="10"/>
      <c r="H152" s="10"/>
      <c r="I152" s="14"/>
      <c r="M152" s="487">
        <v>2.4</v>
      </c>
      <c r="N152" s="478">
        <v>0.312</v>
      </c>
      <c r="O152" s="493">
        <v>0.395</v>
      </c>
      <c r="P152" s="494">
        <v>0.487</v>
      </c>
      <c r="Q152" s="326">
        <v>0.589</v>
      </c>
      <c r="R152" s="494">
        <v>0.704</v>
      </c>
      <c r="S152" s="494">
        <v>0.831</v>
      </c>
      <c r="T152" s="494">
        <v>0.969</v>
      </c>
      <c r="U152" s="494">
        <v>1.11</v>
      </c>
      <c r="V152" s="495">
        <v>1.26</v>
      </c>
      <c r="W152" s="494">
        <v>1.41</v>
      </c>
      <c r="X152" s="494">
        <v>1.58</v>
      </c>
      <c r="Y152" s="495">
        <v>1.93</v>
      </c>
      <c r="Z152" s="496">
        <v>2.32</v>
      </c>
      <c r="AA152" s="494">
        <v>2.75</v>
      </c>
      <c r="AB152" s="494">
        <v>3.2</v>
      </c>
      <c r="AC152" s="497">
        <v>3.7</v>
      </c>
      <c r="AF152" s="405" t="s">
        <v>845</v>
      </c>
      <c r="AG152" s="406">
        <v>28.5</v>
      </c>
      <c r="AH152" s="407">
        <v>18.6</v>
      </c>
      <c r="AI152" s="408">
        <v>0.535</v>
      </c>
      <c r="AJ152" s="407">
        <v>11.1</v>
      </c>
      <c r="AK152" s="408">
        <v>0.87</v>
      </c>
      <c r="AL152" s="410">
        <v>1.27</v>
      </c>
      <c r="AN152" s="50"/>
      <c r="AO152" s="100"/>
    </row>
    <row r="153" spans="1:41" ht="12.75">
      <c r="A153" s="19"/>
      <c r="B153" s="10"/>
      <c r="C153" s="10"/>
      <c r="D153" s="10"/>
      <c r="E153" s="10"/>
      <c r="F153" s="10"/>
      <c r="G153" s="10"/>
      <c r="H153" s="10"/>
      <c r="I153" s="14"/>
      <c r="M153" s="487">
        <v>2.6</v>
      </c>
      <c r="N153" s="478">
        <v>0.289</v>
      </c>
      <c r="O153" s="324">
        <v>0.364</v>
      </c>
      <c r="P153" s="480">
        <v>0.449</v>
      </c>
      <c r="Q153" s="480">
        <v>0.545</v>
      </c>
      <c r="R153" s="480">
        <v>0.652</v>
      </c>
      <c r="S153" s="480">
        <v>0.769</v>
      </c>
      <c r="T153" s="480">
        <v>0.899</v>
      </c>
      <c r="U153" s="319">
        <v>1.03</v>
      </c>
      <c r="V153" s="480">
        <v>1.17</v>
      </c>
      <c r="W153" s="480">
        <v>1.31</v>
      </c>
      <c r="X153" s="480">
        <v>1.46</v>
      </c>
      <c r="Y153" s="480">
        <v>1.79</v>
      </c>
      <c r="Z153" s="485">
        <v>2.16</v>
      </c>
      <c r="AA153" s="480">
        <v>2.55</v>
      </c>
      <c r="AB153" s="480">
        <v>2.99</v>
      </c>
      <c r="AC153" s="482">
        <v>3.45</v>
      </c>
      <c r="AF153" s="405" t="s">
        <v>846</v>
      </c>
      <c r="AG153" s="406">
        <v>25.3</v>
      </c>
      <c r="AH153" s="407">
        <v>18.4</v>
      </c>
      <c r="AI153" s="408">
        <v>0.48</v>
      </c>
      <c r="AJ153" s="407">
        <v>11.1</v>
      </c>
      <c r="AK153" s="408">
        <v>0.77</v>
      </c>
      <c r="AL153" s="410">
        <v>1.17</v>
      </c>
      <c r="AN153" s="50"/>
      <c r="AO153" s="100"/>
    </row>
    <row r="154" spans="1:41" ht="12.75">
      <c r="A154" s="67" t="str">
        <f>IF(AND($D$29=0,$D$30=0,$D$31=0),$M$278,IF(AND($D$29&gt;0,$D$30&gt;0,$D$30&lt;=0.5*$B$45,$D$31=0),$M$313,IF(AND($D$29&gt;0,$D$30&gt;0,$D$30&lt;=0.5*$B$45,$D$31&gt;0),$M$354)))</f>
        <v>  Web Buckling (Flexural Local Buckling) Capacity for Both Flanges Coped:</v>
      </c>
      <c r="B154" s="444"/>
      <c r="C154" s="68"/>
      <c r="D154" s="68"/>
      <c r="E154" s="68"/>
      <c r="F154" s="10"/>
      <c r="G154" s="45"/>
      <c r="H154" s="10"/>
      <c r="I154" s="389"/>
      <c r="M154" s="487">
        <v>2.8</v>
      </c>
      <c r="N154" s="478">
        <v>0.268</v>
      </c>
      <c r="O154" s="479">
        <v>0.339</v>
      </c>
      <c r="P154" s="480">
        <v>0.419</v>
      </c>
      <c r="Q154" s="480">
        <v>0.508</v>
      </c>
      <c r="R154" s="480">
        <v>0.607</v>
      </c>
      <c r="S154" s="480">
        <v>0.717</v>
      </c>
      <c r="T154" s="480">
        <v>0.837</v>
      </c>
      <c r="U154" s="480">
        <v>0.959</v>
      </c>
      <c r="V154" s="480">
        <v>1.09</v>
      </c>
      <c r="W154" s="480">
        <v>1.22</v>
      </c>
      <c r="X154" s="480">
        <v>1.37</v>
      </c>
      <c r="Y154" s="480">
        <v>1.67</v>
      </c>
      <c r="Z154" s="481">
        <v>2.02</v>
      </c>
      <c r="AA154" s="320">
        <v>2.39</v>
      </c>
      <c r="AB154" s="480">
        <v>2.8</v>
      </c>
      <c r="AC154" s="482">
        <v>3.23</v>
      </c>
      <c r="AF154" s="405" t="s">
        <v>847</v>
      </c>
      <c r="AG154" s="406">
        <v>22.3</v>
      </c>
      <c r="AH154" s="407">
        <v>18.2</v>
      </c>
      <c r="AI154" s="408">
        <v>0.425</v>
      </c>
      <c r="AJ154" s="407">
        <v>11</v>
      </c>
      <c r="AK154" s="408">
        <v>0.68</v>
      </c>
      <c r="AL154" s="410">
        <v>1.08</v>
      </c>
      <c r="AN154" s="50"/>
      <c r="AO154" s="100"/>
    </row>
    <row r="155" spans="1:41" ht="12.75">
      <c r="A155" s="443" t="s">
        <v>8</v>
      </c>
      <c r="B155" s="184" t="str">
        <f>IF(AND($D$29=0,$D$30=0,$D$31=0),"N.A.",IF(AND($D$29&gt;0,$D$30&gt;0,$D$30&lt;=0.5*$B$45,$D$31=0),$N$314,IF(AND($D$29&gt;0,$D$30&gt;0,$D$30&lt;=0.5*$B$45,$D$31&gt;0),"N.A.")))</f>
        <v>N.A.</v>
      </c>
      <c r="C155" s="10"/>
      <c r="D155" s="440" t="str">
        <f>IF(AND($D$29=0,$D$30=0,$D$31=0),"c/d = not applicable for uncoped beam",IF(AND($D$29&gt;0,$D$30&gt;0,$D$30&lt;=0.5*$B$45,$D$31=0),$P$314,IF(AND($D$29&gt;0,$D$30&gt;0,$D$30&lt;=0.5*$B$45,$D$31&gt;0),"c/d = not applicable for double coped beam")))</f>
        <v>c/d = not applicable for double coped beam</v>
      </c>
      <c r="E155" s="10"/>
      <c r="F155" s="10"/>
      <c r="G155" s="45"/>
      <c r="H155" s="10"/>
      <c r="I155" s="389"/>
      <c r="M155" s="498">
        <v>3</v>
      </c>
      <c r="N155" s="499">
        <v>0.251</v>
      </c>
      <c r="O155" s="500">
        <v>0.317</v>
      </c>
      <c r="P155" s="501">
        <v>0.391</v>
      </c>
      <c r="Q155" s="501">
        <v>0.475</v>
      </c>
      <c r="R155" s="322">
        <v>0.568</v>
      </c>
      <c r="S155" s="501">
        <v>0.672</v>
      </c>
      <c r="T155" s="501">
        <v>0.784</v>
      </c>
      <c r="U155" s="501">
        <v>0.897</v>
      </c>
      <c r="V155" s="501">
        <v>1.02</v>
      </c>
      <c r="W155" s="501">
        <v>1.14</v>
      </c>
      <c r="X155" s="501">
        <v>1.28</v>
      </c>
      <c r="Y155" s="501">
        <v>1.57</v>
      </c>
      <c r="Z155" s="502">
        <v>1.89</v>
      </c>
      <c r="AA155" s="501">
        <v>2.24</v>
      </c>
      <c r="AB155" s="501">
        <v>2.63</v>
      </c>
      <c r="AC155" s="503">
        <v>3.04</v>
      </c>
      <c r="AF155" s="405" t="s">
        <v>848</v>
      </c>
      <c r="AG155" s="406">
        <v>20.8</v>
      </c>
      <c r="AH155" s="407">
        <v>18.5</v>
      </c>
      <c r="AI155" s="408">
        <v>0.495</v>
      </c>
      <c r="AJ155" s="409">
        <v>7.64</v>
      </c>
      <c r="AK155" s="408">
        <v>0.81</v>
      </c>
      <c r="AL155" s="410">
        <v>1.21</v>
      </c>
      <c r="AN155" s="50"/>
      <c r="AO155" s="100"/>
    </row>
    <row r="156" spans="1:41" ht="12.75">
      <c r="A156" s="443" t="s">
        <v>351</v>
      </c>
      <c r="B156" s="175" t="str">
        <f>IF(AND($D$29=0,$D$30=0,$D$31=0),"N.A.",IF(AND($D$29&gt;0,$D$30&gt;0,$D$30&lt;=0.5*$B$45,$D$31=0),$N$315,IF(AND($D$29&gt;0,$D$30&gt;0,$D$30&lt;=0.5*$B$45,$D$31&gt;0),"N.A.")))</f>
        <v>N.A.</v>
      </c>
      <c r="C156" s="10"/>
      <c r="D156" s="440" t="str">
        <f>IF(AND($D$29=0,$D$30=0,$D$31=0),"f = not applicable for uncoped beam",IF(AND($D$29&gt;0,$D$30&gt;0,$D$30&lt;=0.5*$B$45,$D$31=0),$P$315,IF(AND($D$29&gt;0,$D$30&gt;0,$D$30&lt;=0.5*$B$45,$D$31&gt;0),"f = not applicable for double coped beam")))</f>
        <v>f = not applicable for double coped beam</v>
      </c>
      <c r="E156" s="10"/>
      <c r="F156" s="10"/>
      <c r="G156" s="45"/>
      <c r="H156" s="10"/>
      <c r="I156" s="389"/>
      <c r="M156" s="504" t="s">
        <v>526</v>
      </c>
      <c r="N156" s="505">
        <v>0</v>
      </c>
      <c r="O156" s="325">
        <v>0.008</v>
      </c>
      <c r="P156" s="322">
        <v>0.029</v>
      </c>
      <c r="Q156" s="322">
        <v>0.056</v>
      </c>
      <c r="R156" s="322">
        <v>0.089</v>
      </c>
      <c r="S156" s="322">
        <v>0.125</v>
      </c>
      <c r="T156" s="322">
        <v>0.164</v>
      </c>
      <c r="U156" s="322">
        <v>0.204</v>
      </c>
      <c r="V156" s="322">
        <v>0.246</v>
      </c>
      <c r="W156" s="322">
        <v>0.289</v>
      </c>
      <c r="X156" s="322">
        <v>0.333</v>
      </c>
      <c r="Y156" s="322">
        <v>0.424</v>
      </c>
      <c r="Z156" s="506">
        <v>0.516</v>
      </c>
      <c r="AA156" s="322">
        <v>0.61</v>
      </c>
      <c r="AB156" s="322">
        <v>0.704</v>
      </c>
      <c r="AC156" s="323">
        <v>0.8</v>
      </c>
      <c r="AF156" s="405" t="s">
        <v>849</v>
      </c>
      <c r="AG156" s="406">
        <v>19.1</v>
      </c>
      <c r="AH156" s="407">
        <v>18.4</v>
      </c>
      <c r="AI156" s="408">
        <v>0.45</v>
      </c>
      <c r="AJ156" s="409">
        <v>7.59</v>
      </c>
      <c r="AK156" s="408">
        <v>0.75</v>
      </c>
      <c r="AL156" s="410">
        <v>1.15</v>
      </c>
      <c r="AN156" s="50"/>
      <c r="AO156" s="100"/>
    </row>
    <row r="157" spans="1:41" ht="12.75">
      <c r="A157" s="443" t="s">
        <v>7</v>
      </c>
      <c r="B157" s="175" t="str">
        <f>IF(AND($D$29=0,$D$30=0,$D$31=0),"N.A.",IF(AND($D$29&gt;0,$D$30&gt;0,$D$30&lt;=0.5*$B$45,$D$31=0),$N$316,IF(AND($D$29&gt;0,$D$30&gt;0,$D$30&lt;=0.5*$B$45,$D$31&gt;0),"N.A.")))</f>
        <v>N.A.</v>
      </c>
      <c r="C157" s="10"/>
      <c r="D157" s="440" t="str">
        <f>IF(AND($D$29=0,$D$30=0,$D$31=0),"c/ho = not applicable for uncoped beam",IF(AND($D$29&gt;0,$D$30&gt;0,$D$30&lt;=0.5*$B$45,$D$31=0),$P$316,IF(AND($D$29&gt;0,$D$30&gt;0,$D$30&lt;=0.5*$B$45,$D$31&gt;0),"c/ho = not applicable for double coped beam")))</f>
        <v>c/ho = not applicable for double coped beam</v>
      </c>
      <c r="E157" s="10"/>
      <c r="F157" s="10"/>
      <c r="G157" s="45"/>
      <c r="H157" s="10"/>
      <c r="I157" s="389"/>
      <c r="L157" s="42"/>
      <c r="AF157" s="405" t="s">
        <v>850</v>
      </c>
      <c r="AG157" s="406">
        <v>17.6</v>
      </c>
      <c r="AH157" s="407">
        <v>18.2</v>
      </c>
      <c r="AI157" s="408">
        <v>0.415</v>
      </c>
      <c r="AJ157" s="409">
        <v>7.56</v>
      </c>
      <c r="AK157" s="408">
        <v>0.695</v>
      </c>
      <c r="AL157" s="410">
        <v>1.1</v>
      </c>
      <c r="AN157" s="50"/>
      <c r="AO157" s="100"/>
    </row>
    <row r="158" spans="1:41" ht="12.75">
      <c r="A158" s="443" t="s">
        <v>460</v>
      </c>
      <c r="B158" s="179" t="str">
        <f>IF(AND($D$29=0,$D$30=0,$D$31=0),"N.A.",IF(AND($D$29&gt;0,$D$30&gt;0,$D$30&lt;=0.5*$B$45,$D$31=0),$N$317,IF(AND($D$29&gt;0,$D$30&gt;0,$D$30&lt;=0.5*$B$45,$D$31&gt;0),"N.A.")))</f>
        <v>N.A.</v>
      </c>
      <c r="C158" s="10"/>
      <c r="D158" s="440" t="str">
        <f>IF(AND($D$29=0,$D$30=0,$D$31=0),"k = not applicable for uncoped beam",IF(AND($D$29&gt;0,$D$30&gt;0,$D$30&lt;=0.5*$B$45,$D$31=0),$P$317,IF(AND($D$29&gt;0,$D$30&gt;0,$D$30&lt;=0.5*$B$45,$D$31&gt;0),"k = not applicable for double coped beam")))</f>
        <v>k = not applicable for double coped beam</v>
      </c>
      <c r="E158" s="10"/>
      <c r="F158" s="10"/>
      <c r="G158" s="45"/>
      <c r="H158" s="45"/>
      <c r="I158" s="389"/>
      <c r="M158" s="141" t="s">
        <v>531</v>
      </c>
      <c r="N158" s="463"/>
      <c r="O158" s="107"/>
      <c r="P158" s="463"/>
      <c r="Q158" s="463"/>
      <c r="R158" s="143"/>
      <c r="S158" s="143"/>
      <c r="T158" s="143"/>
      <c r="U158" s="142"/>
      <c r="V158" s="143"/>
      <c r="W158" s="143"/>
      <c r="X158" s="143"/>
      <c r="Y158" s="143"/>
      <c r="Z158" s="144"/>
      <c r="AA158" s="143"/>
      <c r="AB158" s="143"/>
      <c r="AC158" s="144"/>
      <c r="AF158" s="405" t="s">
        <v>851</v>
      </c>
      <c r="AG158" s="406">
        <v>16.2</v>
      </c>
      <c r="AH158" s="407">
        <v>18.1</v>
      </c>
      <c r="AI158" s="408">
        <v>0.39</v>
      </c>
      <c r="AJ158" s="409">
        <v>7.53</v>
      </c>
      <c r="AK158" s="408">
        <v>0.63</v>
      </c>
      <c r="AL158" s="410">
        <v>1.03</v>
      </c>
      <c r="AN158" s="50"/>
      <c r="AO158" s="100"/>
    </row>
    <row r="159" spans="1:41" ht="12.75">
      <c r="A159" s="51" t="s">
        <v>632</v>
      </c>
      <c r="B159" s="179">
        <f>IF(AND($D$29=0,$D$30=0,$D$31=0),"N.A.",IF(AND($D$29&gt;0,$D$30&gt;0,$D$30&lt;=0.5*$B$45,$D$31=0),"N.A.",IF(AND($D$29&gt;0,$D$30&gt;0,$D$30&lt;=0.5*$B$45,$D$31&gt;0),$N$355)))</f>
        <v>3.0833333333333335</v>
      </c>
      <c r="C159" s="10"/>
      <c r="D159" s="440" t="str">
        <f>IF(AND($D$29=0,$D$30=0,$D$31=0),"fd = not applicable for uncoped beam",IF(AND($D$29&gt;0,$D$30&gt;0,$D$30&lt;=0.5*$B$45,$D$31=0),"fd = not applicable for single coped beam",IF(AND($D$29&gt;0,$D$30&gt;0,$D$30&lt;=0.5*$B$45,$D$31&gt;0),$P$355)))</f>
        <v>fd = 3.5 - 7.5*(dc1/d)</v>
      </c>
      <c r="E159" s="10"/>
      <c r="F159" s="10"/>
      <c r="G159" s="25"/>
      <c r="H159" s="45"/>
      <c r="I159" s="389"/>
      <c r="M159" s="464"/>
      <c r="N159" s="141" t="s">
        <v>323</v>
      </c>
      <c r="O159" s="107"/>
      <c r="P159" s="143"/>
      <c r="Q159" s="143"/>
      <c r="R159" s="143"/>
      <c r="S159" s="143"/>
      <c r="T159" s="465"/>
      <c r="U159" s="143"/>
      <c r="V159" s="143"/>
      <c r="W159" s="143"/>
      <c r="X159" s="143"/>
      <c r="Y159" s="156"/>
      <c r="Z159" s="144"/>
      <c r="AA159" s="143"/>
      <c r="AB159" s="156"/>
      <c r="AC159" s="144"/>
      <c r="AF159" s="405" t="s">
        <v>852</v>
      </c>
      <c r="AG159" s="406">
        <v>14.7</v>
      </c>
      <c r="AH159" s="407">
        <v>18</v>
      </c>
      <c r="AI159" s="408">
        <v>0.355</v>
      </c>
      <c r="AJ159" s="409">
        <v>7.5</v>
      </c>
      <c r="AK159" s="408">
        <v>0.57</v>
      </c>
      <c r="AL159" s="412">
        <v>0.972</v>
      </c>
      <c r="AN159" s="50"/>
      <c r="AO159" s="100"/>
    </row>
    <row r="160" spans="1:41" ht="12.75">
      <c r="A160" s="51" t="s">
        <v>633</v>
      </c>
      <c r="B160" s="179" t="str">
        <f>IF(AND($D$29=0,$D$30=0,$D$31=0),"N.A.",IF(AND($D$29&gt;0,$D$30&gt;0,$D$30&lt;=0.5*$B$45,$D$31=0),"N.A.",IF(AND($D$29&gt;0,$D$30&gt;0,$D$30&lt;=0.5*$B$45,$D$31&gt;0),$N$356)))</f>
        <v>N.A.</v>
      </c>
      <c r="C160" s="10"/>
      <c r="D160" s="440" t="str">
        <f>IF(AND($D$29=0,$D$30=0,$D$31=0),"lambda = not applicable for uncoped beam",IF(AND($D$29&gt;0,$D$30&gt;0,$D$30&lt;=0.5*$B$45,$D$31=0),"lambda = not applicable for single coped beam",IF(AND($D$29&gt;0,$D$30&gt;0,$D$30&lt;=0.5*$B$45,$D$31&gt;0),$P$356)))</f>
        <v>lambda = (ho*sqrt(Fyb)) / { 10*tw*sqrt[475+280*(ho/c)^2] }</v>
      </c>
      <c r="E160" s="10"/>
      <c r="F160" s="10"/>
      <c r="G160" s="25"/>
      <c r="H160" s="45"/>
      <c r="I160" s="389"/>
      <c r="M160" s="467" t="s">
        <v>18</v>
      </c>
      <c r="N160" s="468">
        <v>0</v>
      </c>
      <c r="O160" s="140">
        <v>0.1</v>
      </c>
      <c r="P160" s="140">
        <v>0.2</v>
      </c>
      <c r="Q160" s="469">
        <v>0.3</v>
      </c>
      <c r="R160" s="140">
        <v>0.4</v>
      </c>
      <c r="S160" s="469">
        <v>0.5</v>
      </c>
      <c r="T160" s="140">
        <v>0.6</v>
      </c>
      <c r="U160" s="469">
        <v>0.7</v>
      </c>
      <c r="V160" s="140">
        <v>0.8</v>
      </c>
      <c r="W160" s="469">
        <v>0.9</v>
      </c>
      <c r="X160" s="140">
        <v>1</v>
      </c>
      <c r="Y160" s="469">
        <v>1.2</v>
      </c>
      <c r="Z160" s="140">
        <v>1.4</v>
      </c>
      <c r="AA160" s="140">
        <v>1.6</v>
      </c>
      <c r="AB160" s="469">
        <v>1.8</v>
      </c>
      <c r="AC160" s="140">
        <v>2</v>
      </c>
      <c r="AF160" s="405" t="s">
        <v>853</v>
      </c>
      <c r="AG160" s="406">
        <v>13.5</v>
      </c>
      <c r="AH160" s="407">
        <v>18.1</v>
      </c>
      <c r="AI160" s="408">
        <v>0.36</v>
      </c>
      <c r="AJ160" s="409">
        <v>6.06</v>
      </c>
      <c r="AK160" s="408">
        <v>0.605</v>
      </c>
      <c r="AL160" s="410">
        <v>1.01</v>
      </c>
      <c r="AN160" s="50"/>
      <c r="AO160" s="100"/>
    </row>
    <row r="161" spans="1:38" ht="12.75">
      <c r="A161" s="51" t="s">
        <v>634</v>
      </c>
      <c r="B161" s="179" t="str">
        <f>IF(AND($D$29=0,$D$30=0,$D$31=0),"N.A.",IF(AND($D$29&gt;0,$D$30&gt;0,$D$30&lt;=0.5*$B$45,$D$31=0),"N.A.",IF(AND($D$29&gt;0,$D$30&gt;0,$D$30&lt;=0.5*$B$45,$D$31&gt;0),$N$357)))</f>
        <v>N.A.</v>
      </c>
      <c r="C161" s="10"/>
      <c r="D161" s="529" t="str">
        <f>IF(AND($D$29=0,$D$30=0,$D$31=0),"Q = not applicable for uncoped beam",IF(AND($D$29&gt;0,$D$30&gt;0,$D$30&lt;=0.5*$B$45,$D$31=0),"Q = not applicable for single coped beam",IF(AND($D$29&gt;0,$D$30&gt;0,$D$30&lt;=0.5*$B$45,$D$31&gt;0),$P$357)))</f>
        <v>Q = 1 if lambda ≤ 0.7, (1.34-0.486*lambda) if 0.7 &lt; lambda ≤ 1.41, 1.30/lambda^2 if lambda &gt; 1.41</v>
      </c>
      <c r="E161" s="10"/>
      <c r="F161" s="10"/>
      <c r="G161" s="25"/>
      <c r="H161" s="45"/>
      <c r="I161" s="389"/>
      <c r="M161" s="471">
        <v>0</v>
      </c>
      <c r="N161" s="472">
        <v>2.34</v>
      </c>
      <c r="O161" s="473">
        <v>2.81</v>
      </c>
      <c r="P161" s="474">
        <v>3.28</v>
      </c>
      <c r="Q161" s="318">
        <v>3.74</v>
      </c>
      <c r="R161" s="474">
        <v>4.21</v>
      </c>
      <c r="S161" s="474">
        <v>4.68</v>
      </c>
      <c r="T161" s="474">
        <v>5.15</v>
      </c>
      <c r="U161" s="474">
        <v>5.62</v>
      </c>
      <c r="V161" s="474">
        <v>6.08</v>
      </c>
      <c r="W161" s="474">
        <v>6.55</v>
      </c>
      <c r="X161" s="318">
        <v>7.02</v>
      </c>
      <c r="Y161" s="474">
        <v>7.96</v>
      </c>
      <c r="Z161" s="475">
        <v>8.89</v>
      </c>
      <c r="AA161" s="474">
        <v>9.83</v>
      </c>
      <c r="AB161" s="474">
        <v>10.8</v>
      </c>
      <c r="AC161" s="476">
        <v>11.7</v>
      </c>
      <c r="AF161" s="405" t="s">
        <v>854</v>
      </c>
      <c r="AG161" s="406">
        <v>11.8</v>
      </c>
      <c r="AH161" s="407">
        <v>17.9</v>
      </c>
      <c r="AI161" s="408">
        <v>0.315</v>
      </c>
      <c r="AJ161" s="409">
        <v>6.02</v>
      </c>
      <c r="AK161" s="408">
        <v>0.525</v>
      </c>
      <c r="AL161" s="412">
        <v>0.927</v>
      </c>
    </row>
    <row r="162" spans="1:41" ht="12.75">
      <c r="A162" s="443" t="s">
        <v>107</v>
      </c>
      <c r="B162" s="179">
        <f>IF(AND($D$29=0,$D$30=0,$D$31=0),"N.A.",IF(AND($D$29&gt;0,$D$30&gt;0,$D$30&lt;=0.5*$B$45,$D$31=0),$N$318,IF(AND($D$29&gt;0,$D$30&gt;0,$D$30&lt;=0.5*$B$45,$D$31&gt;0),$N$358)))</f>
        <v>29.061595119619916</v>
      </c>
      <c r="C162" s="110" t="s">
        <v>245</v>
      </c>
      <c r="D162" s="441" t="str">
        <f>IF(AND($D$29=0,$D$30=0,$D$31=0),"Fbc = not applicable for uncoped beam",IF(AND($D$29&gt;0,$D$30&gt;0,$D$30&lt;=0.5*$B$45,$D$31=0),$P$318,IF(AND($D$29&gt;0,$D$30&gt;0,$D$30&lt;=0.5*$B$45,$D$31&gt;0),$P$358)))</f>
        <v>Fbc = (1/1.67)*(1-P/(0.60*Fy*Atg))*min{ [0.62*pi*29000*tw^2*fd] / (c*ho), Fy}</v>
      </c>
      <c r="E162" s="10"/>
      <c r="F162" s="60"/>
      <c r="G162" s="25"/>
      <c r="H162" s="80"/>
      <c r="I162" s="389"/>
      <c r="M162" s="477">
        <v>0.1</v>
      </c>
      <c r="N162" s="478">
        <v>2.24</v>
      </c>
      <c r="O162" s="479">
        <v>2.74</v>
      </c>
      <c r="P162" s="480">
        <v>3.24</v>
      </c>
      <c r="Q162" s="320">
        <v>3.74</v>
      </c>
      <c r="R162" s="480">
        <v>4.23</v>
      </c>
      <c r="S162" s="480">
        <v>4.73</v>
      </c>
      <c r="T162" s="480">
        <v>5.23</v>
      </c>
      <c r="U162" s="480">
        <v>5.72</v>
      </c>
      <c r="V162" s="480">
        <v>6.22</v>
      </c>
      <c r="W162" s="480">
        <v>6.71</v>
      </c>
      <c r="X162" s="480">
        <v>7.2</v>
      </c>
      <c r="Y162" s="480">
        <v>8.19</v>
      </c>
      <c r="Z162" s="481">
        <v>9.17</v>
      </c>
      <c r="AA162" s="480">
        <v>10.1</v>
      </c>
      <c r="AB162" s="480">
        <v>11.1</v>
      </c>
      <c r="AC162" s="482">
        <v>12.1</v>
      </c>
      <c r="AF162" s="405" t="s">
        <v>855</v>
      </c>
      <c r="AG162" s="406">
        <v>10.3</v>
      </c>
      <c r="AH162" s="407">
        <v>17.7</v>
      </c>
      <c r="AI162" s="408">
        <v>0.3</v>
      </c>
      <c r="AJ162" s="409">
        <v>6</v>
      </c>
      <c r="AK162" s="408">
        <v>0.425</v>
      </c>
      <c r="AL162" s="412">
        <v>0.827</v>
      </c>
      <c r="AN162" s="50"/>
      <c r="AO162" s="100"/>
    </row>
    <row r="163" spans="1:41" ht="12.75">
      <c r="A163" s="443" t="s">
        <v>104</v>
      </c>
      <c r="B163" s="183">
        <f>IF(AND($D$29=0,$D$30=0,$D$31=0),"N.A.",IF(AND($D$29&gt;0,$D$30&gt;0,$D$30&lt;=0.5*$B$45,$D$31=0),$N$319,IF(AND($D$29&gt;0,$D$30&gt;0,$D$30&lt;=0.5*$B$45,$D$31&gt;0),$N$359)))</f>
        <v>125.7675125938599</v>
      </c>
      <c r="C163" s="110" t="s">
        <v>237</v>
      </c>
      <c r="D163" s="441" t="str">
        <f>IF(AND($D$29=0,$D$30=0,$D$31=0),"Rwb = not applicable for uncoped beam",IF(AND($D$29&gt;0,$D$30&gt;0,$D$30&lt;=0.5*$B$45,$D$31=0),$P$319,IF(AND($D$29&gt;0,$D$30&gt;0,$D$30&lt;=0.5*$B$45,$D$31&gt;0),$P$359)))</f>
        <v>Rwb = Fbc*Sn/e</v>
      </c>
      <c r="E163" s="10"/>
      <c r="F163" s="445"/>
      <c r="G163" s="10"/>
      <c r="H163" s="10"/>
      <c r="I163" s="389" t="str">
        <f>IF(AND($D$29=0,$D$30=0,$D$31=0),"",IF($B$163&gt;=$D$16,"Rwb &gt;= R,  O.K.  ","Rwb &lt; R, N.G.  "))</f>
        <v>Rwb &gt;= R,  O.K.  </v>
      </c>
      <c r="M163" s="483">
        <v>0.15</v>
      </c>
      <c r="N163" s="478">
        <v>2.09</v>
      </c>
      <c r="O163" s="479">
        <v>2.6</v>
      </c>
      <c r="P163" s="480">
        <v>3.09</v>
      </c>
      <c r="Q163" s="480">
        <v>3.58</v>
      </c>
      <c r="R163" s="480">
        <v>4.07</v>
      </c>
      <c r="S163" s="480">
        <v>4.57</v>
      </c>
      <c r="T163" s="320">
        <v>5.06</v>
      </c>
      <c r="U163" s="480">
        <v>5.56</v>
      </c>
      <c r="V163" s="480">
        <v>6.06</v>
      </c>
      <c r="W163" s="320">
        <v>6.55</v>
      </c>
      <c r="X163" s="480">
        <v>7.05</v>
      </c>
      <c r="Y163" s="480">
        <v>8.04</v>
      </c>
      <c r="Z163" s="481">
        <v>9.03</v>
      </c>
      <c r="AA163" s="480">
        <v>10</v>
      </c>
      <c r="AB163" s="480">
        <v>11</v>
      </c>
      <c r="AC163" s="482">
        <v>12</v>
      </c>
      <c r="AF163" s="405" t="s">
        <v>856</v>
      </c>
      <c r="AG163" s="406">
        <v>29.5</v>
      </c>
      <c r="AH163" s="407">
        <v>17</v>
      </c>
      <c r="AI163" s="408">
        <v>0.585</v>
      </c>
      <c r="AJ163" s="407">
        <v>10.4</v>
      </c>
      <c r="AK163" s="408">
        <v>0.985</v>
      </c>
      <c r="AL163" s="410">
        <v>1.39</v>
      </c>
      <c r="AN163" s="50" t="str">
        <f>IF(AO163="","N.A.","SR =")</f>
        <v>SR =</v>
      </c>
      <c r="AO163" s="100">
        <f>IF(AND($D$29=0,$D$30=0,$D$31=0),"",$D$16/$B$163)</f>
        <v>0.3180471584038694</v>
      </c>
    </row>
    <row r="164" spans="1:41" ht="12.75">
      <c r="A164" s="19"/>
      <c r="B164" s="10"/>
      <c r="C164" s="10"/>
      <c r="D164" s="10"/>
      <c r="E164" s="10"/>
      <c r="F164" s="10"/>
      <c r="G164" s="10"/>
      <c r="H164" s="10"/>
      <c r="I164" s="14"/>
      <c r="M164" s="483">
        <v>0.2</v>
      </c>
      <c r="N164" s="478">
        <v>1.96</v>
      </c>
      <c r="O164" s="479">
        <v>2.44</v>
      </c>
      <c r="P164" s="480">
        <v>2.92</v>
      </c>
      <c r="Q164" s="480">
        <v>3.4</v>
      </c>
      <c r="R164" s="320">
        <v>3.88</v>
      </c>
      <c r="S164" s="480">
        <v>4.37</v>
      </c>
      <c r="T164" s="480">
        <v>4.86</v>
      </c>
      <c r="U164" s="480">
        <v>5.36</v>
      </c>
      <c r="V164" s="480">
        <v>5.85</v>
      </c>
      <c r="W164" s="480">
        <v>6.35</v>
      </c>
      <c r="X164" s="480">
        <v>6.84</v>
      </c>
      <c r="Y164" s="480">
        <v>7.83</v>
      </c>
      <c r="Z164" s="481">
        <v>8.83</v>
      </c>
      <c r="AA164" s="480">
        <v>9.82</v>
      </c>
      <c r="AB164" s="480">
        <v>10.8</v>
      </c>
      <c r="AC164" s="484">
        <v>11.8</v>
      </c>
      <c r="AF164" s="405" t="s">
        <v>857</v>
      </c>
      <c r="AG164" s="406">
        <v>26.2</v>
      </c>
      <c r="AH164" s="407">
        <v>16.8</v>
      </c>
      <c r="AI164" s="408">
        <v>0.525</v>
      </c>
      <c r="AJ164" s="407">
        <v>10.4</v>
      </c>
      <c r="AK164" s="408">
        <v>0.875</v>
      </c>
      <c r="AL164" s="410">
        <v>1.28</v>
      </c>
      <c r="AN164" s="50"/>
      <c r="AO164" s="100"/>
    </row>
    <row r="165" spans="1:41" ht="12.75">
      <c r="A165" s="64" t="s">
        <v>161</v>
      </c>
      <c r="B165" s="45"/>
      <c r="C165" s="121"/>
      <c r="D165" s="45"/>
      <c r="E165" s="45"/>
      <c r="F165" s="45"/>
      <c r="G165" s="45"/>
      <c r="H165" s="45"/>
      <c r="I165" s="389"/>
      <c r="M165" s="483">
        <v>0.25</v>
      </c>
      <c r="N165" s="478">
        <v>1.85</v>
      </c>
      <c r="O165" s="479">
        <v>2.29</v>
      </c>
      <c r="P165" s="480">
        <v>2.75</v>
      </c>
      <c r="Q165" s="480">
        <v>3.21</v>
      </c>
      <c r="R165" s="480">
        <v>3.68</v>
      </c>
      <c r="S165" s="480">
        <v>4.16</v>
      </c>
      <c r="T165" s="480">
        <v>4.64</v>
      </c>
      <c r="U165" s="480">
        <v>5.13</v>
      </c>
      <c r="V165" s="480">
        <v>5.62</v>
      </c>
      <c r="W165" s="480">
        <v>6.11</v>
      </c>
      <c r="X165" s="480">
        <v>6.6</v>
      </c>
      <c r="Y165" s="480">
        <v>7.58</v>
      </c>
      <c r="Z165" s="481">
        <v>8.58</v>
      </c>
      <c r="AA165" s="480">
        <v>9.59</v>
      </c>
      <c r="AB165" s="480">
        <v>1.6</v>
      </c>
      <c r="AC165" s="482">
        <v>11.6</v>
      </c>
      <c r="AF165" s="405" t="s">
        <v>858</v>
      </c>
      <c r="AG165" s="406">
        <v>22.6</v>
      </c>
      <c r="AH165" s="407">
        <v>16.5</v>
      </c>
      <c r="AI165" s="408">
        <v>0.455</v>
      </c>
      <c r="AJ165" s="407">
        <v>10.3</v>
      </c>
      <c r="AK165" s="408">
        <v>0.76</v>
      </c>
      <c r="AL165" s="410">
        <v>1.16</v>
      </c>
      <c r="AN165" s="50"/>
      <c r="AO165" s="100"/>
    </row>
    <row r="166" spans="1:41" ht="12.75">
      <c r="A166" s="442" t="s">
        <v>644</v>
      </c>
      <c r="B166" s="10"/>
      <c r="C166" s="10"/>
      <c r="D166" s="10"/>
      <c r="E166" s="10"/>
      <c r="F166" s="10"/>
      <c r="G166" s="10"/>
      <c r="H166" s="10"/>
      <c r="I166" s="389"/>
      <c r="M166" s="483">
        <v>0.3</v>
      </c>
      <c r="N166" s="478">
        <v>1.74</v>
      </c>
      <c r="O166" s="479">
        <v>2.15</v>
      </c>
      <c r="P166" s="480">
        <v>2.59</v>
      </c>
      <c r="Q166" s="480">
        <v>3.03</v>
      </c>
      <c r="R166" s="480">
        <v>3.48</v>
      </c>
      <c r="S166" s="480">
        <v>3.94</v>
      </c>
      <c r="T166" s="480">
        <v>4.41</v>
      </c>
      <c r="U166" s="320">
        <v>4.89</v>
      </c>
      <c r="V166" s="480">
        <v>5.38</v>
      </c>
      <c r="W166" s="480">
        <v>5.86</v>
      </c>
      <c r="X166" s="480">
        <v>6.34</v>
      </c>
      <c r="Y166" s="480">
        <v>7.32</v>
      </c>
      <c r="Z166" s="485">
        <v>8.31</v>
      </c>
      <c r="AA166" s="320">
        <v>9.32</v>
      </c>
      <c r="AB166" s="486">
        <v>10.3</v>
      </c>
      <c r="AC166" s="484">
        <v>11.3</v>
      </c>
      <c r="AF166" s="405" t="s">
        <v>859</v>
      </c>
      <c r="AG166" s="406">
        <v>19.7</v>
      </c>
      <c r="AH166" s="407">
        <v>16.3</v>
      </c>
      <c r="AI166" s="408">
        <v>0.395</v>
      </c>
      <c r="AJ166" s="407">
        <v>10.2</v>
      </c>
      <c r="AK166" s="408">
        <v>0.665</v>
      </c>
      <c r="AL166" s="410">
        <v>1.07</v>
      </c>
      <c r="AN166" s="50"/>
      <c r="AO166" s="100"/>
    </row>
    <row r="167" spans="1:41" ht="12.75">
      <c r="A167" s="439" t="s">
        <v>631</v>
      </c>
      <c r="B167" s="450">
        <f>$N$362</f>
        <v>7.125016348901795</v>
      </c>
      <c r="C167" s="456" t="s">
        <v>269</v>
      </c>
      <c r="D167" s="438" t="s">
        <v>630</v>
      </c>
      <c r="E167" s="10"/>
      <c r="F167" s="10"/>
      <c r="G167" s="45"/>
      <c r="H167" s="10"/>
      <c r="I167" s="389"/>
      <c r="M167" s="483">
        <v>0.4</v>
      </c>
      <c r="N167" s="478">
        <v>1.55</v>
      </c>
      <c r="O167" s="479">
        <v>1.91</v>
      </c>
      <c r="P167" s="480">
        <v>2.3</v>
      </c>
      <c r="Q167" s="480">
        <v>2.7</v>
      </c>
      <c r="R167" s="480">
        <v>3.12</v>
      </c>
      <c r="S167" s="480">
        <v>3.55</v>
      </c>
      <c r="T167" s="480">
        <v>3.99</v>
      </c>
      <c r="U167" s="480">
        <v>4.44</v>
      </c>
      <c r="V167" s="320">
        <v>4.91</v>
      </c>
      <c r="W167" s="480">
        <v>5.37</v>
      </c>
      <c r="X167" s="480">
        <v>5.83</v>
      </c>
      <c r="Y167" s="320">
        <v>6.77</v>
      </c>
      <c r="Z167" s="481">
        <v>7.75</v>
      </c>
      <c r="AA167" s="480">
        <v>8.75</v>
      </c>
      <c r="AB167" s="480">
        <v>9.77</v>
      </c>
      <c r="AC167" s="482">
        <v>10.8</v>
      </c>
      <c r="AF167" s="405" t="s">
        <v>860</v>
      </c>
      <c r="AG167" s="406">
        <v>16.8</v>
      </c>
      <c r="AH167" s="407">
        <v>16.4</v>
      </c>
      <c r="AI167" s="408">
        <v>0.43</v>
      </c>
      <c r="AJ167" s="409">
        <v>7.12</v>
      </c>
      <c r="AK167" s="408">
        <v>0.715</v>
      </c>
      <c r="AL167" s="410">
        <v>1.12</v>
      </c>
      <c r="AN167" s="50"/>
      <c r="AO167" s="100"/>
    </row>
    <row r="168" spans="1:41" ht="12.75">
      <c r="A168" s="457" t="s">
        <v>427</v>
      </c>
      <c r="B168" s="180">
        <f>$N$363</f>
        <v>82.77323612608444</v>
      </c>
      <c r="C168" s="456" t="s">
        <v>237</v>
      </c>
      <c r="D168" s="447" t="s">
        <v>643</v>
      </c>
      <c r="E168" s="10"/>
      <c r="F168" s="10"/>
      <c r="G168" s="10"/>
      <c r="H168" s="10"/>
      <c r="I168" s="389"/>
      <c r="M168" s="483">
        <v>0.5</v>
      </c>
      <c r="N168" s="478">
        <v>1.37</v>
      </c>
      <c r="O168" s="479">
        <v>1.7</v>
      </c>
      <c r="P168" s="480">
        <v>2.05</v>
      </c>
      <c r="Q168" s="480">
        <v>2.42</v>
      </c>
      <c r="R168" s="480">
        <v>2.8</v>
      </c>
      <c r="S168" s="480">
        <v>3.2</v>
      </c>
      <c r="T168" s="480">
        <v>3.61</v>
      </c>
      <c r="U168" s="320">
        <v>4.04</v>
      </c>
      <c r="V168" s="320">
        <v>4.48</v>
      </c>
      <c r="W168" s="320">
        <v>4.93</v>
      </c>
      <c r="X168" s="480">
        <v>5.37</v>
      </c>
      <c r="Y168" s="480">
        <v>6.27</v>
      </c>
      <c r="Z168" s="481">
        <v>7.22</v>
      </c>
      <c r="AA168" s="480">
        <v>8.2</v>
      </c>
      <c r="AB168" s="320">
        <v>9.2</v>
      </c>
      <c r="AC168" s="482">
        <v>10.2</v>
      </c>
      <c r="AF168" s="405" t="s">
        <v>861</v>
      </c>
      <c r="AG168" s="406">
        <v>14.7</v>
      </c>
      <c r="AH168" s="407">
        <v>16.3</v>
      </c>
      <c r="AI168" s="408">
        <v>0.38</v>
      </c>
      <c r="AJ168" s="409">
        <v>7.07</v>
      </c>
      <c r="AK168" s="408">
        <v>0.63</v>
      </c>
      <c r="AL168" s="410">
        <v>1.03</v>
      </c>
      <c r="AN168" s="50"/>
      <c r="AO168" s="100"/>
    </row>
    <row r="169" spans="1:41" ht="12.75">
      <c r="A169" s="457" t="s">
        <v>625</v>
      </c>
      <c r="B169" s="451">
        <f>$N$364</f>
        <v>0.23769230769230767</v>
      </c>
      <c r="C169" s="361" t="s">
        <v>268</v>
      </c>
      <c r="D169" s="459" t="s">
        <v>1178</v>
      </c>
      <c r="E169" s="10"/>
      <c r="F169" s="10"/>
      <c r="G169" s="10"/>
      <c r="H169" s="10"/>
      <c r="I169" s="389"/>
      <c r="M169" s="483">
        <v>0.6</v>
      </c>
      <c r="N169" s="478">
        <v>1.23</v>
      </c>
      <c r="O169" s="479">
        <v>1.52</v>
      </c>
      <c r="P169" s="480">
        <v>1.84</v>
      </c>
      <c r="Q169" s="480">
        <v>2.18</v>
      </c>
      <c r="R169" s="480">
        <v>2.53</v>
      </c>
      <c r="S169" s="480">
        <v>2.9</v>
      </c>
      <c r="T169" s="480">
        <v>3.29</v>
      </c>
      <c r="U169" s="320">
        <v>3.69</v>
      </c>
      <c r="V169" s="480">
        <v>4.11</v>
      </c>
      <c r="W169" s="480">
        <v>4.54</v>
      </c>
      <c r="X169" s="480">
        <v>4.96</v>
      </c>
      <c r="Y169" s="480">
        <v>5.83</v>
      </c>
      <c r="Z169" s="481">
        <v>6.72</v>
      </c>
      <c r="AA169" s="480">
        <v>7.67</v>
      </c>
      <c r="AB169" s="480">
        <v>8.65</v>
      </c>
      <c r="AC169" s="482">
        <v>9.64</v>
      </c>
      <c r="AF169" s="405" t="s">
        <v>862</v>
      </c>
      <c r="AG169" s="406">
        <v>13.3</v>
      </c>
      <c r="AH169" s="407">
        <v>16.1</v>
      </c>
      <c r="AI169" s="408">
        <v>0.345</v>
      </c>
      <c r="AJ169" s="409">
        <v>7.04</v>
      </c>
      <c r="AK169" s="408">
        <v>0.565</v>
      </c>
      <c r="AL169" s="412">
        <v>0.967</v>
      </c>
      <c r="AN169" s="50"/>
      <c r="AO169" s="100"/>
    </row>
    <row r="170" spans="1:41" ht="12.75">
      <c r="A170" s="457" t="s">
        <v>628</v>
      </c>
      <c r="B170" s="451" t="str">
        <f>$N$365</f>
        <v>No</v>
      </c>
      <c r="C170" s="361"/>
      <c r="D170" s="447" t="str">
        <f>$P$365</f>
        <v>Is tmin &gt; tfc?  If so, Rwr' = Rwr* tfc / tmin.  If not, Rwr' = Rwr</v>
      </c>
      <c r="E170" s="10"/>
      <c r="F170" s="10"/>
      <c r="G170" s="10"/>
      <c r="H170" s="10"/>
      <c r="I170" s="389"/>
      <c r="M170" s="483">
        <v>0.7</v>
      </c>
      <c r="N170" s="478">
        <v>1.11</v>
      </c>
      <c r="O170" s="479">
        <v>1.37</v>
      </c>
      <c r="P170" s="480">
        <v>1.66</v>
      </c>
      <c r="Q170" s="480">
        <v>1.97</v>
      </c>
      <c r="R170" s="480">
        <v>2.3</v>
      </c>
      <c r="S170" s="480">
        <v>2.65</v>
      </c>
      <c r="T170" s="480">
        <v>3.01</v>
      </c>
      <c r="U170" s="480">
        <v>3.39</v>
      </c>
      <c r="V170" s="320">
        <v>3.79</v>
      </c>
      <c r="W170" s="480">
        <v>4.2</v>
      </c>
      <c r="X170" s="480">
        <v>4.61</v>
      </c>
      <c r="Y170" s="480">
        <v>5.43</v>
      </c>
      <c r="Z170" s="481">
        <v>6.3</v>
      </c>
      <c r="AA170" s="480">
        <v>7.2</v>
      </c>
      <c r="AB170" s="480">
        <v>8.15</v>
      </c>
      <c r="AC170" s="482">
        <v>9.12</v>
      </c>
      <c r="AF170" s="405" t="s">
        <v>863</v>
      </c>
      <c r="AG170" s="406">
        <v>11.8</v>
      </c>
      <c r="AH170" s="407">
        <v>16</v>
      </c>
      <c r="AI170" s="408">
        <v>0.305</v>
      </c>
      <c r="AJ170" s="409">
        <v>7</v>
      </c>
      <c r="AK170" s="408">
        <v>0.505</v>
      </c>
      <c r="AL170" s="412">
        <v>0.907</v>
      </c>
      <c r="AN170" s="50"/>
      <c r="AO170" s="100"/>
    </row>
    <row r="171" spans="1:41" ht="12.75">
      <c r="A171" s="457" t="s">
        <v>624</v>
      </c>
      <c r="B171" s="180">
        <f>$N$366</f>
        <v>82.77323612608444</v>
      </c>
      <c r="C171" s="456" t="s">
        <v>237</v>
      </c>
      <c r="D171" s="449" t="str">
        <f>$P$366</f>
        <v>Rwr' = Rwr, tmin &lt; tfc, no reduction in strength is needed</v>
      </c>
      <c r="E171" s="10"/>
      <c r="F171" s="10"/>
      <c r="G171" s="10"/>
      <c r="H171" s="10"/>
      <c r="I171" s="389"/>
      <c r="M171" s="483">
        <v>0.8</v>
      </c>
      <c r="N171" s="478">
        <v>1</v>
      </c>
      <c r="O171" s="479">
        <v>1.25</v>
      </c>
      <c r="P171" s="480">
        <v>1.51</v>
      </c>
      <c r="Q171" s="480">
        <v>1.8</v>
      </c>
      <c r="R171" s="480">
        <v>2.1</v>
      </c>
      <c r="S171" s="480">
        <v>2.43</v>
      </c>
      <c r="T171" s="320">
        <v>2.77</v>
      </c>
      <c r="U171" s="480">
        <v>3.13</v>
      </c>
      <c r="V171" s="320">
        <v>3.51</v>
      </c>
      <c r="W171" s="480">
        <v>3.9</v>
      </c>
      <c r="X171" s="480">
        <v>4.29</v>
      </c>
      <c r="Y171" s="480">
        <v>5.08</v>
      </c>
      <c r="Z171" s="481">
        <v>5.91</v>
      </c>
      <c r="AA171" s="480">
        <v>6.77</v>
      </c>
      <c r="AB171" s="480">
        <v>7.69</v>
      </c>
      <c r="AC171" s="321">
        <v>8.63</v>
      </c>
      <c r="AF171" s="405" t="s">
        <v>864</v>
      </c>
      <c r="AG171" s="406">
        <v>10.6</v>
      </c>
      <c r="AH171" s="407">
        <v>15.9</v>
      </c>
      <c r="AI171" s="408">
        <v>0.295</v>
      </c>
      <c r="AJ171" s="409">
        <v>6.99</v>
      </c>
      <c r="AK171" s="408">
        <v>0.43</v>
      </c>
      <c r="AL171" s="412">
        <v>0.832</v>
      </c>
      <c r="AN171" s="50"/>
      <c r="AO171" s="100"/>
    </row>
    <row r="172" spans="1:41" ht="12.75">
      <c r="A172" s="457" t="s">
        <v>428</v>
      </c>
      <c r="B172" s="180">
        <f>$N$367</f>
        <v>82.13405099191012</v>
      </c>
      <c r="C172" s="456" t="s">
        <v>237</v>
      </c>
      <c r="D172" s="448" t="s">
        <v>637</v>
      </c>
      <c r="E172" s="10"/>
      <c r="F172" s="10"/>
      <c r="G172" s="10"/>
      <c r="H172" s="10"/>
      <c r="I172" s="389" t="str">
        <f>IF($B$172&gt;=$D$16,"Rwv &gt;= R,  O.K.  ","Rwv &lt; R, N.G.  ")</f>
        <v>Rwv &gt;= R,  O.K.  </v>
      </c>
      <c r="M172" s="483">
        <v>0.9</v>
      </c>
      <c r="N172" s="478">
        <v>0.913</v>
      </c>
      <c r="O172" s="479">
        <v>1.14</v>
      </c>
      <c r="P172" s="480">
        <v>1.38</v>
      </c>
      <c r="Q172" s="480">
        <v>1.65</v>
      </c>
      <c r="R172" s="480">
        <v>1.93</v>
      </c>
      <c r="S172" s="480">
        <v>2.24</v>
      </c>
      <c r="T172" s="480">
        <v>2.56</v>
      </c>
      <c r="U172" s="480">
        <v>2.9</v>
      </c>
      <c r="V172" s="480">
        <v>3.26</v>
      </c>
      <c r="W172" s="480">
        <v>3.64</v>
      </c>
      <c r="X172" s="480">
        <v>4</v>
      </c>
      <c r="Y172" s="480">
        <v>4.76</v>
      </c>
      <c r="Z172" s="481">
        <v>5.56</v>
      </c>
      <c r="AA172" s="320">
        <v>6.39</v>
      </c>
      <c r="AB172" s="480">
        <v>7.27</v>
      </c>
      <c r="AC172" s="321">
        <v>8.18</v>
      </c>
      <c r="AF172" s="405" t="s">
        <v>865</v>
      </c>
      <c r="AG172" s="413">
        <v>9.13</v>
      </c>
      <c r="AH172" s="407">
        <v>15.9</v>
      </c>
      <c r="AI172" s="408">
        <v>0.275</v>
      </c>
      <c r="AJ172" s="409">
        <v>5.53</v>
      </c>
      <c r="AK172" s="408">
        <v>0.44</v>
      </c>
      <c r="AL172" s="412">
        <v>0.842</v>
      </c>
      <c r="AN172" s="50" t="s">
        <v>388</v>
      </c>
      <c r="AO172" s="100">
        <f>IF($D$16&gt;0,$D$16/$B$172,"")</f>
        <v>0.4870087316640433</v>
      </c>
    </row>
    <row r="173" spans="1:41" ht="12.75">
      <c r="A173" s="457" t="s">
        <v>429</v>
      </c>
      <c r="B173" s="181">
        <f>$N$368</f>
        <v>10.26675637398876</v>
      </c>
      <c r="C173" s="456" t="s">
        <v>237</v>
      </c>
      <c r="D173" s="448" t="s">
        <v>638</v>
      </c>
      <c r="E173" s="10"/>
      <c r="F173" s="10"/>
      <c r="G173" s="10"/>
      <c r="H173" s="10"/>
      <c r="I173" s="389" t="str">
        <f>IF($D$17&gt;0,IF($B$173&gt;=$D$17,"Rwa &gt;= P,  O.K.  ","Rwa &lt; P, N.G.  "),"")</f>
        <v>Rwa &gt;= P,  O.K.  </v>
      </c>
      <c r="M173" s="487">
        <v>1</v>
      </c>
      <c r="N173" s="478">
        <v>0.839</v>
      </c>
      <c r="O173" s="479">
        <v>1.05</v>
      </c>
      <c r="P173" s="320">
        <v>1.27</v>
      </c>
      <c r="Q173" s="480">
        <v>1.52</v>
      </c>
      <c r="R173" s="480">
        <v>1.79</v>
      </c>
      <c r="S173" s="480">
        <v>2.07</v>
      </c>
      <c r="T173" s="480">
        <v>2.38</v>
      </c>
      <c r="U173" s="480">
        <v>2.7</v>
      </c>
      <c r="V173" s="480">
        <v>3.05</v>
      </c>
      <c r="W173" s="480">
        <v>3.4</v>
      </c>
      <c r="X173" s="480">
        <v>3.75</v>
      </c>
      <c r="Y173" s="480">
        <v>4.47</v>
      </c>
      <c r="Z173" s="481">
        <v>5.23</v>
      </c>
      <c r="AA173" s="480">
        <v>6.04</v>
      </c>
      <c r="AB173" s="480">
        <v>6.89</v>
      </c>
      <c r="AC173" s="482">
        <v>7.77</v>
      </c>
      <c r="AF173" s="405" t="s">
        <v>866</v>
      </c>
      <c r="AG173" s="413">
        <v>7.68</v>
      </c>
      <c r="AH173" s="407">
        <v>15.7</v>
      </c>
      <c r="AI173" s="408">
        <v>0.25</v>
      </c>
      <c r="AJ173" s="409">
        <v>5.5</v>
      </c>
      <c r="AK173" s="408">
        <v>0.345</v>
      </c>
      <c r="AL173" s="412">
        <v>0.747</v>
      </c>
      <c r="AN173" s="50" t="str">
        <f>IF(AO173="","N.A.","SR =")</f>
        <v>SR =</v>
      </c>
      <c r="AO173" s="100">
        <f>IF($D$17&gt;0,$D$17/$B$173,"")</f>
        <v>0.48700873166404346</v>
      </c>
    </row>
    <row r="174" spans="1:41" ht="12.75">
      <c r="A174" s="19"/>
      <c r="B174" s="10"/>
      <c r="C174" s="10"/>
      <c r="D174" s="112"/>
      <c r="E174" s="24"/>
      <c r="F174" s="24"/>
      <c r="G174" s="24"/>
      <c r="H174" s="24"/>
      <c r="I174" s="389"/>
      <c r="M174" s="487">
        <v>1.2</v>
      </c>
      <c r="N174" s="478">
        <v>0.717</v>
      </c>
      <c r="O174" s="479">
        <v>0.899</v>
      </c>
      <c r="P174" s="480">
        <v>1.1</v>
      </c>
      <c r="Q174" s="480">
        <v>1.31</v>
      </c>
      <c r="R174" s="480">
        <v>1.55</v>
      </c>
      <c r="S174" s="480">
        <v>1.8</v>
      </c>
      <c r="T174" s="480">
        <v>2.08</v>
      </c>
      <c r="U174" s="480">
        <v>2.37</v>
      </c>
      <c r="V174" s="480">
        <v>2.68</v>
      </c>
      <c r="W174" s="480">
        <v>3</v>
      </c>
      <c r="X174" s="480">
        <v>3.31</v>
      </c>
      <c r="Y174" s="480">
        <v>3.97</v>
      </c>
      <c r="Z174" s="481">
        <v>4.68</v>
      </c>
      <c r="AA174" s="480">
        <v>5.42</v>
      </c>
      <c r="AB174" s="480">
        <v>6.21</v>
      </c>
      <c r="AC174" s="482">
        <v>7.04</v>
      </c>
      <c r="AF174" s="405" t="s">
        <v>867</v>
      </c>
      <c r="AG174" s="411">
        <v>215</v>
      </c>
      <c r="AH174" s="407">
        <v>22.4</v>
      </c>
      <c r="AI174" s="409">
        <v>3.07</v>
      </c>
      <c r="AJ174" s="407">
        <v>17.9</v>
      </c>
      <c r="AK174" s="409">
        <v>4.91</v>
      </c>
      <c r="AL174" s="410">
        <v>5.51</v>
      </c>
      <c r="AN174" s="50"/>
      <c r="AO174" s="100"/>
    </row>
    <row r="175" spans="1:41" ht="12.75">
      <c r="A175" s="67" t="s">
        <v>121</v>
      </c>
      <c r="B175" s="45"/>
      <c r="C175" s="121"/>
      <c r="D175" s="52" t="str">
        <f>P369</f>
        <v>(Criteria is assumed for beam near column end per AISC Eqn. J10-3)</v>
      </c>
      <c r="E175" s="55"/>
      <c r="F175" s="45"/>
      <c r="G175" s="45"/>
      <c r="H175" s="45"/>
      <c r="I175" s="389"/>
      <c r="M175" s="487">
        <v>1.4</v>
      </c>
      <c r="N175" s="478">
        <v>0.625</v>
      </c>
      <c r="O175" s="479">
        <v>0.785</v>
      </c>
      <c r="P175" s="480">
        <v>0.96</v>
      </c>
      <c r="Q175" s="480">
        <v>1.15</v>
      </c>
      <c r="R175" s="480">
        <v>1.36</v>
      </c>
      <c r="S175" s="480">
        <v>1.59</v>
      </c>
      <c r="T175" s="480">
        <v>1.84</v>
      </c>
      <c r="U175" s="480">
        <v>2.11</v>
      </c>
      <c r="V175" s="480">
        <v>2.39</v>
      </c>
      <c r="W175" s="480">
        <v>2.67</v>
      </c>
      <c r="X175" s="480">
        <v>2.96</v>
      </c>
      <c r="Y175" s="480">
        <v>3.57</v>
      </c>
      <c r="Z175" s="481">
        <v>4.22</v>
      </c>
      <c r="AA175" s="480">
        <v>4.91</v>
      </c>
      <c r="AB175" s="320">
        <v>5.65</v>
      </c>
      <c r="AC175" s="482">
        <v>6.41</v>
      </c>
      <c r="AF175" s="405" t="s">
        <v>868</v>
      </c>
      <c r="AG175" s="411">
        <v>196</v>
      </c>
      <c r="AH175" s="407">
        <v>21.6</v>
      </c>
      <c r="AI175" s="409">
        <v>2.83</v>
      </c>
      <c r="AJ175" s="407">
        <v>17.7</v>
      </c>
      <c r="AK175" s="409">
        <v>4.52</v>
      </c>
      <c r="AL175" s="410">
        <v>5.12</v>
      </c>
      <c r="AN175" s="50"/>
      <c r="AO175" s="100"/>
    </row>
    <row r="176" spans="1:38" ht="12.75">
      <c r="A176" s="69" t="s">
        <v>125</v>
      </c>
      <c r="B176" s="182">
        <f>$N$370</f>
        <v>0.44</v>
      </c>
      <c r="C176" s="113" t="s">
        <v>268</v>
      </c>
      <c r="D176" s="52" t="str">
        <f>$P$370</f>
        <v>twc = tw  (web doubler plate is ignored for prying)</v>
      </c>
      <c r="E176" s="45"/>
      <c r="F176" s="45"/>
      <c r="G176" s="45"/>
      <c r="H176" s="45"/>
      <c r="I176" s="389"/>
      <c r="M176" s="487">
        <v>1.6</v>
      </c>
      <c r="N176" s="478">
        <v>0.555</v>
      </c>
      <c r="O176" s="479">
        <v>0.696</v>
      </c>
      <c r="P176" s="480">
        <v>0.852</v>
      </c>
      <c r="Q176" s="480">
        <v>1.03</v>
      </c>
      <c r="R176" s="480">
        <v>1.21</v>
      </c>
      <c r="S176" s="480">
        <v>1.42</v>
      </c>
      <c r="T176" s="480">
        <v>1.65</v>
      </c>
      <c r="U176" s="480">
        <v>1.89</v>
      </c>
      <c r="V176" s="480">
        <v>2.15</v>
      </c>
      <c r="W176" s="480">
        <v>2.4</v>
      </c>
      <c r="X176" s="480">
        <v>2.67</v>
      </c>
      <c r="Y176" s="480">
        <v>3.22</v>
      </c>
      <c r="Z176" s="481">
        <v>3.83</v>
      </c>
      <c r="AA176" s="480">
        <v>4.47</v>
      </c>
      <c r="AB176" s="480">
        <v>5.15</v>
      </c>
      <c r="AC176" s="482">
        <v>5.88</v>
      </c>
      <c r="AF176" s="405" t="s">
        <v>869</v>
      </c>
      <c r="AG176" s="411">
        <v>178</v>
      </c>
      <c r="AH176" s="407">
        <v>20.9</v>
      </c>
      <c r="AI176" s="409">
        <v>2.6</v>
      </c>
      <c r="AJ176" s="407">
        <v>17.4</v>
      </c>
      <c r="AK176" s="409">
        <v>4.16</v>
      </c>
      <c r="AL176" s="410">
        <v>4.76</v>
      </c>
    </row>
    <row r="177" spans="1:41" ht="12.75">
      <c r="A177" s="69" t="s">
        <v>122</v>
      </c>
      <c r="B177" s="175">
        <f>$N$371</f>
        <v>12</v>
      </c>
      <c r="C177" s="113" t="s">
        <v>268</v>
      </c>
      <c r="D177" s="52" t="str">
        <f>$P$371</f>
        <v>Assume: N = L</v>
      </c>
      <c r="E177" s="45"/>
      <c r="F177" s="45"/>
      <c r="G177" s="45"/>
      <c r="H177" s="45"/>
      <c r="I177" s="389"/>
      <c r="M177" s="487">
        <v>1.8</v>
      </c>
      <c r="N177" s="478">
        <v>0.497</v>
      </c>
      <c r="O177" s="324">
        <v>0.624</v>
      </c>
      <c r="P177" s="480">
        <v>0.765</v>
      </c>
      <c r="Q177" s="480">
        <v>0.923</v>
      </c>
      <c r="R177" s="480">
        <v>1.09</v>
      </c>
      <c r="S177" s="480">
        <v>1.29</v>
      </c>
      <c r="T177" s="480">
        <v>1.49</v>
      </c>
      <c r="U177" s="480">
        <v>1.71</v>
      </c>
      <c r="V177" s="480">
        <v>1.95</v>
      </c>
      <c r="W177" s="480">
        <v>2.18</v>
      </c>
      <c r="X177" s="480">
        <v>2.42</v>
      </c>
      <c r="Y177" s="480">
        <v>2.94</v>
      </c>
      <c r="Z177" s="481">
        <v>3.5</v>
      </c>
      <c r="AA177" s="480">
        <v>4.1</v>
      </c>
      <c r="AB177" s="480">
        <v>4.74</v>
      </c>
      <c r="AC177" s="321">
        <v>5.42</v>
      </c>
      <c r="AF177" s="405" t="s">
        <v>870</v>
      </c>
      <c r="AG177" s="411">
        <v>162</v>
      </c>
      <c r="AH177" s="407">
        <v>20.2</v>
      </c>
      <c r="AI177" s="409">
        <v>2.38</v>
      </c>
      <c r="AJ177" s="407">
        <v>17.2</v>
      </c>
      <c r="AK177" s="409">
        <v>3.82</v>
      </c>
      <c r="AL177" s="410">
        <v>4.42</v>
      </c>
      <c r="AN177" s="50"/>
      <c r="AO177" s="100"/>
    </row>
    <row r="178" spans="1:41" ht="12.75">
      <c r="A178" s="69" t="s">
        <v>690</v>
      </c>
      <c r="B178" s="183">
        <f>$N$372</f>
        <v>224.0333333333333</v>
      </c>
      <c r="C178" s="113" t="s">
        <v>237</v>
      </c>
      <c r="D178" s="52" t="str">
        <f>$P$372</f>
        <v>Rwy = (1/1.5)*Fyc*twc*(N+2.5*kc)</v>
      </c>
      <c r="E178" s="45"/>
      <c r="F178" s="45"/>
      <c r="G178" s="45"/>
      <c r="H178" s="80"/>
      <c r="I178" s="389" t="str">
        <f>IF($D$17&gt;0,IF($B$178&gt;=$D$17,"Rwy &gt;= P,  O.K.  ","Rwy &lt; P, N.G."),"")</f>
        <v>Rwy &gt;= P,  O.K.  </v>
      </c>
      <c r="M178" s="487">
        <v>2</v>
      </c>
      <c r="N178" s="478">
        <v>0.451</v>
      </c>
      <c r="O178" s="488">
        <v>0.565</v>
      </c>
      <c r="P178" s="489">
        <v>0.695</v>
      </c>
      <c r="Q178" s="489">
        <v>0.837</v>
      </c>
      <c r="R178" s="489">
        <v>0.995</v>
      </c>
      <c r="S178" s="489">
        <v>1.17</v>
      </c>
      <c r="T178" s="489">
        <v>1.36</v>
      </c>
      <c r="U178" s="489">
        <v>1.57</v>
      </c>
      <c r="V178" s="489">
        <v>1.77</v>
      </c>
      <c r="W178" s="489">
        <v>1.99</v>
      </c>
      <c r="X178" s="489">
        <v>2.21</v>
      </c>
      <c r="Y178" s="489">
        <v>2.69</v>
      </c>
      <c r="Z178" s="490">
        <v>3.21</v>
      </c>
      <c r="AA178" s="489">
        <v>3.78</v>
      </c>
      <c r="AB178" s="489">
        <v>4.38</v>
      </c>
      <c r="AC178" s="491">
        <v>5.02</v>
      </c>
      <c r="AF178" s="405" t="s">
        <v>871</v>
      </c>
      <c r="AG178" s="411">
        <v>147</v>
      </c>
      <c r="AH178" s="407">
        <v>19.6</v>
      </c>
      <c r="AI178" s="409">
        <v>2.19</v>
      </c>
      <c r="AJ178" s="407">
        <v>17</v>
      </c>
      <c r="AK178" s="409">
        <v>3.5</v>
      </c>
      <c r="AL178" s="410">
        <v>4.1</v>
      </c>
      <c r="AN178" s="50" t="str">
        <f>IF(AO178="","N.A.","SR =")</f>
        <v>SR =</v>
      </c>
      <c r="AO178" s="100">
        <f>IF($D$17&gt;0,$D$17/$B$178,"")</f>
        <v>0.022318107424490405</v>
      </c>
    </row>
    <row r="179" spans="1:41" ht="12.75">
      <c r="A179" s="19"/>
      <c r="B179" s="10"/>
      <c r="C179" s="10"/>
      <c r="D179" s="10"/>
      <c r="E179" s="10"/>
      <c r="F179" s="10"/>
      <c r="G179" s="10"/>
      <c r="H179" s="10"/>
      <c r="I179" s="389"/>
      <c r="M179" s="487">
        <v>2.2</v>
      </c>
      <c r="N179" s="492">
        <v>0.411</v>
      </c>
      <c r="O179" s="479">
        <v>0.517</v>
      </c>
      <c r="P179" s="480">
        <v>0.636</v>
      </c>
      <c r="Q179" s="480">
        <v>0.767</v>
      </c>
      <c r="R179" s="480">
        <v>0.913</v>
      </c>
      <c r="S179" s="480">
        <v>1.07</v>
      </c>
      <c r="T179" s="480">
        <v>1.25</v>
      </c>
      <c r="U179" s="480">
        <v>1.44</v>
      </c>
      <c r="V179" s="320">
        <v>1.63</v>
      </c>
      <c r="W179" s="480">
        <v>1.83</v>
      </c>
      <c r="X179" s="320">
        <v>2.04</v>
      </c>
      <c r="Y179" s="480">
        <v>2.49</v>
      </c>
      <c r="Z179" s="480">
        <v>2.97</v>
      </c>
      <c r="AA179" s="480">
        <v>3.5</v>
      </c>
      <c r="AB179" s="480">
        <v>4.06</v>
      </c>
      <c r="AC179" s="482">
        <v>4.67</v>
      </c>
      <c r="AF179" s="405" t="s">
        <v>872</v>
      </c>
      <c r="AG179" s="411">
        <v>134</v>
      </c>
      <c r="AH179" s="407">
        <v>19</v>
      </c>
      <c r="AI179" s="409">
        <v>2.02</v>
      </c>
      <c r="AJ179" s="407">
        <v>16.8</v>
      </c>
      <c r="AK179" s="409">
        <v>3.21</v>
      </c>
      <c r="AL179" s="410">
        <v>3.81</v>
      </c>
      <c r="AO179" s="100"/>
    </row>
    <row r="180" spans="1:41" ht="12.75">
      <c r="A180" s="67" t="s">
        <v>123</v>
      </c>
      <c r="B180" s="45"/>
      <c r="C180" s="121"/>
      <c r="D180" s="52" t="str">
        <f>$P$373</f>
        <v>(Criteria is for beam near column end per AISC Eqn. J10-5a)</v>
      </c>
      <c r="E180" s="55"/>
      <c r="F180" s="45"/>
      <c r="G180" s="45"/>
      <c r="H180" s="56"/>
      <c r="I180" s="389"/>
      <c r="M180" s="487">
        <v>2.4</v>
      </c>
      <c r="N180" s="478">
        <v>0.379</v>
      </c>
      <c r="O180" s="493">
        <v>0.476</v>
      </c>
      <c r="P180" s="494">
        <v>0.585</v>
      </c>
      <c r="Q180" s="326">
        <v>0.708</v>
      </c>
      <c r="R180" s="494">
        <v>0.843</v>
      </c>
      <c r="S180" s="494">
        <v>0.993</v>
      </c>
      <c r="T180" s="494">
        <v>1.16</v>
      </c>
      <c r="U180" s="494">
        <v>1.33</v>
      </c>
      <c r="V180" s="495">
        <v>1.51</v>
      </c>
      <c r="W180" s="494">
        <v>1.69</v>
      </c>
      <c r="X180" s="494">
        <v>1.89</v>
      </c>
      <c r="Y180" s="495">
        <v>2.3</v>
      </c>
      <c r="Z180" s="496">
        <v>2.76</v>
      </c>
      <c r="AA180" s="494">
        <v>3.25</v>
      </c>
      <c r="AB180" s="494">
        <v>3.79</v>
      </c>
      <c r="AC180" s="497">
        <v>4.36</v>
      </c>
      <c r="AF180" s="405" t="s">
        <v>873</v>
      </c>
      <c r="AG180" s="411">
        <v>125</v>
      </c>
      <c r="AH180" s="407">
        <v>18.7</v>
      </c>
      <c r="AI180" s="409">
        <v>1.88</v>
      </c>
      <c r="AJ180" s="407">
        <v>16.7</v>
      </c>
      <c r="AK180" s="409">
        <v>3.04</v>
      </c>
      <c r="AL180" s="410">
        <v>3.63</v>
      </c>
      <c r="AO180" s="100"/>
    </row>
    <row r="181" spans="1:41" ht="12.75">
      <c r="A181" s="69" t="s">
        <v>125</v>
      </c>
      <c r="B181" s="182">
        <f>$N$374</f>
        <v>0.44</v>
      </c>
      <c r="C181" s="113" t="s">
        <v>268</v>
      </c>
      <c r="D181" s="52" t="str">
        <f>$P$374</f>
        <v>twc = tw  (web doubler plate is ignored for prying)</v>
      </c>
      <c r="E181" s="45"/>
      <c r="F181" s="45"/>
      <c r="G181" s="45"/>
      <c r="H181" s="45"/>
      <c r="I181" s="389"/>
      <c r="M181" s="487">
        <v>2.6</v>
      </c>
      <c r="N181" s="478">
        <v>0.351</v>
      </c>
      <c r="O181" s="324">
        <v>0.441</v>
      </c>
      <c r="P181" s="480">
        <v>0.543</v>
      </c>
      <c r="Q181" s="480">
        <v>0.656</v>
      </c>
      <c r="R181" s="480">
        <v>0.783</v>
      </c>
      <c r="S181" s="480">
        <v>0.923</v>
      </c>
      <c r="T181" s="480">
        <v>1.08</v>
      </c>
      <c r="U181" s="319">
        <v>1.24</v>
      </c>
      <c r="V181" s="480">
        <v>1.4</v>
      </c>
      <c r="W181" s="480">
        <v>1.57</v>
      </c>
      <c r="X181" s="480">
        <v>1.76</v>
      </c>
      <c r="Y181" s="480">
        <v>2.15</v>
      </c>
      <c r="Z181" s="485">
        <v>2.58</v>
      </c>
      <c r="AA181" s="480">
        <v>3.04</v>
      </c>
      <c r="AB181" s="480">
        <v>3.55</v>
      </c>
      <c r="AC181" s="482">
        <v>4.09</v>
      </c>
      <c r="AF181" s="405" t="s">
        <v>874</v>
      </c>
      <c r="AG181" s="411">
        <v>117</v>
      </c>
      <c r="AH181" s="407">
        <v>18.3</v>
      </c>
      <c r="AI181" s="409">
        <v>1.77</v>
      </c>
      <c r="AJ181" s="407">
        <v>16.6</v>
      </c>
      <c r="AK181" s="409">
        <v>2.85</v>
      </c>
      <c r="AL181" s="410">
        <v>3.44</v>
      </c>
      <c r="AO181" s="100"/>
    </row>
    <row r="182" spans="1:41" ht="12.75">
      <c r="A182" s="69" t="s">
        <v>122</v>
      </c>
      <c r="B182" s="175">
        <f>$N$375</f>
        <v>12</v>
      </c>
      <c r="C182" s="113" t="s">
        <v>268</v>
      </c>
      <c r="D182" s="52" t="str">
        <f>$P$375</f>
        <v>Assume: N = L</v>
      </c>
      <c r="E182" s="45"/>
      <c r="F182" s="45"/>
      <c r="G182" s="56"/>
      <c r="H182" s="45"/>
      <c r="I182" s="389"/>
      <c r="M182" s="487">
        <v>2.8</v>
      </c>
      <c r="N182" s="478">
        <v>0.327</v>
      </c>
      <c r="O182" s="479">
        <v>0.411</v>
      </c>
      <c r="P182" s="480">
        <v>0.505</v>
      </c>
      <c r="Q182" s="480">
        <v>0.611</v>
      </c>
      <c r="R182" s="480">
        <v>0.731</v>
      </c>
      <c r="S182" s="480">
        <v>0.861</v>
      </c>
      <c r="T182" s="480">
        <v>1</v>
      </c>
      <c r="U182" s="480">
        <v>1.16</v>
      </c>
      <c r="V182" s="480">
        <v>1.31</v>
      </c>
      <c r="W182" s="480">
        <v>1.47</v>
      </c>
      <c r="X182" s="480">
        <v>1.64</v>
      </c>
      <c r="Y182" s="480">
        <v>2.01</v>
      </c>
      <c r="Z182" s="481">
        <v>2.41</v>
      </c>
      <c r="AA182" s="320">
        <v>2.86</v>
      </c>
      <c r="AB182" s="480">
        <v>3.33</v>
      </c>
      <c r="AC182" s="482">
        <v>3.84</v>
      </c>
      <c r="AF182" s="405" t="s">
        <v>875</v>
      </c>
      <c r="AG182" s="411">
        <v>109</v>
      </c>
      <c r="AH182" s="407">
        <v>17.9</v>
      </c>
      <c r="AI182" s="409">
        <v>1.66</v>
      </c>
      <c r="AJ182" s="407">
        <v>16.5</v>
      </c>
      <c r="AK182" s="409">
        <v>2.66</v>
      </c>
      <c r="AL182" s="410">
        <v>3.26</v>
      </c>
      <c r="AO182" s="100"/>
    </row>
    <row r="183" spans="1:41" ht="12.75">
      <c r="A183" s="69" t="s">
        <v>1177</v>
      </c>
      <c r="B183" s="183">
        <f>$N$376</f>
        <v>133.52721940832473</v>
      </c>
      <c r="C183" s="113" t="s">
        <v>237</v>
      </c>
      <c r="D183" s="52" t="str">
        <f>$P$376</f>
        <v>Rwc = (1/2.0)*0.4*twc^2*(1+3*(N/d)*(twc/tfc)^1.5)*SQRT(E*Fyc*tfc/twc)</v>
      </c>
      <c r="E183" s="45"/>
      <c r="F183" s="45"/>
      <c r="G183" s="45"/>
      <c r="H183" s="45"/>
      <c r="I183" s="389"/>
      <c r="M183" s="498">
        <v>3</v>
      </c>
      <c r="N183" s="499">
        <v>0.305</v>
      </c>
      <c r="O183" s="500">
        <v>0.384</v>
      </c>
      <c r="P183" s="501">
        <v>0.473</v>
      </c>
      <c r="Q183" s="501">
        <v>0.572</v>
      </c>
      <c r="R183" s="322">
        <v>0.684</v>
      </c>
      <c r="S183" s="501">
        <v>0.808</v>
      </c>
      <c r="T183" s="501">
        <v>0.943</v>
      </c>
      <c r="U183" s="501">
        <v>1.09</v>
      </c>
      <c r="V183" s="501">
        <v>1.23</v>
      </c>
      <c r="W183" s="501">
        <v>1.38</v>
      </c>
      <c r="X183" s="501">
        <v>1.54</v>
      </c>
      <c r="Y183" s="501">
        <v>1.89</v>
      </c>
      <c r="Z183" s="502">
        <v>2.27</v>
      </c>
      <c r="AA183" s="501">
        <v>2.69</v>
      </c>
      <c r="AB183" s="501">
        <v>3.14</v>
      </c>
      <c r="AC183" s="503">
        <v>3.62</v>
      </c>
      <c r="AF183" s="405" t="s">
        <v>876</v>
      </c>
      <c r="AG183" s="411">
        <v>101</v>
      </c>
      <c r="AH183" s="407">
        <v>17.5</v>
      </c>
      <c r="AI183" s="409">
        <v>1.54</v>
      </c>
      <c r="AJ183" s="407">
        <v>16.4</v>
      </c>
      <c r="AK183" s="409">
        <v>2.47</v>
      </c>
      <c r="AL183" s="410">
        <v>3.07</v>
      </c>
      <c r="AO183" s="100"/>
    </row>
    <row r="184" spans="1:41" ht="12.75">
      <c r="A184" s="77"/>
      <c r="B184" s="4"/>
      <c r="C184" s="113"/>
      <c r="D184" s="52"/>
      <c r="E184" s="55"/>
      <c r="F184" s="45"/>
      <c r="G184" s="45"/>
      <c r="H184" s="80"/>
      <c r="I184" s="389" t="str">
        <f>IF($D$17&gt;0,IF($B$183&gt;=$D$17,"Rwc &gt;= P,  O.K.  ","Rwc &lt; P, N.G."),"")</f>
        <v>Rwc &gt;= P,  O.K.  </v>
      </c>
      <c r="M184" s="504" t="s">
        <v>526</v>
      </c>
      <c r="N184" s="505">
        <v>0</v>
      </c>
      <c r="O184" s="325">
        <v>0.008</v>
      </c>
      <c r="P184" s="322">
        <v>0.029</v>
      </c>
      <c r="Q184" s="322">
        <v>0.056</v>
      </c>
      <c r="R184" s="322">
        <v>0.089</v>
      </c>
      <c r="S184" s="322">
        <v>0.125</v>
      </c>
      <c r="T184" s="322">
        <v>0.164</v>
      </c>
      <c r="U184" s="322">
        <v>0.204</v>
      </c>
      <c r="V184" s="322">
        <v>0.246</v>
      </c>
      <c r="W184" s="322">
        <v>0.289</v>
      </c>
      <c r="X184" s="322">
        <v>0.333</v>
      </c>
      <c r="Y184" s="322">
        <v>0.424</v>
      </c>
      <c r="Z184" s="506">
        <v>0.516</v>
      </c>
      <c r="AA184" s="322">
        <v>0.61</v>
      </c>
      <c r="AB184" s="322">
        <v>0.704</v>
      </c>
      <c r="AC184" s="323">
        <v>0.8</v>
      </c>
      <c r="AF184" s="405" t="s">
        <v>877</v>
      </c>
      <c r="AG184" s="406">
        <v>91.4</v>
      </c>
      <c r="AH184" s="407">
        <v>17.1</v>
      </c>
      <c r="AI184" s="409">
        <v>1.41</v>
      </c>
      <c r="AJ184" s="407">
        <v>16.2</v>
      </c>
      <c r="AK184" s="409">
        <v>2.26</v>
      </c>
      <c r="AL184" s="410">
        <v>2.86</v>
      </c>
      <c r="AN184" s="50" t="str">
        <f>IF(AO184="","N.A.","SR =")</f>
        <v>SR =</v>
      </c>
      <c r="AO184" s="100">
        <f>IF($D$17&gt;0,$D$17/$B$183,"")</f>
        <v>0.03744554872149368</v>
      </c>
    </row>
    <row r="185" spans="1:41" ht="12.75">
      <c r="A185" s="19"/>
      <c r="B185" s="10"/>
      <c r="C185" s="10"/>
      <c r="D185" s="10"/>
      <c r="E185" s="10"/>
      <c r="F185" s="10"/>
      <c r="G185" s="10"/>
      <c r="H185" s="10"/>
      <c r="I185" s="389"/>
      <c r="AF185" s="405" t="s">
        <v>878</v>
      </c>
      <c r="AG185" s="406">
        <v>83.3</v>
      </c>
      <c r="AH185" s="407">
        <v>16.7</v>
      </c>
      <c r="AI185" s="409">
        <v>1.29</v>
      </c>
      <c r="AJ185" s="407">
        <v>16.1</v>
      </c>
      <c r="AK185" s="409">
        <v>2.07</v>
      </c>
      <c r="AL185" s="410">
        <v>2.67</v>
      </c>
      <c r="AO185" s="100"/>
    </row>
    <row r="186" spans="1:41" ht="12.75">
      <c r="A186" s="79" t="s">
        <v>128</v>
      </c>
      <c r="B186" s="55"/>
      <c r="C186" s="121"/>
      <c r="D186" s="63"/>
      <c r="E186" s="55"/>
      <c r="F186" s="55"/>
      <c r="G186" s="45"/>
      <c r="H186" s="45"/>
      <c r="I186" s="389"/>
      <c r="M186" s="141" t="s">
        <v>532</v>
      </c>
      <c r="N186" s="463"/>
      <c r="O186" s="107"/>
      <c r="P186" s="463"/>
      <c r="Q186" s="463"/>
      <c r="R186" s="143"/>
      <c r="S186" s="143"/>
      <c r="T186" s="143"/>
      <c r="U186" s="142"/>
      <c r="V186" s="143"/>
      <c r="W186" s="143"/>
      <c r="X186" s="143"/>
      <c r="Y186" s="143"/>
      <c r="Z186" s="144"/>
      <c r="AA186" s="143"/>
      <c r="AB186" s="143"/>
      <c r="AC186" s="144"/>
      <c r="AF186" s="405" t="s">
        <v>879</v>
      </c>
      <c r="AG186" s="406">
        <v>75.6</v>
      </c>
      <c r="AH186" s="407">
        <v>16.4</v>
      </c>
      <c r="AI186" s="409">
        <v>1.18</v>
      </c>
      <c r="AJ186" s="407">
        <v>16</v>
      </c>
      <c r="AK186" s="409">
        <v>1.89</v>
      </c>
      <c r="AL186" s="410">
        <v>2.49</v>
      </c>
      <c r="AO186" s="100"/>
    </row>
    <row r="187" spans="1:41" ht="12.75">
      <c r="A187" s="77" t="s">
        <v>129</v>
      </c>
      <c r="B187" s="174" t="str">
        <f>$N$378</f>
        <v>N.A.</v>
      </c>
      <c r="C187" s="113" t="s">
        <v>268</v>
      </c>
      <c r="D187" s="52" t="str">
        <f>$P$378</f>
        <v>Ldw = 2*L</v>
      </c>
      <c r="E187" s="55"/>
      <c r="F187" s="55"/>
      <c r="G187" s="45"/>
      <c r="H187" s="45"/>
      <c r="I187" s="389"/>
      <c r="M187" s="464"/>
      <c r="N187" s="141" t="s">
        <v>323</v>
      </c>
      <c r="O187" s="107"/>
      <c r="P187" s="143"/>
      <c r="Q187" s="143"/>
      <c r="R187" s="143"/>
      <c r="S187" s="143"/>
      <c r="T187" s="465"/>
      <c r="U187" s="143"/>
      <c r="V187" s="143"/>
      <c r="W187" s="143"/>
      <c r="X187" s="143"/>
      <c r="Y187" s="156"/>
      <c r="Z187" s="144"/>
      <c r="AA187" s="143"/>
      <c r="AB187" s="156"/>
      <c r="AC187" s="144"/>
      <c r="AF187" s="405" t="s">
        <v>880</v>
      </c>
      <c r="AG187" s="406">
        <v>68.5</v>
      </c>
      <c r="AH187" s="407">
        <v>16</v>
      </c>
      <c r="AI187" s="409">
        <v>1.07</v>
      </c>
      <c r="AJ187" s="407">
        <v>15.9</v>
      </c>
      <c r="AK187" s="409">
        <v>1.72</v>
      </c>
      <c r="AL187" s="410">
        <v>2.32</v>
      </c>
      <c r="AO187" s="100"/>
    </row>
    <row r="188" spans="1:41" ht="12.75">
      <c r="A188" s="77" t="s">
        <v>119</v>
      </c>
      <c r="B188" s="179" t="str">
        <f>$N$379</f>
        <v>N.A.</v>
      </c>
      <c r="C188" s="113" t="s">
        <v>120</v>
      </c>
      <c r="D188" s="52" t="str">
        <f>$P$379</f>
        <v>fw = P/Ldw</v>
      </c>
      <c r="E188" s="55"/>
      <c r="F188" s="55"/>
      <c r="G188" s="45"/>
      <c r="H188" s="45"/>
      <c r="I188" s="389"/>
      <c r="M188" s="467" t="s">
        <v>18</v>
      </c>
      <c r="N188" s="468">
        <v>0</v>
      </c>
      <c r="O188" s="140">
        <v>0.1</v>
      </c>
      <c r="P188" s="140">
        <v>0.2</v>
      </c>
      <c r="Q188" s="469">
        <v>0.3</v>
      </c>
      <c r="R188" s="140">
        <v>0.4</v>
      </c>
      <c r="S188" s="469">
        <v>0.5</v>
      </c>
      <c r="T188" s="140">
        <v>0.6</v>
      </c>
      <c r="U188" s="469">
        <v>0.7</v>
      </c>
      <c r="V188" s="140">
        <v>0.8</v>
      </c>
      <c r="W188" s="469">
        <v>0.9</v>
      </c>
      <c r="X188" s="140">
        <v>1</v>
      </c>
      <c r="Y188" s="469">
        <v>1.2</v>
      </c>
      <c r="Z188" s="140">
        <v>1.4</v>
      </c>
      <c r="AA188" s="140">
        <v>1.6</v>
      </c>
      <c r="AB188" s="469">
        <v>1.8</v>
      </c>
      <c r="AC188" s="140">
        <v>2</v>
      </c>
      <c r="AF188" s="405" t="s">
        <v>881</v>
      </c>
      <c r="AG188" s="406">
        <v>62</v>
      </c>
      <c r="AH188" s="407">
        <v>15.7</v>
      </c>
      <c r="AI188" s="408">
        <v>0.98</v>
      </c>
      <c r="AJ188" s="407">
        <v>15.8</v>
      </c>
      <c r="AK188" s="409">
        <v>1.56</v>
      </c>
      <c r="AL188" s="410">
        <v>2.16</v>
      </c>
      <c r="AO188" s="100"/>
    </row>
    <row r="189" spans="1:41" ht="12.75">
      <c r="A189" s="81" t="s">
        <v>126</v>
      </c>
      <c r="B189" s="179" t="str">
        <f>$N$380</f>
        <v>N.A.</v>
      </c>
      <c r="C189" s="113" t="s">
        <v>393</v>
      </c>
      <c r="D189" s="82" t="s">
        <v>156</v>
      </c>
      <c r="E189" s="55"/>
      <c r="F189" s="55"/>
      <c r="G189" s="45"/>
      <c r="H189" s="45"/>
      <c r="I189" s="389"/>
      <c r="M189" s="471">
        <v>0</v>
      </c>
      <c r="N189" s="472">
        <v>2.57</v>
      </c>
      <c r="O189" s="473">
        <v>3.01</v>
      </c>
      <c r="P189" s="474">
        <v>3.45</v>
      </c>
      <c r="Q189" s="318">
        <v>3.88</v>
      </c>
      <c r="R189" s="474">
        <v>4.32</v>
      </c>
      <c r="S189" s="474">
        <v>4.76</v>
      </c>
      <c r="T189" s="474">
        <v>5.2</v>
      </c>
      <c r="U189" s="474">
        <v>5.63</v>
      </c>
      <c r="V189" s="474">
        <v>6.07</v>
      </c>
      <c r="W189" s="474">
        <v>6.51</v>
      </c>
      <c r="X189" s="318">
        <v>6.94</v>
      </c>
      <c r="Y189" s="474">
        <v>7.82</v>
      </c>
      <c r="Z189" s="475">
        <v>8.69</v>
      </c>
      <c r="AA189" s="474">
        <v>9.57</v>
      </c>
      <c r="AB189" s="474">
        <v>10.4</v>
      </c>
      <c r="AC189" s="476">
        <v>11.3</v>
      </c>
      <c r="AF189" s="405" t="s">
        <v>882</v>
      </c>
      <c r="AG189" s="406">
        <v>56.8</v>
      </c>
      <c r="AH189" s="407">
        <v>15.5</v>
      </c>
      <c r="AI189" s="408">
        <v>0.89</v>
      </c>
      <c r="AJ189" s="407">
        <v>15.7</v>
      </c>
      <c r="AK189" s="409">
        <v>1.44</v>
      </c>
      <c r="AL189" s="410">
        <v>2.04</v>
      </c>
      <c r="AO189" s="100"/>
    </row>
    <row r="190" spans="1:38" ht="12.75">
      <c r="A190" s="81" t="s">
        <v>256</v>
      </c>
      <c r="B190" s="183" t="str">
        <f>$N$381</f>
        <v>N.A.</v>
      </c>
      <c r="C190" s="113" t="s">
        <v>393</v>
      </c>
      <c r="D190" s="82" t="s">
        <v>256</v>
      </c>
      <c r="E190" s="52" t="str">
        <f>$Q$381</f>
        <v>0.40*Fyd*td/((SQRT(2)/2)*0.30*70)</v>
      </c>
      <c r="F190" s="55"/>
      <c r="G190" s="45"/>
      <c r="H190" s="99"/>
      <c r="I190" s="389"/>
      <c r="M190" s="477">
        <v>0.1</v>
      </c>
      <c r="N190" s="478">
        <v>2.43</v>
      </c>
      <c r="O190" s="479">
        <v>2.86</v>
      </c>
      <c r="P190" s="480">
        <v>3.3</v>
      </c>
      <c r="Q190" s="320">
        <v>3.75</v>
      </c>
      <c r="R190" s="480">
        <v>4.21</v>
      </c>
      <c r="S190" s="480">
        <v>4.68</v>
      </c>
      <c r="T190" s="480">
        <v>5.14</v>
      </c>
      <c r="U190" s="480">
        <v>5.61</v>
      </c>
      <c r="V190" s="480">
        <v>6.07</v>
      </c>
      <c r="W190" s="480">
        <v>6.53</v>
      </c>
      <c r="X190" s="480">
        <v>6.99</v>
      </c>
      <c r="Y190" s="480">
        <v>7.89</v>
      </c>
      <c r="Z190" s="481">
        <v>8.78</v>
      </c>
      <c r="AA190" s="480">
        <v>9.66</v>
      </c>
      <c r="AB190" s="480">
        <v>10.5</v>
      </c>
      <c r="AC190" s="482">
        <v>11.4</v>
      </c>
      <c r="AF190" s="405" t="s">
        <v>883</v>
      </c>
      <c r="AG190" s="406">
        <v>51.8</v>
      </c>
      <c r="AH190" s="407">
        <v>15.2</v>
      </c>
      <c r="AI190" s="408">
        <v>0.83</v>
      </c>
      <c r="AJ190" s="407">
        <v>15.7</v>
      </c>
      <c r="AK190" s="409">
        <v>1.31</v>
      </c>
      <c r="AL190" s="410">
        <v>1.91</v>
      </c>
    </row>
    <row r="191" spans="1:41" ht="12.75">
      <c r="A191" s="81"/>
      <c r="B191" s="47"/>
      <c r="C191" s="113"/>
      <c r="D191" s="82"/>
      <c r="E191" s="52"/>
      <c r="F191" s="45"/>
      <c r="G191" s="59"/>
      <c r="H191" s="10"/>
      <c r="I191" s="389">
        <f>IF($D$17&gt;0,IF($D$32&gt;0,IF($B$189&lt;=$B$190,"Weld size &lt;= weld max., O.K.  ","Weld size &gt; weld max."),""),"")</f>
      </c>
      <c r="M191" s="483">
        <v>0.15</v>
      </c>
      <c r="N191" s="478">
        <v>2.31</v>
      </c>
      <c r="O191" s="479">
        <v>2.74</v>
      </c>
      <c r="P191" s="480">
        <v>3.17</v>
      </c>
      <c r="Q191" s="480">
        <v>3.62</v>
      </c>
      <c r="R191" s="480">
        <v>4.07</v>
      </c>
      <c r="S191" s="480">
        <v>4.54</v>
      </c>
      <c r="T191" s="320">
        <v>5.01</v>
      </c>
      <c r="U191" s="480">
        <v>5.49</v>
      </c>
      <c r="V191" s="480">
        <v>5.96</v>
      </c>
      <c r="W191" s="320">
        <v>6.44</v>
      </c>
      <c r="X191" s="480">
        <v>6.91</v>
      </c>
      <c r="Y191" s="480">
        <v>7.83</v>
      </c>
      <c r="Z191" s="481">
        <v>8.74</v>
      </c>
      <c r="AA191" s="480">
        <v>9.63</v>
      </c>
      <c r="AB191" s="480">
        <v>10.5</v>
      </c>
      <c r="AC191" s="482">
        <v>11.4</v>
      </c>
      <c r="AF191" s="405" t="s">
        <v>884</v>
      </c>
      <c r="AG191" s="406">
        <v>46.7</v>
      </c>
      <c r="AH191" s="407">
        <v>15</v>
      </c>
      <c r="AI191" s="408">
        <v>0.745</v>
      </c>
      <c r="AJ191" s="407">
        <v>15.6</v>
      </c>
      <c r="AK191" s="409">
        <v>1.19</v>
      </c>
      <c r="AL191" s="410">
        <v>1.79</v>
      </c>
      <c r="AN191" s="50" t="str">
        <f>IF(AO191="","N.A.","SR =")</f>
        <v>N.A.</v>
      </c>
      <c r="AO191" s="100">
        <f>IF($D$17&gt;0,IF($D$32&gt;0,$B$189/$B$190,""),"")</f>
      </c>
    </row>
    <row r="192" spans="1:41" ht="12.75">
      <c r="A192" s="443"/>
      <c r="B192" s="3"/>
      <c r="C192" s="113"/>
      <c r="D192" s="440"/>
      <c r="E192" s="25"/>
      <c r="F192" s="3"/>
      <c r="G192" s="10"/>
      <c r="H192" s="10"/>
      <c r="I192" s="389"/>
      <c r="M192" s="483">
        <v>0.2</v>
      </c>
      <c r="N192" s="478">
        <v>2.18</v>
      </c>
      <c r="O192" s="479">
        <v>2.61</v>
      </c>
      <c r="P192" s="480">
        <v>3.04</v>
      </c>
      <c r="Q192" s="480">
        <v>3.47</v>
      </c>
      <c r="R192" s="320">
        <v>3.92</v>
      </c>
      <c r="S192" s="480">
        <v>4.39</v>
      </c>
      <c r="T192" s="480">
        <v>4.86</v>
      </c>
      <c r="U192" s="480">
        <v>5.34</v>
      </c>
      <c r="V192" s="480">
        <v>5.83</v>
      </c>
      <c r="W192" s="480">
        <v>6.31</v>
      </c>
      <c r="X192" s="480">
        <v>6.79</v>
      </c>
      <c r="Y192" s="480">
        <v>7.73</v>
      </c>
      <c r="Z192" s="481">
        <v>8.66</v>
      </c>
      <c r="AA192" s="480">
        <v>9.57</v>
      </c>
      <c r="AB192" s="480">
        <v>10.5</v>
      </c>
      <c r="AC192" s="484">
        <v>11.4</v>
      </c>
      <c r="AF192" s="405" t="s">
        <v>885</v>
      </c>
      <c r="AG192" s="406">
        <v>42.7</v>
      </c>
      <c r="AH192" s="407">
        <v>14.8</v>
      </c>
      <c r="AI192" s="408">
        <v>0.68</v>
      </c>
      <c r="AJ192" s="407">
        <v>15.5</v>
      </c>
      <c r="AK192" s="409">
        <v>1.09</v>
      </c>
      <c r="AL192" s="410">
        <v>1.69</v>
      </c>
      <c r="AN192" s="50"/>
      <c r="AO192" s="100"/>
    </row>
    <row r="193" spans="1:41" ht="12.75">
      <c r="A193" s="19"/>
      <c r="B193" s="10"/>
      <c r="C193" s="10"/>
      <c r="D193" s="10"/>
      <c r="E193" s="10"/>
      <c r="F193" s="10"/>
      <c r="G193" s="10"/>
      <c r="H193" s="10"/>
      <c r="I193" s="14"/>
      <c r="M193" s="483">
        <v>0.25</v>
      </c>
      <c r="N193" s="478">
        <v>2.07</v>
      </c>
      <c r="O193" s="479">
        <v>2.49</v>
      </c>
      <c r="P193" s="480">
        <v>2.91</v>
      </c>
      <c r="Q193" s="480">
        <v>3.33</v>
      </c>
      <c r="R193" s="480">
        <v>3.77</v>
      </c>
      <c r="S193" s="480">
        <v>4.23</v>
      </c>
      <c r="T193" s="480">
        <v>4.7</v>
      </c>
      <c r="U193" s="480">
        <v>5.18</v>
      </c>
      <c r="V193" s="480">
        <v>5.67</v>
      </c>
      <c r="W193" s="480">
        <v>6.16</v>
      </c>
      <c r="X193" s="480">
        <v>6.64</v>
      </c>
      <c r="Y193" s="480">
        <v>7.61</v>
      </c>
      <c r="Z193" s="481">
        <v>8.55</v>
      </c>
      <c r="AA193" s="480">
        <v>9.48</v>
      </c>
      <c r="AB193" s="480">
        <v>10.4</v>
      </c>
      <c r="AC193" s="482">
        <v>11.3</v>
      </c>
      <c r="AF193" s="405" t="s">
        <v>886</v>
      </c>
      <c r="AG193" s="406">
        <v>38.8</v>
      </c>
      <c r="AH193" s="407">
        <v>14.7</v>
      </c>
      <c r="AI193" s="408">
        <v>0.645</v>
      </c>
      <c r="AJ193" s="407">
        <v>14.7</v>
      </c>
      <c r="AK193" s="409">
        <v>1.03</v>
      </c>
      <c r="AL193" s="410">
        <v>1.63</v>
      </c>
      <c r="AN193" s="50"/>
      <c r="AO193" s="100"/>
    </row>
    <row r="194" spans="1:41" ht="12.75">
      <c r="A194" s="19"/>
      <c r="B194" s="10"/>
      <c r="C194" s="10"/>
      <c r="D194" s="10"/>
      <c r="E194" s="10"/>
      <c r="F194" s="10"/>
      <c r="G194" s="10"/>
      <c r="H194" s="10"/>
      <c r="I194" s="14"/>
      <c r="M194" s="483">
        <v>0.3</v>
      </c>
      <c r="N194" s="478">
        <v>1.96</v>
      </c>
      <c r="O194" s="479">
        <v>2.37</v>
      </c>
      <c r="P194" s="480">
        <v>2.78</v>
      </c>
      <c r="Q194" s="480">
        <v>3.2</v>
      </c>
      <c r="R194" s="480">
        <v>3.63</v>
      </c>
      <c r="S194" s="480">
        <v>4.07</v>
      </c>
      <c r="T194" s="480">
        <v>4.54</v>
      </c>
      <c r="U194" s="320">
        <v>5.02</v>
      </c>
      <c r="V194" s="480">
        <v>5.51</v>
      </c>
      <c r="W194" s="480">
        <v>5.99</v>
      </c>
      <c r="X194" s="480">
        <v>6.49</v>
      </c>
      <c r="Y194" s="480">
        <v>7.46</v>
      </c>
      <c r="Z194" s="485">
        <v>8.42</v>
      </c>
      <c r="AA194" s="320">
        <v>9.36</v>
      </c>
      <c r="AB194" s="486">
        <v>10.3</v>
      </c>
      <c r="AC194" s="484">
        <v>11.2</v>
      </c>
      <c r="AF194" s="405" t="s">
        <v>887</v>
      </c>
      <c r="AG194" s="406">
        <v>35.3</v>
      </c>
      <c r="AH194" s="407">
        <v>14.5</v>
      </c>
      <c r="AI194" s="408">
        <v>0.59</v>
      </c>
      <c r="AJ194" s="407">
        <v>14.7</v>
      </c>
      <c r="AK194" s="408">
        <v>0.94</v>
      </c>
      <c r="AL194" s="410">
        <v>1.54</v>
      </c>
      <c r="AN194" s="50"/>
      <c r="AO194" s="100"/>
    </row>
    <row r="195" spans="1:41" ht="12.75">
      <c r="A195" s="19"/>
      <c r="B195" s="10"/>
      <c r="C195" s="10"/>
      <c r="D195" s="10"/>
      <c r="E195" s="10"/>
      <c r="F195" s="10"/>
      <c r="G195" s="10"/>
      <c r="H195" s="10"/>
      <c r="I195" s="14"/>
      <c r="M195" s="483">
        <v>0.4</v>
      </c>
      <c r="N195" s="478">
        <v>1.79</v>
      </c>
      <c r="O195" s="479">
        <v>2.16</v>
      </c>
      <c r="P195" s="480">
        <v>2.54</v>
      </c>
      <c r="Q195" s="480">
        <v>2.94</v>
      </c>
      <c r="R195" s="480">
        <v>3.35</v>
      </c>
      <c r="S195" s="480">
        <v>3.77</v>
      </c>
      <c r="T195" s="480">
        <v>4.22</v>
      </c>
      <c r="U195" s="480">
        <v>4.69</v>
      </c>
      <c r="V195" s="320">
        <v>5.17</v>
      </c>
      <c r="W195" s="480">
        <v>5.66</v>
      </c>
      <c r="X195" s="480">
        <v>6.15</v>
      </c>
      <c r="Y195" s="320">
        <v>7.14</v>
      </c>
      <c r="Z195" s="481">
        <v>8.12</v>
      </c>
      <c r="AA195" s="480">
        <v>9.09</v>
      </c>
      <c r="AB195" s="480">
        <v>10</v>
      </c>
      <c r="AC195" s="482">
        <v>11</v>
      </c>
      <c r="AF195" s="405" t="s">
        <v>888</v>
      </c>
      <c r="AG195" s="406">
        <v>32</v>
      </c>
      <c r="AH195" s="407">
        <v>14.3</v>
      </c>
      <c r="AI195" s="408">
        <v>0.525</v>
      </c>
      <c r="AJ195" s="407">
        <v>14.6</v>
      </c>
      <c r="AK195" s="408">
        <v>0.86</v>
      </c>
      <c r="AL195" s="410">
        <v>1.46</v>
      </c>
      <c r="AN195" s="50"/>
      <c r="AO195" s="100"/>
    </row>
    <row r="196" spans="1:41" ht="12.75">
      <c r="A196" s="19"/>
      <c r="B196" s="10"/>
      <c r="C196" s="10"/>
      <c r="D196" s="10"/>
      <c r="E196" s="10"/>
      <c r="F196" s="10"/>
      <c r="G196" s="10"/>
      <c r="H196" s="10"/>
      <c r="I196" s="14"/>
      <c r="M196" s="483">
        <v>0.5</v>
      </c>
      <c r="N196" s="478">
        <v>1.63</v>
      </c>
      <c r="O196" s="479">
        <v>1.97</v>
      </c>
      <c r="P196" s="480">
        <v>2.33</v>
      </c>
      <c r="Q196" s="480">
        <v>2.71</v>
      </c>
      <c r="R196" s="480">
        <v>3.09</v>
      </c>
      <c r="S196" s="480">
        <v>3.5</v>
      </c>
      <c r="T196" s="480">
        <v>3.93</v>
      </c>
      <c r="U196" s="320">
        <v>4.38</v>
      </c>
      <c r="V196" s="320">
        <v>4.85</v>
      </c>
      <c r="W196" s="320">
        <v>5.33</v>
      </c>
      <c r="X196" s="480">
        <v>5.81</v>
      </c>
      <c r="Y196" s="480">
        <v>6.8</v>
      </c>
      <c r="Z196" s="481">
        <v>7.79</v>
      </c>
      <c r="AA196" s="480">
        <v>8.77</v>
      </c>
      <c r="AB196" s="320">
        <v>9.73</v>
      </c>
      <c r="AC196" s="482">
        <v>10.7</v>
      </c>
      <c r="AF196" s="405" t="s">
        <v>889</v>
      </c>
      <c r="AG196" s="406">
        <v>29.1</v>
      </c>
      <c r="AH196" s="407">
        <v>14.2</v>
      </c>
      <c r="AI196" s="408">
        <v>0.485</v>
      </c>
      <c r="AJ196" s="407">
        <v>14.6</v>
      </c>
      <c r="AK196" s="408">
        <v>0.78</v>
      </c>
      <c r="AL196" s="410">
        <v>1.38</v>
      </c>
      <c r="AN196" s="50"/>
      <c r="AO196" s="100"/>
    </row>
    <row r="197" spans="1:41" ht="12.75">
      <c r="A197" s="19"/>
      <c r="B197" s="10"/>
      <c r="C197" s="10"/>
      <c r="D197" s="10"/>
      <c r="E197" s="10"/>
      <c r="F197" s="10"/>
      <c r="G197" s="10"/>
      <c r="H197" s="10"/>
      <c r="I197" s="14"/>
      <c r="M197" s="483">
        <v>0.6</v>
      </c>
      <c r="N197" s="478">
        <v>1.49</v>
      </c>
      <c r="O197" s="479">
        <v>1.81</v>
      </c>
      <c r="P197" s="480">
        <v>2.15</v>
      </c>
      <c r="Q197" s="480">
        <v>2.5</v>
      </c>
      <c r="R197" s="480">
        <v>2.87</v>
      </c>
      <c r="S197" s="480">
        <v>3.26</v>
      </c>
      <c r="T197" s="480">
        <v>3.67</v>
      </c>
      <c r="U197" s="320">
        <v>4.1</v>
      </c>
      <c r="V197" s="480">
        <v>4.55</v>
      </c>
      <c r="W197" s="480">
        <v>5.02</v>
      </c>
      <c r="X197" s="480">
        <v>5.5</v>
      </c>
      <c r="Y197" s="480">
        <v>6.48</v>
      </c>
      <c r="Z197" s="481">
        <v>7.46</v>
      </c>
      <c r="AA197" s="480">
        <v>8.42</v>
      </c>
      <c r="AB197" s="480">
        <v>9.38</v>
      </c>
      <c r="AC197" s="482">
        <v>10.3</v>
      </c>
      <c r="AF197" s="405" t="s">
        <v>890</v>
      </c>
      <c r="AG197" s="406">
        <v>26.5</v>
      </c>
      <c r="AH197" s="407">
        <v>14</v>
      </c>
      <c r="AI197" s="408">
        <v>0.44</v>
      </c>
      <c r="AJ197" s="407">
        <v>14.5</v>
      </c>
      <c r="AK197" s="408">
        <v>0.71</v>
      </c>
      <c r="AL197" s="410">
        <v>1.31</v>
      </c>
      <c r="AN197" s="50"/>
      <c r="AO197" s="100"/>
    </row>
    <row r="198" spans="1:41" ht="12.75">
      <c r="A198" s="19"/>
      <c r="B198" s="10"/>
      <c r="C198" s="10"/>
      <c r="D198" s="10"/>
      <c r="E198" s="10"/>
      <c r="F198" s="10"/>
      <c r="G198" s="10"/>
      <c r="H198" s="10"/>
      <c r="I198" s="14"/>
      <c r="M198" s="483">
        <v>0.7</v>
      </c>
      <c r="N198" s="478">
        <v>1.37</v>
      </c>
      <c r="O198" s="479">
        <v>1.67</v>
      </c>
      <c r="P198" s="480">
        <v>1.99</v>
      </c>
      <c r="Q198" s="480">
        <v>2.32</v>
      </c>
      <c r="R198" s="480">
        <v>2.67</v>
      </c>
      <c r="S198" s="480">
        <v>3.04</v>
      </c>
      <c r="T198" s="480">
        <v>3.44</v>
      </c>
      <c r="U198" s="480">
        <v>3.85</v>
      </c>
      <c r="V198" s="320">
        <v>4.29</v>
      </c>
      <c r="W198" s="480">
        <v>4.74</v>
      </c>
      <c r="X198" s="480">
        <v>5.21</v>
      </c>
      <c r="Y198" s="480">
        <v>6.16</v>
      </c>
      <c r="Z198" s="481">
        <v>7.11</v>
      </c>
      <c r="AA198" s="480">
        <v>8.07</v>
      </c>
      <c r="AB198" s="480">
        <v>9.03</v>
      </c>
      <c r="AC198" s="482">
        <v>10</v>
      </c>
      <c r="AF198" s="405" t="s">
        <v>891</v>
      </c>
      <c r="AG198" s="406">
        <v>24</v>
      </c>
      <c r="AH198" s="407">
        <v>14.3</v>
      </c>
      <c r="AI198" s="408">
        <v>0.51</v>
      </c>
      <c r="AJ198" s="407">
        <v>10.1</v>
      </c>
      <c r="AK198" s="408">
        <v>0.855</v>
      </c>
      <c r="AL198" s="410">
        <v>1.45</v>
      </c>
      <c r="AN198" s="50"/>
      <c r="AO198" s="100"/>
    </row>
    <row r="199" spans="1:41" ht="12.75">
      <c r="A199" s="443"/>
      <c r="B199" s="3"/>
      <c r="C199" s="110"/>
      <c r="D199" s="440"/>
      <c r="E199" s="25"/>
      <c r="F199" s="3"/>
      <c r="G199" s="99"/>
      <c r="H199" s="10"/>
      <c r="I199" s="389"/>
      <c r="M199" s="483">
        <v>0.8</v>
      </c>
      <c r="N199" s="478">
        <v>1.26</v>
      </c>
      <c r="O199" s="479">
        <v>1.54</v>
      </c>
      <c r="P199" s="480">
        <v>1.84</v>
      </c>
      <c r="Q199" s="480">
        <v>2.16</v>
      </c>
      <c r="R199" s="480">
        <v>2.49</v>
      </c>
      <c r="S199" s="480">
        <v>2.85</v>
      </c>
      <c r="T199" s="320">
        <v>3.23</v>
      </c>
      <c r="U199" s="480">
        <v>3.63</v>
      </c>
      <c r="V199" s="320">
        <v>4.05</v>
      </c>
      <c r="W199" s="480">
        <v>4.48</v>
      </c>
      <c r="X199" s="480">
        <v>4.93</v>
      </c>
      <c r="Y199" s="480">
        <v>5.85</v>
      </c>
      <c r="Z199" s="481">
        <v>6.78</v>
      </c>
      <c r="AA199" s="480">
        <v>7.73</v>
      </c>
      <c r="AB199" s="480">
        <v>8.69</v>
      </c>
      <c r="AC199" s="321">
        <v>9.65</v>
      </c>
      <c r="AF199" s="405" t="s">
        <v>892</v>
      </c>
      <c r="AG199" s="406">
        <v>21.8</v>
      </c>
      <c r="AH199" s="407">
        <v>14.2</v>
      </c>
      <c r="AI199" s="408">
        <v>0.45</v>
      </c>
      <c r="AJ199" s="407">
        <v>10.1</v>
      </c>
      <c r="AK199" s="408">
        <v>0.785</v>
      </c>
      <c r="AL199" s="410">
        <v>1.38</v>
      </c>
      <c r="AN199" s="50"/>
      <c r="AO199" s="100"/>
    </row>
    <row r="200" spans="1:41" ht="12.75">
      <c r="A200" s="588"/>
      <c r="B200" s="164"/>
      <c r="C200" s="163"/>
      <c r="D200" s="589"/>
      <c r="E200" s="590"/>
      <c r="F200" s="164"/>
      <c r="G200" s="78"/>
      <c r="H200" s="21"/>
      <c r="I200" s="453"/>
      <c r="M200" s="483">
        <v>0.9</v>
      </c>
      <c r="N200" s="478">
        <v>1.17</v>
      </c>
      <c r="O200" s="479">
        <v>1.43</v>
      </c>
      <c r="P200" s="480">
        <v>1.71</v>
      </c>
      <c r="Q200" s="480">
        <v>2.01</v>
      </c>
      <c r="R200" s="480">
        <v>2.33</v>
      </c>
      <c r="S200" s="480">
        <v>2.67</v>
      </c>
      <c r="T200" s="480">
        <v>3.04</v>
      </c>
      <c r="U200" s="480">
        <v>3.43</v>
      </c>
      <c r="V200" s="480">
        <v>3.83</v>
      </c>
      <c r="W200" s="480">
        <v>4.24</v>
      </c>
      <c r="X200" s="480">
        <v>4.68</v>
      </c>
      <c r="Y200" s="480">
        <v>5.56</v>
      </c>
      <c r="Z200" s="481">
        <v>6.47</v>
      </c>
      <c r="AA200" s="320">
        <v>7.4</v>
      </c>
      <c r="AB200" s="480">
        <v>8.35</v>
      </c>
      <c r="AC200" s="321">
        <v>9.31</v>
      </c>
      <c r="AF200" s="405" t="s">
        <v>893</v>
      </c>
      <c r="AG200" s="406">
        <v>20</v>
      </c>
      <c r="AH200" s="407">
        <v>14</v>
      </c>
      <c r="AI200" s="408">
        <v>0.415</v>
      </c>
      <c r="AJ200" s="407">
        <v>10</v>
      </c>
      <c r="AK200" s="408">
        <v>0.72</v>
      </c>
      <c r="AL200" s="410">
        <v>1.31</v>
      </c>
      <c r="AN200" s="50"/>
      <c r="AO200" s="100"/>
    </row>
    <row r="201" spans="13:41" ht="12.75">
      <c r="M201" s="487">
        <v>1</v>
      </c>
      <c r="N201" s="478">
        <v>1.08</v>
      </c>
      <c r="O201" s="479">
        <v>1.33</v>
      </c>
      <c r="P201" s="320">
        <v>1.6</v>
      </c>
      <c r="Q201" s="480">
        <v>1.89</v>
      </c>
      <c r="R201" s="480">
        <v>2.19</v>
      </c>
      <c r="S201" s="480">
        <v>2.52</v>
      </c>
      <c r="T201" s="480">
        <v>2.87</v>
      </c>
      <c r="U201" s="480">
        <v>3.24</v>
      </c>
      <c r="V201" s="480">
        <v>3.63</v>
      </c>
      <c r="W201" s="480">
        <v>4.03</v>
      </c>
      <c r="X201" s="480">
        <v>4.45</v>
      </c>
      <c r="Y201" s="480">
        <v>5.3</v>
      </c>
      <c r="Z201" s="481">
        <v>6.17</v>
      </c>
      <c r="AA201" s="480">
        <v>7.09</v>
      </c>
      <c r="AB201" s="480">
        <v>8.02</v>
      </c>
      <c r="AC201" s="482">
        <v>8.97</v>
      </c>
      <c r="AF201" s="405" t="s">
        <v>894</v>
      </c>
      <c r="AG201" s="406">
        <v>17.9</v>
      </c>
      <c r="AH201" s="407">
        <v>13.9</v>
      </c>
      <c r="AI201" s="408">
        <v>0.375</v>
      </c>
      <c r="AJ201" s="407">
        <v>10</v>
      </c>
      <c r="AK201" s="408">
        <v>0.645</v>
      </c>
      <c r="AL201" s="410">
        <v>1.24</v>
      </c>
      <c r="AN201" s="50"/>
      <c r="AO201" s="100"/>
    </row>
    <row r="202" spans="13:41" ht="12.75">
      <c r="M202" s="487">
        <v>1.2</v>
      </c>
      <c r="N202" s="478">
        <v>0.945</v>
      </c>
      <c r="O202" s="479">
        <v>1.17</v>
      </c>
      <c r="P202" s="480">
        <v>1.41</v>
      </c>
      <c r="Q202" s="480">
        <v>1.67</v>
      </c>
      <c r="R202" s="480">
        <v>1.95</v>
      </c>
      <c r="S202" s="480">
        <v>2.25</v>
      </c>
      <c r="T202" s="480">
        <v>2.57</v>
      </c>
      <c r="U202" s="480">
        <v>2.92</v>
      </c>
      <c r="V202" s="480">
        <v>3.28</v>
      </c>
      <c r="W202" s="480">
        <v>3.65</v>
      </c>
      <c r="X202" s="480">
        <v>4.04</v>
      </c>
      <c r="Y202" s="480">
        <v>4.82</v>
      </c>
      <c r="Z202" s="481">
        <v>5.65</v>
      </c>
      <c r="AA202" s="480">
        <v>6.52</v>
      </c>
      <c r="AB202" s="480">
        <v>7.42</v>
      </c>
      <c r="AC202" s="482">
        <v>8.34</v>
      </c>
      <c r="AF202" s="405" t="s">
        <v>895</v>
      </c>
      <c r="AG202" s="406">
        <v>15.6</v>
      </c>
      <c r="AH202" s="407">
        <v>13.9</v>
      </c>
      <c r="AI202" s="408">
        <v>0.37</v>
      </c>
      <c r="AJ202" s="409">
        <v>8.06</v>
      </c>
      <c r="AK202" s="408">
        <v>0.66</v>
      </c>
      <c r="AL202" s="410">
        <v>1.25</v>
      </c>
      <c r="AN202" s="50"/>
      <c r="AO202" s="100"/>
    </row>
    <row r="203" spans="1:41" ht="12.75">
      <c r="A203" s="10"/>
      <c r="B203" s="10"/>
      <c r="C203" s="10"/>
      <c r="D203" s="10"/>
      <c r="E203" s="10"/>
      <c r="F203" s="10"/>
      <c r="G203" s="10"/>
      <c r="H203" s="10"/>
      <c r="I203" s="60"/>
      <c r="M203" s="487">
        <v>1.4</v>
      </c>
      <c r="N203" s="478">
        <v>0.835</v>
      </c>
      <c r="O203" s="479">
        <v>1.03</v>
      </c>
      <c r="P203" s="480">
        <v>1.25</v>
      </c>
      <c r="Q203" s="480">
        <v>1.49</v>
      </c>
      <c r="R203" s="480">
        <v>1.75</v>
      </c>
      <c r="S203" s="480">
        <v>2.03</v>
      </c>
      <c r="T203" s="480">
        <v>2.33</v>
      </c>
      <c r="U203" s="480">
        <v>2.65</v>
      </c>
      <c r="V203" s="480">
        <v>2.98</v>
      </c>
      <c r="W203" s="480">
        <v>3.32</v>
      </c>
      <c r="X203" s="480">
        <v>3.68</v>
      </c>
      <c r="Y203" s="480">
        <v>4.42</v>
      </c>
      <c r="Z203" s="481">
        <v>5.18</v>
      </c>
      <c r="AA203" s="480">
        <v>6.01</v>
      </c>
      <c r="AB203" s="320">
        <v>6.87</v>
      </c>
      <c r="AC203" s="482">
        <v>7.76</v>
      </c>
      <c r="AF203" s="405" t="s">
        <v>896</v>
      </c>
      <c r="AG203" s="406">
        <v>14.1</v>
      </c>
      <c r="AH203" s="407">
        <v>13.8</v>
      </c>
      <c r="AI203" s="408">
        <v>0.34</v>
      </c>
      <c r="AJ203" s="409">
        <v>8.03</v>
      </c>
      <c r="AK203" s="408">
        <v>0.595</v>
      </c>
      <c r="AL203" s="410">
        <v>1.19</v>
      </c>
      <c r="AN203" s="50"/>
      <c r="AO203" s="100"/>
    </row>
    <row r="204" spans="1:41" ht="12.75">
      <c r="A204" s="45"/>
      <c r="B204" s="45"/>
      <c r="C204" s="121"/>
      <c r="D204" s="45"/>
      <c r="E204" s="45"/>
      <c r="F204" s="45"/>
      <c r="G204" s="45"/>
      <c r="H204" s="10"/>
      <c r="I204" s="235"/>
      <c r="M204" s="487">
        <v>1.6</v>
      </c>
      <c r="N204" s="478">
        <v>0.747</v>
      </c>
      <c r="O204" s="479">
        <v>0.928</v>
      </c>
      <c r="P204" s="480">
        <v>1.13</v>
      </c>
      <c r="Q204" s="480">
        <v>1.34</v>
      </c>
      <c r="R204" s="480">
        <v>1.58</v>
      </c>
      <c r="S204" s="480">
        <v>1.84</v>
      </c>
      <c r="T204" s="480">
        <v>2.12</v>
      </c>
      <c r="U204" s="480">
        <v>2.41</v>
      </c>
      <c r="V204" s="480">
        <v>2.72</v>
      </c>
      <c r="W204" s="480">
        <v>3.05</v>
      </c>
      <c r="X204" s="480">
        <v>3.38</v>
      </c>
      <c r="Y204" s="480">
        <v>4.07</v>
      </c>
      <c r="Z204" s="481">
        <v>4.79</v>
      </c>
      <c r="AA204" s="480">
        <v>5.56</v>
      </c>
      <c r="AB204" s="480">
        <v>6.38</v>
      </c>
      <c r="AC204" s="482">
        <v>7.24</v>
      </c>
      <c r="AF204" s="405" t="s">
        <v>897</v>
      </c>
      <c r="AG204" s="406">
        <v>12.6</v>
      </c>
      <c r="AH204" s="407">
        <v>13.7</v>
      </c>
      <c r="AI204" s="408">
        <v>0.305</v>
      </c>
      <c r="AJ204" s="409">
        <v>8</v>
      </c>
      <c r="AK204" s="408">
        <v>0.53</v>
      </c>
      <c r="AL204" s="410">
        <v>1.12</v>
      </c>
      <c r="AN204" s="50"/>
      <c r="AO204" s="100"/>
    </row>
    <row r="205" spans="1:41" ht="12.75">
      <c r="A205" s="10"/>
      <c r="B205" s="10"/>
      <c r="C205" s="10"/>
      <c r="D205" s="10"/>
      <c r="E205" s="10"/>
      <c r="F205" s="10"/>
      <c r="G205" s="10"/>
      <c r="H205" s="10"/>
      <c r="I205" s="10"/>
      <c r="M205" s="487">
        <v>1.8</v>
      </c>
      <c r="N205" s="478">
        <v>0.675</v>
      </c>
      <c r="O205" s="324">
        <v>0.84</v>
      </c>
      <c r="P205" s="480">
        <v>1.02</v>
      </c>
      <c r="Q205" s="480">
        <v>1.22</v>
      </c>
      <c r="R205" s="480">
        <v>1.44</v>
      </c>
      <c r="S205" s="480">
        <v>1.68</v>
      </c>
      <c r="T205" s="480">
        <v>1.94</v>
      </c>
      <c r="U205" s="480">
        <v>2.22</v>
      </c>
      <c r="V205" s="480">
        <v>2.51</v>
      </c>
      <c r="W205" s="480">
        <v>2.81</v>
      </c>
      <c r="X205" s="480">
        <v>3.12</v>
      </c>
      <c r="Y205" s="480">
        <v>3.76</v>
      </c>
      <c r="Z205" s="481">
        <v>4.44</v>
      </c>
      <c r="AA205" s="480">
        <v>5.17</v>
      </c>
      <c r="AB205" s="480">
        <v>5.95</v>
      </c>
      <c r="AC205" s="321">
        <v>6.76</v>
      </c>
      <c r="AF205" s="405" t="s">
        <v>898</v>
      </c>
      <c r="AG205" s="406">
        <v>11.2</v>
      </c>
      <c r="AH205" s="407">
        <v>14.1</v>
      </c>
      <c r="AI205" s="408">
        <v>0.31</v>
      </c>
      <c r="AJ205" s="409">
        <v>6.77</v>
      </c>
      <c r="AK205" s="408">
        <v>0.515</v>
      </c>
      <c r="AL205" s="412">
        <v>0.915</v>
      </c>
      <c r="AN205" s="50"/>
      <c r="AO205" s="100"/>
    </row>
    <row r="206" spans="1:41" ht="12.75">
      <c r="A206" s="582"/>
      <c r="B206" s="10"/>
      <c r="C206" s="10"/>
      <c r="D206" s="10"/>
      <c r="E206" s="10"/>
      <c r="F206" s="10"/>
      <c r="G206" s="10"/>
      <c r="H206" s="10"/>
      <c r="I206" s="60"/>
      <c r="M206" s="487">
        <v>2</v>
      </c>
      <c r="N206" s="478">
        <v>0.615</v>
      </c>
      <c r="O206" s="488">
        <v>0.767</v>
      </c>
      <c r="P206" s="489">
        <v>0.935</v>
      </c>
      <c r="Q206" s="489">
        <v>1.12</v>
      </c>
      <c r="R206" s="489">
        <v>1.32</v>
      </c>
      <c r="S206" s="489">
        <v>1.55</v>
      </c>
      <c r="T206" s="489">
        <v>1.79</v>
      </c>
      <c r="U206" s="489">
        <v>2.05</v>
      </c>
      <c r="V206" s="489">
        <v>2.32</v>
      </c>
      <c r="W206" s="489">
        <v>2.6</v>
      </c>
      <c r="X206" s="489">
        <v>2.89</v>
      </c>
      <c r="Y206" s="489">
        <v>3.49</v>
      </c>
      <c r="Z206" s="490">
        <v>4.14</v>
      </c>
      <c r="AA206" s="489">
        <v>4.83</v>
      </c>
      <c r="AB206" s="489">
        <v>5.56</v>
      </c>
      <c r="AC206" s="491">
        <v>6.34</v>
      </c>
      <c r="AF206" s="405" t="s">
        <v>899</v>
      </c>
      <c r="AG206" s="406">
        <v>10</v>
      </c>
      <c r="AH206" s="407">
        <v>14</v>
      </c>
      <c r="AI206" s="408">
        <v>0.285</v>
      </c>
      <c r="AJ206" s="409">
        <v>6.75</v>
      </c>
      <c r="AK206" s="408">
        <v>0.455</v>
      </c>
      <c r="AL206" s="412">
        <v>0.855</v>
      </c>
      <c r="AN206" s="50"/>
      <c r="AO206" s="100"/>
    </row>
    <row r="207" spans="1:41" ht="12.75">
      <c r="A207" s="52"/>
      <c r="B207" s="444"/>
      <c r="C207" s="68"/>
      <c r="D207" s="68"/>
      <c r="E207" s="68"/>
      <c r="F207" s="10"/>
      <c r="G207" s="45"/>
      <c r="H207" s="10"/>
      <c r="I207" s="60"/>
      <c r="M207" s="487">
        <v>2.2</v>
      </c>
      <c r="N207" s="492">
        <v>0.564</v>
      </c>
      <c r="O207" s="479">
        <v>0.704</v>
      </c>
      <c r="P207" s="480">
        <v>0.86</v>
      </c>
      <c r="Q207" s="480">
        <v>1.03</v>
      </c>
      <c r="R207" s="480">
        <v>1.22</v>
      </c>
      <c r="S207" s="480">
        <v>1.43</v>
      </c>
      <c r="T207" s="480">
        <v>1.66</v>
      </c>
      <c r="U207" s="480">
        <v>1.9</v>
      </c>
      <c r="V207" s="320">
        <v>2.15</v>
      </c>
      <c r="W207" s="480">
        <v>2.42</v>
      </c>
      <c r="X207" s="320">
        <v>2.69</v>
      </c>
      <c r="Y207" s="480">
        <v>3.26</v>
      </c>
      <c r="Z207" s="480">
        <v>3.87</v>
      </c>
      <c r="AA207" s="480">
        <v>4.52</v>
      </c>
      <c r="AB207" s="480">
        <v>5.22</v>
      </c>
      <c r="AC207" s="482">
        <v>5.96</v>
      </c>
      <c r="AF207" s="405" t="s">
        <v>900</v>
      </c>
      <c r="AG207" s="413">
        <v>8.85</v>
      </c>
      <c r="AH207" s="407">
        <v>13.8</v>
      </c>
      <c r="AI207" s="408">
        <v>0.27</v>
      </c>
      <c r="AJ207" s="409">
        <v>6.73</v>
      </c>
      <c r="AK207" s="408">
        <v>0.385</v>
      </c>
      <c r="AL207" s="412">
        <v>0.785</v>
      </c>
      <c r="AN207" s="50"/>
      <c r="AO207" s="100"/>
    </row>
    <row r="208" spans="1:41" ht="12.75">
      <c r="A208" s="592"/>
      <c r="B208" s="6"/>
      <c r="C208" s="10"/>
      <c r="D208" s="440"/>
      <c r="E208" s="10"/>
      <c r="F208" s="10"/>
      <c r="G208" s="45"/>
      <c r="H208" s="10"/>
      <c r="I208" s="60"/>
      <c r="M208" s="487">
        <v>2.4</v>
      </c>
      <c r="N208" s="478">
        <v>0.521</v>
      </c>
      <c r="O208" s="493">
        <v>0.652</v>
      </c>
      <c r="P208" s="494">
        <v>0.796</v>
      </c>
      <c r="Q208" s="326">
        <v>0.957</v>
      </c>
      <c r="R208" s="494">
        <v>1.13</v>
      </c>
      <c r="S208" s="494">
        <v>1.33</v>
      </c>
      <c r="T208" s="494">
        <v>1.54</v>
      </c>
      <c r="U208" s="494">
        <v>1.77</v>
      </c>
      <c r="V208" s="495">
        <v>2.01</v>
      </c>
      <c r="W208" s="494">
        <v>2.26</v>
      </c>
      <c r="X208" s="494">
        <v>2.51</v>
      </c>
      <c r="Y208" s="495">
        <v>3.05</v>
      </c>
      <c r="Z208" s="496">
        <v>3.63</v>
      </c>
      <c r="AA208" s="494">
        <v>4.25</v>
      </c>
      <c r="AB208" s="494">
        <v>4.91</v>
      </c>
      <c r="AC208" s="497">
        <v>5.61</v>
      </c>
      <c r="AF208" s="405" t="s">
        <v>901</v>
      </c>
      <c r="AG208" s="413">
        <v>7.69</v>
      </c>
      <c r="AH208" s="407">
        <v>13.9</v>
      </c>
      <c r="AI208" s="408">
        <v>0.255</v>
      </c>
      <c r="AJ208" s="409">
        <v>5.03</v>
      </c>
      <c r="AK208" s="408">
        <v>0.42</v>
      </c>
      <c r="AL208" s="412">
        <v>0.82</v>
      </c>
      <c r="AN208" s="50"/>
      <c r="AO208" s="100"/>
    </row>
    <row r="209" spans="1:41" ht="12.75">
      <c r="A209" s="592"/>
      <c r="B209" s="6"/>
      <c r="C209" s="10"/>
      <c r="D209" s="440"/>
      <c r="E209" s="10"/>
      <c r="F209" s="10"/>
      <c r="G209" s="45"/>
      <c r="H209" s="10"/>
      <c r="I209" s="60"/>
      <c r="M209" s="487">
        <v>2.6</v>
      </c>
      <c r="N209" s="478">
        <v>0.484</v>
      </c>
      <c r="O209" s="324">
        <v>0.605</v>
      </c>
      <c r="P209" s="480">
        <v>0.741</v>
      </c>
      <c r="Q209" s="480">
        <v>0.892</v>
      </c>
      <c r="R209" s="480">
        <v>1.06</v>
      </c>
      <c r="S209" s="480">
        <v>1.24</v>
      </c>
      <c r="T209" s="480">
        <v>1.44</v>
      </c>
      <c r="U209" s="319">
        <v>1.66</v>
      </c>
      <c r="V209" s="480">
        <v>1.88</v>
      </c>
      <c r="W209" s="480">
        <v>2.12</v>
      </c>
      <c r="X209" s="480">
        <v>2.36</v>
      </c>
      <c r="Y209" s="480">
        <v>2.86</v>
      </c>
      <c r="Z209" s="485">
        <v>3.41</v>
      </c>
      <c r="AA209" s="480">
        <v>4.01</v>
      </c>
      <c r="AB209" s="480">
        <v>4.64</v>
      </c>
      <c r="AC209" s="482">
        <v>5.31</v>
      </c>
      <c r="AF209" s="405" t="s">
        <v>902</v>
      </c>
      <c r="AG209" s="413">
        <v>6.49</v>
      </c>
      <c r="AH209" s="407">
        <v>13.7</v>
      </c>
      <c r="AI209" s="408">
        <v>0.23</v>
      </c>
      <c r="AJ209" s="409">
        <v>5</v>
      </c>
      <c r="AK209" s="408">
        <v>0.335</v>
      </c>
      <c r="AL209" s="412">
        <v>0.735</v>
      </c>
      <c r="AN209" s="50"/>
      <c r="AO209" s="100"/>
    </row>
    <row r="210" spans="1:41" ht="12.75">
      <c r="A210" s="592"/>
      <c r="B210" s="6"/>
      <c r="C210" s="10"/>
      <c r="D210" s="440"/>
      <c r="E210" s="10"/>
      <c r="F210" s="10"/>
      <c r="G210" s="45"/>
      <c r="H210" s="10"/>
      <c r="I210" s="60"/>
      <c r="M210" s="487">
        <v>2.8</v>
      </c>
      <c r="N210" s="478">
        <v>0.452</v>
      </c>
      <c r="O210" s="479">
        <v>0.565</v>
      </c>
      <c r="P210" s="480">
        <v>0.692</v>
      </c>
      <c r="Q210" s="480">
        <v>0.833</v>
      </c>
      <c r="R210" s="480">
        <v>0.992</v>
      </c>
      <c r="S210" s="480">
        <v>1.17</v>
      </c>
      <c r="T210" s="480">
        <v>1.35</v>
      </c>
      <c r="U210" s="480">
        <v>1.56</v>
      </c>
      <c r="V210" s="480">
        <v>1.77</v>
      </c>
      <c r="W210" s="480">
        <v>1.99</v>
      </c>
      <c r="X210" s="480">
        <v>2.21</v>
      </c>
      <c r="Y210" s="480">
        <v>2.7</v>
      </c>
      <c r="Z210" s="481">
        <v>3.22</v>
      </c>
      <c r="AA210" s="320">
        <v>3.79</v>
      </c>
      <c r="AB210" s="480">
        <v>4.39</v>
      </c>
      <c r="AC210" s="482">
        <v>5.03</v>
      </c>
      <c r="AF210" s="405" t="s">
        <v>903</v>
      </c>
      <c r="AG210" s="406">
        <v>98.8</v>
      </c>
      <c r="AH210" s="407">
        <v>16.8</v>
      </c>
      <c r="AI210" s="409">
        <v>1.78</v>
      </c>
      <c r="AJ210" s="407">
        <v>13.4</v>
      </c>
      <c r="AK210" s="409">
        <v>2.96</v>
      </c>
      <c r="AL210" s="410">
        <v>3.55</v>
      </c>
      <c r="AN210" s="50"/>
      <c r="AO210" s="100"/>
    </row>
    <row r="211" spans="1:41" ht="12.75">
      <c r="A211" s="592"/>
      <c r="B211" s="3"/>
      <c r="C211" s="10"/>
      <c r="D211" s="440"/>
      <c r="E211" s="10"/>
      <c r="F211" s="10"/>
      <c r="G211" s="45"/>
      <c r="H211" s="45"/>
      <c r="I211" s="60"/>
      <c r="M211" s="498">
        <v>3</v>
      </c>
      <c r="N211" s="499">
        <v>0.423</v>
      </c>
      <c r="O211" s="500">
        <v>0.531</v>
      </c>
      <c r="P211" s="501">
        <v>0.651</v>
      </c>
      <c r="Q211" s="501">
        <v>0.783</v>
      </c>
      <c r="R211" s="322">
        <v>0.933</v>
      </c>
      <c r="S211" s="501">
        <v>1.1</v>
      </c>
      <c r="T211" s="501">
        <v>1.27</v>
      </c>
      <c r="U211" s="501">
        <v>1.47</v>
      </c>
      <c r="V211" s="501">
        <v>1.67</v>
      </c>
      <c r="W211" s="501">
        <v>1.88</v>
      </c>
      <c r="X211" s="501">
        <v>2.09</v>
      </c>
      <c r="Y211" s="501">
        <v>2.55</v>
      </c>
      <c r="Z211" s="502">
        <v>3.05</v>
      </c>
      <c r="AA211" s="501">
        <v>3.59</v>
      </c>
      <c r="AB211" s="501">
        <v>4.16</v>
      </c>
      <c r="AC211" s="503">
        <v>4.78</v>
      </c>
      <c r="AF211" s="405" t="s">
        <v>904</v>
      </c>
      <c r="AG211" s="406">
        <v>89.6</v>
      </c>
      <c r="AH211" s="407">
        <v>16.3</v>
      </c>
      <c r="AI211" s="409">
        <v>1.63</v>
      </c>
      <c r="AJ211" s="407">
        <v>13.2</v>
      </c>
      <c r="AK211" s="409">
        <v>2.71</v>
      </c>
      <c r="AL211" s="410">
        <v>3.3</v>
      </c>
      <c r="AN211" s="50"/>
      <c r="AO211" s="100"/>
    </row>
    <row r="212" spans="1:41" ht="12.75">
      <c r="A212" s="93"/>
      <c r="B212" s="3"/>
      <c r="C212" s="10"/>
      <c r="D212" s="440"/>
      <c r="E212" s="10"/>
      <c r="F212" s="10"/>
      <c r="G212" s="25"/>
      <c r="H212" s="45"/>
      <c r="I212" s="60"/>
      <c r="M212" s="504" t="s">
        <v>526</v>
      </c>
      <c r="N212" s="505">
        <v>0</v>
      </c>
      <c r="O212" s="325">
        <v>0.008</v>
      </c>
      <c r="P212" s="322">
        <v>0.029</v>
      </c>
      <c r="Q212" s="322">
        <v>0.056</v>
      </c>
      <c r="R212" s="322">
        <v>0.089</v>
      </c>
      <c r="S212" s="322">
        <v>0.125</v>
      </c>
      <c r="T212" s="322">
        <v>0.164</v>
      </c>
      <c r="U212" s="322">
        <v>0.204</v>
      </c>
      <c r="V212" s="322">
        <v>0.246</v>
      </c>
      <c r="W212" s="322">
        <v>0.289</v>
      </c>
      <c r="X212" s="322">
        <v>0.333</v>
      </c>
      <c r="Y212" s="322">
        <v>0.424</v>
      </c>
      <c r="Z212" s="506">
        <v>0.516</v>
      </c>
      <c r="AA212" s="322">
        <v>0.61</v>
      </c>
      <c r="AB212" s="322">
        <v>0.704</v>
      </c>
      <c r="AC212" s="323">
        <v>0.8</v>
      </c>
      <c r="AF212" s="405" t="s">
        <v>905</v>
      </c>
      <c r="AG212" s="406">
        <v>81.9</v>
      </c>
      <c r="AH212" s="407">
        <v>15.9</v>
      </c>
      <c r="AI212" s="409">
        <v>1.53</v>
      </c>
      <c r="AJ212" s="407">
        <v>13.1</v>
      </c>
      <c r="AK212" s="409">
        <v>2.47</v>
      </c>
      <c r="AL212" s="410">
        <v>3.07</v>
      </c>
      <c r="AN212" s="50"/>
      <c r="AO212" s="100"/>
    </row>
    <row r="213" spans="1:41" ht="12.75">
      <c r="A213" s="93"/>
      <c r="B213" s="3"/>
      <c r="C213" s="10"/>
      <c r="D213" s="440"/>
      <c r="E213" s="10"/>
      <c r="F213" s="10"/>
      <c r="G213" s="25"/>
      <c r="H213" s="45"/>
      <c r="I213" s="60"/>
      <c r="AF213" s="405" t="s">
        <v>906</v>
      </c>
      <c r="AG213" s="406">
        <v>74</v>
      </c>
      <c r="AH213" s="407">
        <v>15.4</v>
      </c>
      <c r="AI213" s="409">
        <v>1.4</v>
      </c>
      <c r="AJ213" s="407">
        <v>13</v>
      </c>
      <c r="AK213" s="409">
        <v>2.25</v>
      </c>
      <c r="AL213" s="410">
        <v>2.85</v>
      </c>
      <c r="AN213" s="50"/>
      <c r="AO213" s="100"/>
    </row>
    <row r="214" spans="1:41" ht="12.75">
      <c r="A214" s="93"/>
      <c r="B214" s="3"/>
      <c r="C214" s="10"/>
      <c r="D214" s="529"/>
      <c r="E214" s="10"/>
      <c r="F214" s="10"/>
      <c r="G214" s="25"/>
      <c r="H214" s="45"/>
      <c r="I214" s="60"/>
      <c r="M214" s="141" t="s">
        <v>533</v>
      </c>
      <c r="N214" s="463"/>
      <c r="O214" s="107"/>
      <c r="P214" s="463"/>
      <c r="Q214" s="463"/>
      <c r="R214" s="143"/>
      <c r="S214" s="143"/>
      <c r="T214" s="143"/>
      <c r="U214" s="142"/>
      <c r="V214" s="143"/>
      <c r="W214" s="143"/>
      <c r="X214" s="143"/>
      <c r="Y214" s="143"/>
      <c r="Z214" s="144"/>
      <c r="AA214" s="143"/>
      <c r="AB214" s="143"/>
      <c r="AC214" s="144"/>
      <c r="AF214" s="405" t="s">
        <v>907</v>
      </c>
      <c r="AG214" s="406">
        <v>67.7</v>
      </c>
      <c r="AH214" s="407">
        <v>15.1</v>
      </c>
      <c r="AI214" s="409">
        <v>1.29</v>
      </c>
      <c r="AJ214" s="407">
        <v>12.9</v>
      </c>
      <c r="AK214" s="409">
        <v>2.07</v>
      </c>
      <c r="AL214" s="410">
        <v>2.67</v>
      </c>
      <c r="AN214" s="50"/>
      <c r="AO214" s="100"/>
    </row>
    <row r="215" spans="1:41" ht="12.75">
      <c r="A215" s="592"/>
      <c r="B215" s="3"/>
      <c r="C215" s="110"/>
      <c r="D215" s="441"/>
      <c r="E215" s="10"/>
      <c r="F215" s="60"/>
      <c r="G215" s="25"/>
      <c r="H215" s="80"/>
      <c r="I215" s="60"/>
      <c r="M215" s="464"/>
      <c r="N215" s="141" t="s">
        <v>323</v>
      </c>
      <c r="O215" s="107"/>
      <c r="P215" s="143"/>
      <c r="Q215" s="143"/>
      <c r="R215" s="143"/>
      <c r="S215" s="143"/>
      <c r="T215" s="465"/>
      <c r="U215" s="143"/>
      <c r="V215" s="143"/>
      <c r="W215" s="143"/>
      <c r="X215" s="143"/>
      <c r="Y215" s="156"/>
      <c r="Z215" s="144"/>
      <c r="AA215" s="143"/>
      <c r="AB215" s="156"/>
      <c r="AC215" s="144"/>
      <c r="AF215" s="405" t="s">
        <v>908</v>
      </c>
      <c r="AG215" s="406">
        <v>61.8</v>
      </c>
      <c r="AH215" s="407">
        <v>14.7</v>
      </c>
      <c r="AI215" s="409">
        <v>1.18</v>
      </c>
      <c r="AJ215" s="407">
        <v>12.8</v>
      </c>
      <c r="AK215" s="409">
        <v>1.9</v>
      </c>
      <c r="AL215" s="410">
        <v>2.5</v>
      </c>
      <c r="AN215" s="50"/>
      <c r="AO215" s="100"/>
    </row>
    <row r="216" spans="1:41" ht="12.75">
      <c r="A216" s="592"/>
      <c r="B216" s="3"/>
      <c r="C216" s="110"/>
      <c r="D216" s="441"/>
      <c r="E216" s="10"/>
      <c r="F216" s="445"/>
      <c r="G216" s="10"/>
      <c r="H216" s="10"/>
      <c r="I216" s="60"/>
      <c r="M216" s="467" t="s">
        <v>18</v>
      </c>
      <c r="N216" s="468">
        <v>0</v>
      </c>
      <c r="O216" s="140">
        <v>0.1</v>
      </c>
      <c r="P216" s="140">
        <v>0.2</v>
      </c>
      <c r="Q216" s="469">
        <v>0.3</v>
      </c>
      <c r="R216" s="140">
        <v>0.4</v>
      </c>
      <c r="S216" s="469">
        <v>0.5</v>
      </c>
      <c r="T216" s="140">
        <v>0.6</v>
      </c>
      <c r="U216" s="469">
        <v>0.7</v>
      </c>
      <c r="V216" s="140">
        <v>0.8</v>
      </c>
      <c r="W216" s="469">
        <v>0.9</v>
      </c>
      <c r="X216" s="140">
        <v>1</v>
      </c>
      <c r="Y216" s="469">
        <v>1.2</v>
      </c>
      <c r="Z216" s="140">
        <v>1.4</v>
      </c>
      <c r="AA216" s="140">
        <v>1.6</v>
      </c>
      <c r="AB216" s="469">
        <v>1.8</v>
      </c>
      <c r="AC216" s="140">
        <v>2</v>
      </c>
      <c r="AF216" s="405" t="s">
        <v>909</v>
      </c>
      <c r="AG216" s="406">
        <v>55.8</v>
      </c>
      <c r="AH216" s="407">
        <v>14.4</v>
      </c>
      <c r="AI216" s="409">
        <v>1.06</v>
      </c>
      <c r="AJ216" s="407">
        <v>12.7</v>
      </c>
      <c r="AK216" s="409">
        <v>1.74</v>
      </c>
      <c r="AL216" s="410">
        <v>2.33</v>
      </c>
      <c r="AN216" s="50"/>
      <c r="AO216" s="100"/>
    </row>
    <row r="217" spans="1:41" ht="12.75">
      <c r="A217" s="10"/>
      <c r="B217" s="76"/>
      <c r="C217" s="113"/>
      <c r="D217" s="55"/>
      <c r="E217" s="10"/>
      <c r="F217" s="10"/>
      <c r="G217" s="10"/>
      <c r="H217" s="89"/>
      <c r="I217" s="60"/>
      <c r="M217" s="471">
        <v>0</v>
      </c>
      <c r="N217" s="472">
        <v>2.73</v>
      </c>
      <c r="O217" s="473">
        <v>3.11</v>
      </c>
      <c r="P217" s="474">
        <v>3.49</v>
      </c>
      <c r="Q217" s="318">
        <v>3.88</v>
      </c>
      <c r="R217" s="474">
        <v>4.26</v>
      </c>
      <c r="S217" s="474">
        <v>4.65</v>
      </c>
      <c r="T217" s="474">
        <v>5.03</v>
      </c>
      <c r="U217" s="474">
        <v>5.42</v>
      </c>
      <c r="V217" s="474">
        <v>5.8</v>
      </c>
      <c r="W217" s="474">
        <v>6.19</v>
      </c>
      <c r="X217" s="318">
        <v>6.57</v>
      </c>
      <c r="Y217" s="474">
        <v>7.34</v>
      </c>
      <c r="Z217" s="475">
        <v>8.11</v>
      </c>
      <c r="AA217" s="474">
        <v>8.88</v>
      </c>
      <c r="AB217" s="474">
        <v>9.65</v>
      </c>
      <c r="AC217" s="476">
        <v>10.4</v>
      </c>
      <c r="AF217" s="405" t="s">
        <v>910</v>
      </c>
      <c r="AG217" s="406">
        <v>50</v>
      </c>
      <c r="AH217" s="407">
        <v>14</v>
      </c>
      <c r="AI217" s="408">
        <v>0.96</v>
      </c>
      <c r="AJ217" s="407">
        <v>12.6</v>
      </c>
      <c r="AK217" s="409">
        <v>1.56</v>
      </c>
      <c r="AL217" s="410">
        <v>2.16</v>
      </c>
      <c r="AN217" s="50"/>
      <c r="AO217" s="100"/>
    </row>
    <row r="218" spans="1:41" ht="12.75">
      <c r="A218" s="452"/>
      <c r="B218" s="10"/>
      <c r="C218" s="10"/>
      <c r="D218" s="10"/>
      <c r="E218" s="10"/>
      <c r="F218" s="10"/>
      <c r="G218" s="10"/>
      <c r="H218" s="10"/>
      <c r="I218" s="60"/>
      <c r="M218" s="477">
        <v>0.1</v>
      </c>
      <c r="N218" s="478">
        <v>2.59</v>
      </c>
      <c r="O218" s="479">
        <v>2.96</v>
      </c>
      <c r="P218" s="480">
        <v>3.35</v>
      </c>
      <c r="Q218" s="320">
        <v>3.75</v>
      </c>
      <c r="R218" s="480">
        <v>4.17</v>
      </c>
      <c r="S218" s="480">
        <v>4.58</v>
      </c>
      <c r="T218" s="480">
        <v>4.99</v>
      </c>
      <c r="U218" s="480">
        <v>5.4</v>
      </c>
      <c r="V218" s="480">
        <v>5.8</v>
      </c>
      <c r="W218" s="480">
        <v>6.2</v>
      </c>
      <c r="X218" s="480">
        <v>6.59</v>
      </c>
      <c r="Y218" s="480">
        <v>7.37</v>
      </c>
      <c r="Z218" s="481">
        <v>8.14</v>
      </c>
      <c r="AA218" s="480">
        <v>8.91</v>
      </c>
      <c r="AB218" s="480">
        <v>9.68</v>
      </c>
      <c r="AC218" s="482">
        <v>10.4</v>
      </c>
      <c r="AF218" s="405" t="s">
        <v>911</v>
      </c>
      <c r="AG218" s="406">
        <v>44.7</v>
      </c>
      <c r="AH218" s="407">
        <v>13.7</v>
      </c>
      <c r="AI218" s="408">
        <v>0.87</v>
      </c>
      <c r="AJ218" s="407">
        <v>12.5</v>
      </c>
      <c r="AK218" s="409">
        <v>1.4</v>
      </c>
      <c r="AL218" s="410">
        <v>2</v>
      </c>
      <c r="AN218" s="50"/>
      <c r="AO218" s="100"/>
    </row>
    <row r="219" spans="1:41" ht="12.75">
      <c r="A219" s="45"/>
      <c r="B219" s="55"/>
      <c r="C219" s="55"/>
      <c r="D219" s="63"/>
      <c r="E219" s="55"/>
      <c r="F219" s="55"/>
      <c r="G219" s="55"/>
      <c r="H219" s="89"/>
      <c r="I219" s="60"/>
      <c r="M219" s="483">
        <v>0.15</v>
      </c>
      <c r="N219" s="478">
        <v>2.5</v>
      </c>
      <c r="O219" s="479">
        <v>2.87</v>
      </c>
      <c r="P219" s="480">
        <v>3.26</v>
      </c>
      <c r="Q219" s="480">
        <v>3.67</v>
      </c>
      <c r="R219" s="480">
        <v>4.09</v>
      </c>
      <c r="S219" s="480">
        <v>4.51</v>
      </c>
      <c r="T219" s="320">
        <v>4.94</v>
      </c>
      <c r="U219" s="480">
        <v>5.35</v>
      </c>
      <c r="V219" s="480">
        <v>5.76</v>
      </c>
      <c r="W219" s="320">
        <v>6.17</v>
      </c>
      <c r="X219" s="480">
        <v>6.57</v>
      </c>
      <c r="Y219" s="480">
        <v>7.36</v>
      </c>
      <c r="Z219" s="481">
        <v>8.13</v>
      </c>
      <c r="AA219" s="480">
        <v>8.91</v>
      </c>
      <c r="AB219" s="480">
        <v>9.68</v>
      </c>
      <c r="AC219" s="482">
        <v>10.4</v>
      </c>
      <c r="AF219" s="405" t="s">
        <v>912</v>
      </c>
      <c r="AG219" s="406">
        <v>39.9</v>
      </c>
      <c r="AH219" s="407">
        <v>13.4</v>
      </c>
      <c r="AI219" s="408">
        <v>0.79</v>
      </c>
      <c r="AJ219" s="407">
        <v>12.4</v>
      </c>
      <c r="AK219" s="409">
        <v>1.25</v>
      </c>
      <c r="AL219" s="410">
        <v>1.85</v>
      </c>
      <c r="AN219" s="50"/>
      <c r="AO219" s="100"/>
    </row>
    <row r="220" spans="1:38" ht="12.75">
      <c r="A220" s="272"/>
      <c r="B220" s="8"/>
      <c r="C220" s="113"/>
      <c r="D220" s="524"/>
      <c r="E220" s="55"/>
      <c r="F220" s="55"/>
      <c r="G220" s="55"/>
      <c r="H220" s="59"/>
      <c r="I220" s="60"/>
      <c r="M220" s="483">
        <v>0.2</v>
      </c>
      <c r="N220" s="478">
        <v>2.43</v>
      </c>
      <c r="O220" s="479">
        <v>2.79</v>
      </c>
      <c r="P220" s="480">
        <v>3.18</v>
      </c>
      <c r="Q220" s="480">
        <v>3.59</v>
      </c>
      <c r="R220" s="320">
        <v>4.01</v>
      </c>
      <c r="S220" s="480">
        <v>4.44</v>
      </c>
      <c r="T220" s="480">
        <v>4.87</v>
      </c>
      <c r="U220" s="480">
        <v>5.29</v>
      </c>
      <c r="V220" s="480">
        <v>5.71</v>
      </c>
      <c r="W220" s="480">
        <v>6.13</v>
      </c>
      <c r="X220" s="480">
        <v>6.53</v>
      </c>
      <c r="Y220" s="480">
        <v>7.33</v>
      </c>
      <c r="Z220" s="481">
        <v>8.12</v>
      </c>
      <c r="AA220" s="480">
        <v>8.9</v>
      </c>
      <c r="AB220" s="480">
        <v>9.67</v>
      </c>
      <c r="AC220" s="484">
        <v>10.4</v>
      </c>
      <c r="AF220" s="405" t="s">
        <v>913</v>
      </c>
      <c r="AG220" s="406">
        <v>35.3</v>
      </c>
      <c r="AH220" s="407">
        <v>13.1</v>
      </c>
      <c r="AI220" s="408">
        <v>0.71</v>
      </c>
      <c r="AJ220" s="407">
        <v>12.3</v>
      </c>
      <c r="AK220" s="409">
        <v>1.11</v>
      </c>
      <c r="AL220" s="410">
        <v>1.7</v>
      </c>
    </row>
    <row r="221" spans="1:41" ht="12.75">
      <c r="A221" s="58"/>
      <c r="B221" s="8"/>
      <c r="C221" s="113"/>
      <c r="D221" s="524"/>
      <c r="E221" s="55"/>
      <c r="F221" s="55"/>
      <c r="G221" s="55"/>
      <c r="H221" s="10"/>
      <c r="I221" s="60"/>
      <c r="M221" s="483">
        <v>0.25</v>
      </c>
      <c r="N221" s="478">
        <v>2.35</v>
      </c>
      <c r="O221" s="479">
        <v>2.72</v>
      </c>
      <c r="P221" s="480">
        <v>3.1</v>
      </c>
      <c r="Q221" s="480">
        <v>3.51</v>
      </c>
      <c r="R221" s="480">
        <v>3.93</v>
      </c>
      <c r="S221" s="480">
        <v>4.36</v>
      </c>
      <c r="T221" s="480">
        <v>4.8</v>
      </c>
      <c r="U221" s="480">
        <v>5.23</v>
      </c>
      <c r="V221" s="480">
        <v>5.65</v>
      </c>
      <c r="W221" s="480">
        <v>6.07</v>
      </c>
      <c r="X221" s="480">
        <v>6.49</v>
      </c>
      <c r="Y221" s="480">
        <v>7.3</v>
      </c>
      <c r="Z221" s="481">
        <v>8.09</v>
      </c>
      <c r="AA221" s="480">
        <v>8.88</v>
      </c>
      <c r="AB221" s="480">
        <v>9.65</v>
      </c>
      <c r="AC221" s="482">
        <v>10.4</v>
      </c>
      <c r="AF221" s="405" t="s">
        <v>914</v>
      </c>
      <c r="AG221" s="406">
        <v>31.2</v>
      </c>
      <c r="AH221" s="407">
        <v>12.9</v>
      </c>
      <c r="AI221" s="408">
        <v>0.61</v>
      </c>
      <c r="AJ221" s="407">
        <v>12.2</v>
      </c>
      <c r="AK221" s="408">
        <v>0.99</v>
      </c>
      <c r="AL221" s="410">
        <v>1.59</v>
      </c>
      <c r="AN221" s="50"/>
      <c r="AO221" s="100"/>
    </row>
    <row r="222" spans="1:41" ht="12.75">
      <c r="A222" s="58"/>
      <c r="B222" s="8"/>
      <c r="C222" s="113"/>
      <c r="D222" s="524"/>
      <c r="E222" s="55"/>
      <c r="F222" s="55"/>
      <c r="G222" s="45"/>
      <c r="H222" s="87"/>
      <c r="I222" s="60"/>
      <c r="M222" s="483">
        <v>0.3</v>
      </c>
      <c r="N222" s="478">
        <v>2.28</v>
      </c>
      <c r="O222" s="479">
        <v>2.65</v>
      </c>
      <c r="P222" s="480">
        <v>3.02</v>
      </c>
      <c r="Q222" s="480">
        <v>3.43</v>
      </c>
      <c r="R222" s="480">
        <v>3.85</v>
      </c>
      <c r="S222" s="480">
        <v>4.28</v>
      </c>
      <c r="T222" s="480">
        <v>4.72</v>
      </c>
      <c r="U222" s="320">
        <v>5.16</v>
      </c>
      <c r="V222" s="480">
        <v>5.59</v>
      </c>
      <c r="W222" s="480">
        <v>6.02</v>
      </c>
      <c r="X222" s="480">
        <v>6.44</v>
      </c>
      <c r="Y222" s="480">
        <v>7.26</v>
      </c>
      <c r="Z222" s="485">
        <v>8.06</v>
      </c>
      <c r="AA222" s="320">
        <v>8.85</v>
      </c>
      <c r="AB222" s="480">
        <v>9.63</v>
      </c>
      <c r="AC222" s="484">
        <v>10.4</v>
      </c>
      <c r="AF222" s="405" t="s">
        <v>915</v>
      </c>
      <c r="AG222" s="406">
        <v>28.2</v>
      </c>
      <c r="AH222" s="407">
        <v>12.7</v>
      </c>
      <c r="AI222" s="408">
        <v>0.55</v>
      </c>
      <c r="AJ222" s="407">
        <v>12.2</v>
      </c>
      <c r="AK222" s="408">
        <v>0.9</v>
      </c>
      <c r="AL222" s="410">
        <v>1.5</v>
      </c>
      <c r="AN222" s="50"/>
      <c r="AO222" s="100"/>
    </row>
    <row r="223" spans="1:38" ht="12.75">
      <c r="A223" s="58"/>
      <c r="B223" s="8"/>
      <c r="C223" s="113"/>
      <c r="D223" s="524"/>
      <c r="E223" s="55"/>
      <c r="F223" s="55"/>
      <c r="G223" s="55"/>
      <c r="H223" s="10"/>
      <c r="I223" s="60"/>
      <c r="M223" s="483">
        <v>0.4</v>
      </c>
      <c r="N223" s="478">
        <v>2.16</v>
      </c>
      <c r="O223" s="479">
        <v>2.52</v>
      </c>
      <c r="P223" s="480">
        <v>2.88</v>
      </c>
      <c r="Q223" s="480">
        <v>3.27</v>
      </c>
      <c r="R223" s="480">
        <v>3.69</v>
      </c>
      <c r="S223" s="480">
        <v>4.12</v>
      </c>
      <c r="T223" s="480">
        <v>4.56</v>
      </c>
      <c r="U223" s="480">
        <v>5.01</v>
      </c>
      <c r="V223" s="320">
        <v>5.45</v>
      </c>
      <c r="W223" s="480">
        <v>5.88</v>
      </c>
      <c r="X223" s="480">
        <v>6.31</v>
      </c>
      <c r="Y223" s="320">
        <v>7.15</v>
      </c>
      <c r="Z223" s="481">
        <v>7.97</v>
      </c>
      <c r="AA223" s="480">
        <v>8.78</v>
      </c>
      <c r="AB223" s="480">
        <v>9.57</v>
      </c>
      <c r="AC223" s="482">
        <v>10.4</v>
      </c>
      <c r="AF223" s="405" t="s">
        <v>916</v>
      </c>
      <c r="AG223" s="406">
        <v>25.6</v>
      </c>
      <c r="AH223" s="407">
        <v>12.5</v>
      </c>
      <c r="AI223" s="408">
        <v>0.515</v>
      </c>
      <c r="AJ223" s="407">
        <v>12.1</v>
      </c>
      <c r="AK223" s="408">
        <v>0.81</v>
      </c>
      <c r="AL223" s="410">
        <v>1.41</v>
      </c>
    </row>
    <row r="224" spans="1:41" ht="12.75">
      <c r="A224" s="58"/>
      <c r="B224" s="8"/>
      <c r="C224" s="113"/>
      <c r="D224" s="524"/>
      <c r="E224" s="55"/>
      <c r="F224" s="55"/>
      <c r="G224" s="45"/>
      <c r="H224" s="45"/>
      <c r="I224" s="60"/>
      <c r="M224" s="483">
        <v>0.5</v>
      </c>
      <c r="N224" s="478">
        <v>2.05</v>
      </c>
      <c r="O224" s="479">
        <v>2.4</v>
      </c>
      <c r="P224" s="480">
        <v>2.75</v>
      </c>
      <c r="Q224" s="480">
        <v>3.13</v>
      </c>
      <c r="R224" s="480">
        <v>3.54</v>
      </c>
      <c r="S224" s="480">
        <v>3.97</v>
      </c>
      <c r="T224" s="480">
        <v>4.41</v>
      </c>
      <c r="U224" s="320">
        <v>4.85</v>
      </c>
      <c r="V224" s="320">
        <v>5.3</v>
      </c>
      <c r="W224" s="320">
        <v>5.74</v>
      </c>
      <c r="X224" s="480">
        <v>6.18</v>
      </c>
      <c r="Y224" s="480">
        <v>7.03</v>
      </c>
      <c r="Z224" s="481">
        <v>7.86</v>
      </c>
      <c r="AA224" s="480">
        <v>8.68</v>
      </c>
      <c r="AB224" s="320">
        <v>9.48</v>
      </c>
      <c r="AC224" s="482">
        <v>10.3</v>
      </c>
      <c r="AF224" s="405" t="s">
        <v>917</v>
      </c>
      <c r="AG224" s="406">
        <v>23.2</v>
      </c>
      <c r="AH224" s="407">
        <v>12.4</v>
      </c>
      <c r="AI224" s="408">
        <v>0.47</v>
      </c>
      <c r="AJ224" s="407">
        <v>12.1</v>
      </c>
      <c r="AK224" s="408">
        <v>0.735</v>
      </c>
      <c r="AL224" s="410">
        <v>1.33</v>
      </c>
      <c r="AN224" s="50"/>
      <c r="AO224" s="100"/>
    </row>
    <row r="225" spans="1:41" ht="12.75">
      <c r="A225" s="272"/>
      <c r="B225" s="8"/>
      <c r="C225" s="113"/>
      <c r="D225" s="524"/>
      <c r="E225" s="55"/>
      <c r="F225" s="55"/>
      <c r="G225" s="45"/>
      <c r="H225" s="45"/>
      <c r="I225" s="60"/>
      <c r="M225" s="483">
        <v>0.6</v>
      </c>
      <c r="N225" s="478">
        <v>1.94</v>
      </c>
      <c r="O225" s="479">
        <v>2.28</v>
      </c>
      <c r="P225" s="480">
        <v>2.63</v>
      </c>
      <c r="Q225" s="480">
        <v>3</v>
      </c>
      <c r="R225" s="480">
        <v>3.39</v>
      </c>
      <c r="S225" s="480">
        <v>3.82</v>
      </c>
      <c r="T225" s="480">
        <v>4.36</v>
      </c>
      <c r="U225" s="320">
        <v>4.71</v>
      </c>
      <c r="V225" s="480">
        <v>5.16</v>
      </c>
      <c r="W225" s="480">
        <v>5.61</v>
      </c>
      <c r="X225" s="480">
        <v>6.05</v>
      </c>
      <c r="Y225" s="480">
        <v>6.92</v>
      </c>
      <c r="Z225" s="481">
        <v>7.77</v>
      </c>
      <c r="AA225" s="480">
        <v>8.59</v>
      </c>
      <c r="AB225" s="480">
        <v>9.39</v>
      </c>
      <c r="AC225" s="482">
        <v>10.2</v>
      </c>
      <c r="AF225" s="405" t="s">
        <v>918</v>
      </c>
      <c r="AG225" s="406">
        <v>21.1</v>
      </c>
      <c r="AH225" s="407">
        <v>12.3</v>
      </c>
      <c r="AI225" s="408">
        <v>0.43</v>
      </c>
      <c r="AJ225" s="407">
        <v>12</v>
      </c>
      <c r="AK225" s="408">
        <v>0.67</v>
      </c>
      <c r="AL225" s="410">
        <v>1.27</v>
      </c>
      <c r="AN225" s="50"/>
      <c r="AO225" s="100"/>
    </row>
    <row r="226" spans="1:41" ht="12.75">
      <c r="A226" s="273"/>
      <c r="B226" s="8"/>
      <c r="C226" s="121"/>
      <c r="D226" s="82"/>
      <c r="E226" s="55"/>
      <c r="F226" s="55"/>
      <c r="G226" s="45"/>
      <c r="H226" s="45"/>
      <c r="I226" s="60"/>
      <c r="K226" s="8"/>
      <c r="M226" s="483">
        <v>0.7</v>
      </c>
      <c r="N226" s="478">
        <v>1.84</v>
      </c>
      <c r="O226" s="479">
        <v>2.17</v>
      </c>
      <c r="P226" s="480">
        <v>2.52</v>
      </c>
      <c r="Q226" s="480">
        <v>2.87</v>
      </c>
      <c r="R226" s="480">
        <v>3.26</v>
      </c>
      <c r="S226" s="480">
        <v>3.68</v>
      </c>
      <c r="T226" s="480">
        <v>4.11</v>
      </c>
      <c r="U226" s="480">
        <v>4.56</v>
      </c>
      <c r="V226" s="320">
        <v>5.01</v>
      </c>
      <c r="W226" s="480">
        <v>5.47</v>
      </c>
      <c r="X226" s="480">
        <v>5.92</v>
      </c>
      <c r="Y226" s="480">
        <v>6.81</v>
      </c>
      <c r="Z226" s="481">
        <v>7.67</v>
      </c>
      <c r="AA226" s="480">
        <v>8.5</v>
      </c>
      <c r="AB226" s="480">
        <v>9.31</v>
      </c>
      <c r="AC226" s="482">
        <v>10.1</v>
      </c>
      <c r="AF226" s="405" t="s">
        <v>919</v>
      </c>
      <c r="AG226" s="406">
        <v>19.1</v>
      </c>
      <c r="AH226" s="407">
        <v>12.1</v>
      </c>
      <c r="AI226" s="408">
        <v>0.39</v>
      </c>
      <c r="AJ226" s="407">
        <v>12</v>
      </c>
      <c r="AK226" s="408">
        <v>0.605</v>
      </c>
      <c r="AL226" s="410">
        <v>1.2</v>
      </c>
      <c r="AN226" s="50"/>
      <c r="AO226" s="100"/>
    </row>
    <row r="227" spans="1:41" ht="12.75">
      <c r="A227" s="272"/>
      <c r="B227" s="8"/>
      <c r="C227" s="113"/>
      <c r="D227" s="524"/>
      <c r="E227" s="55"/>
      <c r="F227" s="55"/>
      <c r="G227" s="45"/>
      <c r="H227" s="45"/>
      <c r="I227" s="60"/>
      <c r="K227" s="8"/>
      <c r="M227" s="483">
        <v>0.8</v>
      </c>
      <c r="N227" s="478">
        <v>1.75</v>
      </c>
      <c r="O227" s="479">
        <v>2.07</v>
      </c>
      <c r="P227" s="480">
        <v>2.41</v>
      </c>
      <c r="Q227" s="480">
        <v>2.76</v>
      </c>
      <c r="R227" s="480">
        <v>3.14</v>
      </c>
      <c r="S227" s="480">
        <v>3.54</v>
      </c>
      <c r="T227" s="320">
        <v>3.97</v>
      </c>
      <c r="U227" s="480">
        <v>4.42</v>
      </c>
      <c r="V227" s="320">
        <v>4.87</v>
      </c>
      <c r="W227" s="480">
        <v>5.33</v>
      </c>
      <c r="X227" s="480">
        <v>5.78</v>
      </c>
      <c r="Y227" s="480">
        <v>6.68</v>
      </c>
      <c r="Z227" s="481">
        <v>7.56</v>
      </c>
      <c r="AA227" s="480">
        <v>8.41</v>
      </c>
      <c r="AB227" s="480">
        <v>9.24</v>
      </c>
      <c r="AC227" s="321">
        <v>10.1</v>
      </c>
      <c r="AF227" s="405" t="s">
        <v>920</v>
      </c>
      <c r="AG227" s="406">
        <v>17</v>
      </c>
      <c r="AH227" s="407">
        <v>12.2</v>
      </c>
      <c r="AI227" s="408">
        <v>0.36</v>
      </c>
      <c r="AJ227" s="407">
        <v>10</v>
      </c>
      <c r="AK227" s="408">
        <v>0.64</v>
      </c>
      <c r="AL227" s="410">
        <v>1.24</v>
      </c>
      <c r="AN227" s="50"/>
      <c r="AO227" s="100"/>
    </row>
    <row r="228" spans="1:41" ht="12.75">
      <c r="A228" s="273"/>
      <c r="B228" s="8"/>
      <c r="C228" s="121"/>
      <c r="D228" s="82"/>
      <c r="E228" s="55"/>
      <c r="F228" s="55"/>
      <c r="G228" s="55"/>
      <c r="H228" s="10"/>
      <c r="I228" s="60"/>
      <c r="K228" s="8"/>
      <c r="M228" s="483">
        <v>0.9</v>
      </c>
      <c r="N228" s="478">
        <v>1.67</v>
      </c>
      <c r="O228" s="479">
        <v>1.98</v>
      </c>
      <c r="P228" s="480">
        <v>2.31</v>
      </c>
      <c r="Q228" s="480">
        <v>2.65</v>
      </c>
      <c r="R228" s="480">
        <v>3.02</v>
      </c>
      <c r="S228" s="480">
        <v>3.42</v>
      </c>
      <c r="T228" s="480">
        <v>3.84</v>
      </c>
      <c r="U228" s="480">
        <v>4.27</v>
      </c>
      <c r="V228" s="480">
        <v>4.72</v>
      </c>
      <c r="W228" s="480">
        <v>5.18</v>
      </c>
      <c r="X228" s="480">
        <v>5.64</v>
      </c>
      <c r="Y228" s="480">
        <v>6.55</v>
      </c>
      <c r="Z228" s="481">
        <v>7.45</v>
      </c>
      <c r="AA228" s="320">
        <v>8.31</v>
      </c>
      <c r="AB228" s="480">
        <v>9.15</v>
      </c>
      <c r="AC228" s="321">
        <v>10</v>
      </c>
      <c r="AF228" s="405" t="s">
        <v>921</v>
      </c>
      <c r="AG228" s="406">
        <v>15.6</v>
      </c>
      <c r="AH228" s="407">
        <v>12.1</v>
      </c>
      <c r="AI228" s="408">
        <v>0.345</v>
      </c>
      <c r="AJ228" s="407">
        <v>10</v>
      </c>
      <c r="AK228" s="408">
        <v>0.575</v>
      </c>
      <c r="AL228" s="410">
        <v>1.18</v>
      </c>
      <c r="AN228" s="50"/>
      <c r="AO228" s="100"/>
    </row>
    <row r="229" spans="1:38" ht="12.75">
      <c r="A229" s="273"/>
      <c r="B229" s="6"/>
      <c r="C229" s="121"/>
      <c r="D229" s="82"/>
      <c r="E229" s="55"/>
      <c r="F229" s="55"/>
      <c r="G229" s="45"/>
      <c r="H229" s="45"/>
      <c r="I229" s="60"/>
      <c r="K229" s="8"/>
      <c r="M229" s="487">
        <v>1</v>
      </c>
      <c r="N229" s="478">
        <v>1.59</v>
      </c>
      <c r="O229" s="479">
        <v>1.89</v>
      </c>
      <c r="P229" s="320">
        <v>2.21</v>
      </c>
      <c r="Q229" s="480">
        <v>2.55</v>
      </c>
      <c r="R229" s="480">
        <v>2.91</v>
      </c>
      <c r="S229" s="480">
        <v>3.3</v>
      </c>
      <c r="T229" s="480">
        <v>3.71</v>
      </c>
      <c r="U229" s="480">
        <v>4.14</v>
      </c>
      <c r="V229" s="480">
        <v>4.59</v>
      </c>
      <c r="W229" s="480">
        <v>5.04</v>
      </c>
      <c r="X229" s="480">
        <v>5.5</v>
      </c>
      <c r="Y229" s="480">
        <v>6.42</v>
      </c>
      <c r="Z229" s="481">
        <v>7.33</v>
      </c>
      <c r="AA229" s="480">
        <v>8.21</v>
      </c>
      <c r="AB229" s="480">
        <v>9.07</v>
      </c>
      <c r="AC229" s="482">
        <v>9.9</v>
      </c>
      <c r="AF229" s="405" t="s">
        <v>922</v>
      </c>
      <c r="AG229" s="406">
        <v>14.6</v>
      </c>
      <c r="AH229" s="407">
        <v>12.2</v>
      </c>
      <c r="AI229" s="408">
        <v>0.37</v>
      </c>
      <c r="AJ229" s="409">
        <v>8.08</v>
      </c>
      <c r="AK229" s="408">
        <v>0.64</v>
      </c>
      <c r="AL229" s="410">
        <v>1.14</v>
      </c>
    </row>
    <row r="230" spans="1:41" ht="12.75">
      <c r="A230" s="273"/>
      <c r="B230" s="8"/>
      <c r="C230" s="121"/>
      <c r="D230" s="52"/>
      <c r="E230" s="55"/>
      <c r="F230" s="55"/>
      <c r="G230" s="99"/>
      <c r="H230" s="45"/>
      <c r="I230" s="60"/>
      <c r="K230" s="8"/>
      <c r="M230" s="487">
        <v>1.2</v>
      </c>
      <c r="N230" s="478">
        <v>1.45</v>
      </c>
      <c r="O230" s="479">
        <v>1.73</v>
      </c>
      <c r="P230" s="480">
        <v>2.04</v>
      </c>
      <c r="Q230" s="480">
        <v>2.36</v>
      </c>
      <c r="R230" s="480">
        <v>2.71</v>
      </c>
      <c r="S230" s="480">
        <v>3.08</v>
      </c>
      <c r="T230" s="480">
        <v>3.47</v>
      </c>
      <c r="U230" s="480">
        <v>3.88</v>
      </c>
      <c r="V230" s="480">
        <v>4.32</v>
      </c>
      <c r="W230" s="480">
        <v>4.77</v>
      </c>
      <c r="X230" s="480">
        <v>5.22</v>
      </c>
      <c r="Y230" s="480">
        <v>6.14</v>
      </c>
      <c r="Z230" s="481">
        <v>7.06</v>
      </c>
      <c r="AA230" s="480">
        <v>7.97</v>
      </c>
      <c r="AB230" s="480">
        <v>8.85</v>
      </c>
      <c r="AC230" s="482">
        <v>9.71</v>
      </c>
      <c r="AF230" s="405" t="s">
        <v>923</v>
      </c>
      <c r="AG230" s="406">
        <v>13.1</v>
      </c>
      <c r="AH230" s="407">
        <v>12.1</v>
      </c>
      <c r="AI230" s="408">
        <v>0.335</v>
      </c>
      <c r="AJ230" s="409">
        <v>8.05</v>
      </c>
      <c r="AK230" s="408">
        <v>0.575</v>
      </c>
      <c r="AL230" s="410">
        <v>1.08</v>
      </c>
      <c r="AN230" s="50"/>
      <c r="AO230" s="100"/>
    </row>
    <row r="231" spans="1:41" ht="12.75">
      <c r="A231" s="272"/>
      <c r="B231" s="8"/>
      <c r="C231" s="113"/>
      <c r="D231" s="63"/>
      <c r="E231" s="55"/>
      <c r="F231" s="55"/>
      <c r="G231" s="45"/>
      <c r="H231" s="80"/>
      <c r="I231" s="60"/>
      <c r="K231" s="8"/>
      <c r="M231" s="487">
        <v>1.4</v>
      </c>
      <c r="N231" s="478">
        <v>1.33</v>
      </c>
      <c r="O231" s="479">
        <v>1.6</v>
      </c>
      <c r="P231" s="480">
        <v>1.89</v>
      </c>
      <c r="Q231" s="480">
        <v>2.19</v>
      </c>
      <c r="R231" s="480">
        <v>2.53</v>
      </c>
      <c r="S231" s="480">
        <v>2.88</v>
      </c>
      <c r="T231" s="480">
        <v>3.25</v>
      </c>
      <c r="U231" s="480">
        <v>3.65</v>
      </c>
      <c r="V231" s="480">
        <v>4.07</v>
      </c>
      <c r="W231" s="480">
        <v>4.5</v>
      </c>
      <c r="X231" s="480">
        <v>4.95</v>
      </c>
      <c r="Y231" s="480">
        <v>5.87</v>
      </c>
      <c r="Z231" s="481">
        <v>6.79</v>
      </c>
      <c r="AA231" s="480">
        <v>7.71</v>
      </c>
      <c r="AB231" s="320">
        <v>8.62</v>
      </c>
      <c r="AC231" s="482">
        <v>9.51</v>
      </c>
      <c r="AF231" s="405" t="s">
        <v>924</v>
      </c>
      <c r="AG231" s="406">
        <v>11.7</v>
      </c>
      <c r="AH231" s="407">
        <v>11.9</v>
      </c>
      <c r="AI231" s="408">
        <v>0.295</v>
      </c>
      <c r="AJ231" s="409">
        <v>8.01</v>
      </c>
      <c r="AK231" s="408">
        <v>0.515</v>
      </c>
      <c r="AL231" s="410">
        <v>1.02</v>
      </c>
      <c r="AN231" s="50"/>
      <c r="AO231" s="100"/>
    </row>
    <row r="232" spans="1:41" ht="12.75">
      <c r="A232" s="272"/>
      <c r="B232" s="8"/>
      <c r="C232" s="113"/>
      <c r="D232" s="524"/>
      <c r="E232" s="55"/>
      <c r="F232" s="55"/>
      <c r="G232" s="45"/>
      <c r="H232" s="55"/>
      <c r="I232" s="60"/>
      <c r="K232" s="8"/>
      <c r="M232" s="487">
        <v>1.6</v>
      </c>
      <c r="N232" s="478">
        <v>1.22</v>
      </c>
      <c r="O232" s="479">
        <v>1.48</v>
      </c>
      <c r="P232" s="480">
        <v>1.75</v>
      </c>
      <c r="Q232" s="480">
        <v>2.05</v>
      </c>
      <c r="R232" s="480">
        <v>2.36</v>
      </c>
      <c r="S232" s="480">
        <v>2.7</v>
      </c>
      <c r="T232" s="480">
        <v>3.06</v>
      </c>
      <c r="U232" s="480">
        <v>3.44</v>
      </c>
      <c r="V232" s="480">
        <v>3.84</v>
      </c>
      <c r="W232" s="480">
        <v>4.26</v>
      </c>
      <c r="X232" s="480">
        <v>4.7</v>
      </c>
      <c r="Y232" s="480">
        <v>5.6</v>
      </c>
      <c r="Z232" s="481">
        <v>6.52</v>
      </c>
      <c r="AA232" s="480">
        <v>7.44</v>
      </c>
      <c r="AB232" s="480">
        <v>8.35</v>
      </c>
      <c r="AC232" s="482">
        <v>9.26</v>
      </c>
      <c r="AF232" s="405" t="s">
        <v>925</v>
      </c>
      <c r="AG232" s="406">
        <v>10.3</v>
      </c>
      <c r="AH232" s="407">
        <v>12.5</v>
      </c>
      <c r="AI232" s="408">
        <v>0.3</v>
      </c>
      <c r="AJ232" s="409">
        <v>6.56</v>
      </c>
      <c r="AK232" s="408">
        <v>0.52</v>
      </c>
      <c r="AL232" s="412">
        <v>0.82</v>
      </c>
      <c r="AN232" s="50"/>
      <c r="AO232" s="100"/>
    </row>
    <row r="233" spans="1:41" ht="12.75">
      <c r="A233" s="273"/>
      <c r="B233" s="8"/>
      <c r="C233" s="121"/>
      <c r="D233" s="82"/>
      <c r="E233" s="55"/>
      <c r="F233" s="55"/>
      <c r="G233" s="45"/>
      <c r="H233" s="45"/>
      <c r="I233" s="60"/>
      <c r="K233" s="8"/>
      <c r="M233" s="487">
        <v>1.8</v>
      </c>
      <c r="N233" s="478">
        <v>1.13</v>
      </c>
      <c r="O233" s="324">
        <v>1.37</v>
      </c>
      <c r="P233" s="480">
        <v>1.63</v>
      </c>
      <c r="Q233" s="480">
        <v>1.91</v>
      </c>
      <c r="R233" s="480">
        <v>2.22</v>
      </c>
      <c r="S233" s="480">
        <v>2.54</v>
      </c>
      <c r="T233" s="480">
        <v>2.89</v>
      </c>
      <c r="U233" s="480">
        <v>3.25</v>
      </c>
      <c r="V233" s="480">
        <v>3.63</v>
      </c>
      <c r="W233" s="480">
        <v>4.04</v>
      </c>
      <c r="X233" s="480">
        <v>4.46</v>
      </c>
      <c r="Y233" s="480">
        <v>5.34</v>
      </c>
      <c r="Z233" s="481">
        <v>6.24</v>
      </c>
      <c r="AA233" s="480">
        <v>7.17</v>
      </c>
      <c r="AB233" s="480">
        <v>8.09</v>
      </c>
      <c r="AC233" s="321">
        <v>9.01</v>
      </c>
      <c r="AF233" s="405" t="s">
        <v>926</v>
      </c>
      <c r="AG233" s="413">
        <v>8.79</v>
      </c>
      <c r="AH233" s="407">
        <v>12.3</v>
      </c>
      <c r="AI233" s="408">
        <v>0.26</v>
      </c>
      <c r="AJ233" s="409">
        <v>6.52</v>
      </c>
      <c r="AK233" s="408">
        <v>0.44</v>
      </c>
      <c r="AL233" s="412">
        <v>0.74</v>
      </c>
      <c r="AN233" s="50"/>
      <c r="AO233" s="100"/>
    </row>
    <row r="234" spans="1:41" ht="12.75">
      <c r="A234" s="272"/>
      <c r="B234" s="3"/>
      <c r="C234" s="113"/>
      <c r="D234" s="55"/>
      <c r="E234" s="55"/>
      <c r="F234" s="55"/>
      <c r="G234" s="45"/>
      <c r="H234" s="45"/>
      <c r="I234" s="60"/>
      <c r="K234" s="8"/>
      <c r="M234" s="487">
        <v>2</v>
      </c>
      <c r="N234" s="478">
        <v>1.05</v>
      </c>
      <c r="O234" s="488">
        <v>1.27</v>
      </c>
      <c r="P234" s="489">
        <v>1.52</v>
      </c>
      <c r="Q234" s="489">
        <v>1.79</v>
      </c>
      <c r="R234" s="489">
        <v>2.08</v>
      </c>
      <c r="S234" s="489">
        <v>2.4</v>
      </c>
      <c r="T234" s="489">
        <v>2.73</v>
      </c>
      <c r="U234" s="489">
        <v>3.07</v>
      </c>
      <c r="V234" s="489">
        <v>3.44</v>
      </c>
      <c r="W234" s="489">
        <v>3.84</v>
      </c>
      <c r="X234" s="489">
        <v>4.24</v>
      </c>
      <c r="Y234" s="489">
        <v>5.09</v>
      </c>
      <c r="Z234" s="490">
        <v>5.99</v>
      </c>
      <c r="AA234" s="489">
        <v>6.9</v>
      </c>
      <c r="AB234" s="489">
        <v>7.81</v>
      </c>
      <c r="AC234" s="491">
        <v>8.73</v>
      </c>
      <c r="AF234" s="405" t="s">
        <v>927</v>
      </c>
      <c r="AG234" s="413">
        <v>7.65</v>
      </c>
      <c r="AH234" s="407">
        <v>12.2</v>
      </c>
      <c r="AI234" s="408">
        <v>0.23</v>
      </c>
      <c r="AJ234" s="409">
        <v>6.49</v>
      </c>
      <c r="AK234" s="408">
        <v>0.38</v>
      </c>
      <c r="AL234" s="412">
        <v>0.68</v>
      </c>
      <c r="AN234" s="50"/>
      <c r="AO234" s="100"/>
    </row>
    <row r="235" spans="1:41" ht="12.75">
      <c r="A235" s="55"/>
      <c r="B235" s="45"/>
      <c r="C235" s="121"/>
      <c r="D235" s="55"/>
      <c r="E235" s="55"/>
      <c r="F235" s="55"/>
      <c r="G235" s="45"/>
      <c r="H235" s="80"/>
      <c r="I235" s="60"/>
      <c r="K235" s="6"/>
      <c r="M235" s="487">
        <v>2.2</v>
      </c>
      <c r="N235" s="492">
        <v>0.973</v>
      </c>
      <c r="O235" s="479">
        <v>1.19</v>
      </c>
      <c r="P235" s="480">
        <v>1.43</v>
      </c>
      <c r="Q235" s="480">
        <v>1.68</v>
      </c>
      <c r="R235" s="480">
        <v>1.96</v>
      </c>
      <c r="S235" s="480">
        <v>2.26</v>
      </c>
      <c r="T235" s="480">
        <v>2.58</v>
      </c>
      <c r="U235" s="480">
        <v>2.92</v>
      </c>
      <c r="V235" s="320">
        <v>3.27</v>
      </c>
      <c r="W235" s="480">
        <v>3.65</v>
      </c>
      <c r="X235" s="320">
        <v>4.04</v>
      </c>
      <c r="Y235" s="480">
        <v>4.86</v>
      </c>
      <c r="Z235" s="480">
        <v>5.74</v>
      </c>
      <c r="AA235" s="480">
        <v>6.62</v>
      </c>
      <c r="AB235" s="480">
        <v>7.53</v>
      </c>
      <c r="AC235" s="482">
        <v>8.44</v>
      </c>
      <c r="AF235" s="405" t="s">
        <v>928</v>
      </c>
      <c r="AG235" s="413">
        <v>6.48</v>
      </c>
      <c r="AH235" s="407">
        <v>12.3</v>
      </c>
      <c r="AI235" s="408">
        <v>0.26</v>
      </c>
      <c r="AJ235" s="409">
        <v>4.03</v>
      </c>
      <c r="AK235" s="408">
        <v>0.425</v>
      </c>
      <c r="AL235" s="412">
        <v>0.725</v>
      </c>
      <c r="AN235" s="50"/>
      <c r="AO235" s="100"/>
    </row>
    <row r="236" spans="1:41" ht="12.75">
      <c r="A236" s="10"/>
      <c r="B236" s="10"/>
      <c r="C236" s="10"/>
      <c r="D236" s="10"/>
      <c r="E236" s="10"/>
      <c r="F236" s="10"/>
      <c r="G236" s="10"/>
      <c r="H236" s="10"/>
      <c r="I236" s="60"/>
      <c r="K236" s="8"/>
      <c r="M236" s="487">
        <v>2.4</v>
      </c>
      <c r="N236" s="478">
        <v>0.911</v>
      </c>
      <c r="O236" s="493">
        <v>1.12</v>
      </c>
      <c r="P236" s="494">
        <v>1.34</v>
      </c>
      <c r="Q236" s="326">
        <v>1.59</v>
      </c>
      <c r="R236" s="494">
        <v>1.86</v>
      </c>
      <c r="S236" s="494">
        <v>2.14</v>
      </c>
      <c r="T236" s="494">
        <v>2.45</v>
      </c>
      <c r="U236" s="494">
        <v>2.77</v>
      </c>
      <c r="V236" s="495">
        <v>3.11</v>
      </c>
      <c r="W236" s="494">
        <v>3.47</v>
      </c>
      <c r="X236" s="494">
        <v>3.85</v>
      </c>
      <c r="Y236" s="495">
        <v>4.65</v>
      </c>
      <c r="Z236" s="496">
        <v>5.49</v>
      </c>
      <c r="AA236" s="494">
        <v>6.35</v>
      </c>
      <c r="AB236" s="494">
        <v>7.24</v>
      </c>
      <c r="AC236" s="497">
        <v>8.15</v>
      </c>
      <c r="AF236" s="405" t="s">
        <v>929</v>
      </c>
      <c r="AG236" s="413">
        <v>5.57</v>
      </c>
      <c r="AH236" s="407">
        <v>12.2</v>
      </c>
      <c r="AI236" s="408">
        <v>0.235</v>
      </c>
      <c r="AJ236" s="409">
        <v>4.01</v>
      </c>
      <c r="AK236" s="408">
        <v>0.35</v>
      </c>
      <c r="AL236" s="412">
        <v>0.65</v>
      </c>
      <c r="AN236" s="50"/>
      <c r="AO236" s="100"/>
    </row>
    <row r="237" spans="1:41" ht="12.75">
      <c r="A237" s="52"/>
      <c r="B237" s="45"/>
      <c r="C237" s="121"/>
      <c r="D237" s="52"/>
      <c r="E237" s="55"/>
      <c r="F237" s="45"/>
      <c r="G237" s="45"/>
      <c r="H237" s="45"/>
      <c r="I237" s="60"/>
      <c r="K237" s="8"/>
      <c r="M237" s="487">
        <v>2.6</v>
      </c>
      <c r="N237" s="478">
        <v>0.855</v>
      </c>
      <c r="O237" s="324">
        <v>1.05</v>
      </c>
      <c r="P237" s="480">
        <v>1.27</v>
      </c>
      <c r="Q237" s="480">
        <v>1.5</v>
      </c>
      <c r="R237" s="480">
        <v>1.76</v>
      </c>
      <c r="S237" s="480">
        <v>2.03</v>
      </c>
      <c r="T237" s="480">
        <v>2.33</v>
      </c>
      <c r="U237" s="319">
        <v>2.64</v>
      </c>
      <c r="V237" s="480">
        <v>2.96</v>
      </c>
      <c r="W237" s="480">
        <v>3.31</v>
      </c>
      <c r="X237" s="480">
        <v>3.67</v>
      </c>
      <c r="Y237" s="480">
        <v>4.45</v>
      </c>
      <c r="Z237" s="485">
        <v>5.26</v>
      </c>
      <c r="AA237" s="480">
        <v>6.1</v>
      </c>
      <c r="AB237" s="480">
        <v>6.97</v>
      </c>
      <c r="AC237" s="482">
        <v>7.87</v>
      </c>
      <c r="AF237" s="405" t="s">
        <v>930</v>
      </c>
      <c r="AG237" s="413">
        <v>4.71</v>
      </c>
      <c r="AH237" s="407">
        <v>12</v>
      </c>
      <c r="AI237" s="408">
        <v>0.22</v>
      </c>
      <c r="AJ237" s="409">
        <v>3.99</v>
      </c>
      <c r="AK237" s="408">
        <v>0.265</v>
      </c>
      <c r="AL237" s="412">
        <v>0.565</v>
      </c>
      <c r="AN237" s="50"/>
      <c r="AO237" s="100"/>
    </row>
    <row r="238" spans="1:41" ht="12.75">
      <c r="A238" s="58"/>
      <c r="B238" s="3"/>
      <c r="C238" s="113"/>
      <c r="D238" s="5"/>
      <c r="E238" s="55"/>
      <c r="F238" s="45"/>
      <c r="G238" s="45"/>
      <c r="H238" s="59"/>
      <c r="I238" s="60"/>
      <c r="K238" s="8"/>
      <c r="M238" s="487">
        <v>2.8</v>
      </c>
      <c r="N238" s="478">
        <v>0.805</v>
      </c>
      <c r="O238" s="479">
        <v>0.992</v>
      </c>
      <c r="P238" s="480">
        <v>1.2</v>
      </c>
      <c r="Q238" s="480">
        <v>1.42</v>
      </c>
      <c r="R238" s="480">
        <v>1.67</v>
      </c>
      <c r="S238" s="480">
        <v>1.93</v>
      </c>
      <c r="T238" s="480">
        <v>2.22</v>
      </c>
      <c r="U238" s="480">
        <v>2.51</v>
      </c>
      <c r="V238" s="480">
        <v>2.83</v>
      </c>
      <c r="W238" s="480">
        <v>3.16</v>
      </c>
      <c r="X238" s="480">
        <v>3.51</v>
      </c>
      <c r="Y238" s="480">
        <v>4.27</v>
      </c>
      <c r="Z238" s="481">
        <v>5.04</v>
      </c>
      <c r="AA238" s="320">
        <v>5.86</v>
      </c>
      <c r="AB238" s="480">
        <v>6.71</v>
      </c>
      <c r="AC238" s="482">
        <v>7.6</v>
      </c>
      <c r="AF238" s="405" t="s">
        <v>931</v>
      </c>
      <c r="AG238" s="413">
        <v>4.16</v>
      </c>
      <c r="AH238" s="407">
        <v>11.9</v>
      </c>
      <c r="AI238" s="408">
        <v>0.2</v>
      </c>
      <c r="AJ238" s="409">
        <v>3.97</v>
      </c>
      <c r="AK238" s="408">
        <v>0.225</v>
      </c>
      <c r="AL238" s="412">
        <v>0.525</v>
      </c>
      <c r="AN238" s="50"/>
      <c r="AO238" s="100"/>
    </row>
    <row r="239" spans="1:41" ht="12.75">
      <c r="A239" s="10"/>
      <c r="B239" s="10"/>
      <c r="C239" s="10"/>
      <c r="D239" s="10"/>
      <c r="E239" s="10"/>
      <c r="F239" s="10"/>
      <c r="G239" s="10"/>
      <c r="H239" s="10"/>
      <c r="I239" s="60"/>
      <c r="K239" s="8"/>
      <c r="M239" s="498">
        <v>3</v>
      </c>
      <c r="N239" s="499">
        <v>0.76</v>
      </c>
      <c r="O239" s="500">
        <v>0.939</v>
      </c>
      <c r="P239" s="501">
        <v>1.13</v>
      </c>
      <c r="Q239" s="501">
        <v>1.35</v>
      </c>
      <c r="R239" s="322">
        <v>1.59</v>
      </c>
      <c r="S239" s="501">
        <v>1.84</v>
      </c>
      <c r="T239" s="501">
        <v>2.11</v>
      </c>
      <c r="U239" s="501">
        <v>2.4</v>
      </c>
      <c r="V239" s="501">
        <v>2.71</v>
      </c>
      <c r="W239" s="501">
        <v>3.03</v>
      </c>
      <c r="X239" s="501">
        <v>3.36</v>
      </c>
      <c r="Y239" s="501">
        <v>4.09</v>
      </c>
      <c r="Z239" s="502">
        <v>4.84</v>
      </c>
      <c r="AA239" s="501">
        <v>5.63</v>
      </c>
      <c r="AB239" s="501">
        <v>6.47</v>
      </c>
      <c r="AC239" s="503">
        <v>7.34</v>
      </c>
      <c r="AF239" s="405" t="s">
        <v>932</v>
      </c>
      <c r="AG239" s="406">
        <v>32.9</v>
      </c>
      <c r="AH239" s="407">
        <v>11.4</v>
      </c>
      <c r="AI239" s="408">
        <v>0.755</v>
      </c>
      <c r="AJ239" s="407">
        <v>10.4</v>
      </c>
      <c r="AK239" s="409">
        <v>1.25</v>
      </c>
      <c r="AL239" s="410">
        <v>1.75</v>
      </c>
      <c r="AN239" s="50"/>
      <c r="AO239" s="100"/>
    </row>
    <row r="240" spans="11:41" ht="12.75">
      <c r="K240" s="3"/>
      <c r="M240" s="504" t="s">
        <v>526</v>
      </c>
      <c r="N240" s="505">
        <v>0</v>
      </c>
      <c r="O240" s="325">
        <v>0.008</v>
      </c>
      <c r="P240" s="322">
        <v>0.029</v>
      </c>
      <c r="Q240" s="322">
        <v>0.056</v>
      </c>
      <c r="R240" s="322">
        <v>0.089</v>
      </c>
      <c r="S240" s="322">
        <v>0.125</v>
      </c>
      <c r="T240" s="322">
        <v>0.164</v>
      </c>
      <c r="U240" s="322">
        <v>0.204</v>
      </c>
      <c r="V240" s="322">
        <v>0.246</v>
      </c>
      <c r="W240" s="322">
        <v>0.289</v>
      </c>
      <c r="X240" s="322">
        <v>0.333</v>
      </c>
      <c r="Y240" s="322">
        <v>0.424</v>
      </c>
      <c r="Z240" s="506">
        <v>0.516</v>
      </c>
      <c r="AA240" s="322">
        <v>0.61</v>
      </c>
      <c r="AB240" s="322">
        <v>0.704</v>
      </c>
      <c r="AC240" s="323">
        <v>0.8</v>
      </c>
      <c r="AF240" s="405" t="s">
        <v>933</v>
      </c>
      <c r="AG240" s="406">
        <v>29.4</v>
      </c>
      <c r="AH240" s="407">
        <v>11.1</v>
      </c>
      <c r="AI240" s="408">
        <v>0.68</v>
      </c>
      <c r="AJ240" s="407">
        <v>10.3</v>
      </c>
      <c r="AK240" s="409">
        <v>1.12</v>
      </c>
      <c r="AL240" s="410">
        <v>1.62</v>
      </c>
      <c r="AN240" s="50"/>
      <c r="AO240" s="100"/>
    </row>
    <row r="241" spans="32:38" ht="12.75">
      <c r="AF241" s="405" t="s">
        <v>934</v>
      </c>
      <c r="AG241" s="406">
        <v>25.9</v>
      </c>
      <c r="AH241" s="407">
        <v>10.8</v>
      </c>
      <c r="AI241" s="408">
        <v>0.605</v>
      </c>
      <c r="AJ241" s="407">
        <v>10.3</v>
      </c>
      <c r="AK241" s="408">
        <v>0.99</v>
      </c>
      <c r="AL241" s="410">
        <v>1.49</v>
      </c>
    </row>
    <row r="242" spans="13:41" ht="12.75">
      <c r="M242" s="29" t="s">
        <v>613</v>
      </c>
      <c r="O242" s="34"/>
      <c r="AF242" s="405" t="s">
        <v>935</v>
      </c>
      <c r="AG242" s="406">
        <v>22.6</v>
      </c>
      <c r="AH242" s="407">
        <v>10.6</v>
      </c>
      <c r="AI242" s="408">
        <v>0.53</v>
      </c>
      <c r="AJ242" s="407">
        <v>10.2</v>
      </c>
      <c r="AK242" s="408">
        <v>0.87</v>
      </c>
      <c r="AL242" s="410">
        <v>1.37</v>
      </c>
      <c r="AO242" s="100"/>
    </row>
    <row r="243" spans="13:38" ht="12.75">
      <c r="M243" s="33" t="s">
        <v>75</v>
      </c>
      <c r="N243" s="39">
        <f>2*$D$26*$D$22</f>
        <v>9</v>
      </c>
      <c r="O243" s="31" t="s">
        <v>243</v>
      </c>
      <c r="P243" s="48" t="s">
        <v>603</v>
      </c>
      <c r="W243" s="48"/>
      <c r="AF243" s="405" t="s">
        <v>936</v>
      </c>
      <c r="AG243" s="406">
        <v>20</v>
      </c>
      <c r="AH243" s="407">
        <v>10.4</v>
      </c>
      <c r="AI243" s="408">
        <v>0.47</v>
      </c>
      <c r="AJ243" s="407">
        <v>10.1</v>
      </c>
      <c r="AK243" s="408">
        <v>0.77</v>
      </c>
      <c r="AL243" s="410">
        <v>1.27</v>
      </c>
    </row>
    <row r="244" spans="13:38" ht="12.75">
      <c r="M244" s="33" t="s">
        <v>252</v>
      </c>
      <c r="N244" s="41">
        <f>(1/1.5)*0.6*$D$23*$N$243</f>
        <v>129.6</v>
      </c>
      <c r="O244" s="31" t="s">
        <v>237</v>
      </c>
      <c r="P244" s="29" t="s">
        <v>599</v>
      </c>
      <c r="AF244" s="405" t="s">
        <v>937</v>
      </c>
      <c r="AG244" s="406">
        <v>17.6</v>
      </c>
      <c r="AH244" s="407">
        <v>10.2</v>
      </c>
      <c r="AI244" s="408">
        <v>0.42</v>
      </c>
      <c r="AJ244" s="407">
        <v>10.1</v>
      </c>
      <c r="AK244" s="408">
        <v>0.68</v>
      </c>
      <c r="AL244" s="410">
        <v>1.18</v>
      </c>
    </row>
    <row r="245" spans="13:38" ht="12.75">
      <c r="M245" s="29" t="s">
        <v>614</v>
      </c>
      <c r="N245" s="57"/>
      <c r="AF245" s="405" t="s">
        <v>938</v>
      </c>
      <c r="AG245" s="406">
        <v>15.8</v>
      </c>
      <c r="AH245" s="407">
        <v>10.1</v>
      </c>
      <c r="AI245" s="408">
        <v>0.37</v>
      </c>
      <c r="AJ245" s="407">
        <v>10</v>
      </c>
      <c r="AK245" s="408">
        <v>0.615</v>
      </c>
      <c r="AL245" s="410">
        <v>1.12</v>
      </c>
    </row>
    <row r="246" spans="13:38" ht="12.75">
      <c r="M246" s="50" t="s">
        <v>253</v>
      </c>
      <c r="N246" s="43">
        <f>$N$243</f>
        <v>9</v>
      </c>
      <c r="O246" s="38" t="s">
        <v>243</v>
      </c>
      <c r="P246" s="31" t="s">
        <v>604</v>
      </c>
      <c r="W246" s="31"/>
      <c r="AF246" s="405" t="s">
        <v>939</v>
      </c>
      <c r="AG246" s="406">
        <v>14.4</v>
      </c>
      <c r="AH246" s="407">
        <v>10</v>
      </c>
      <c r="AI246" s="408">
        <v>0.34</v>
      </c>
      <c r="AJ246" s="407">
        <v>10</v>
      </c>
      <c r="AK246" s="408">
        <v>0.56</v>
      </c>
      <c r="AL246" s="410">
        <v>1.06</v>
      </c>
    </row>
    <row r="247" spans="13:38" ht="12.75">
      <c r="M247" s="33" t="s">
        <v>254</v>
      </c>
      <c r="N247" s="41">
        <f>(1/2)*0.6*$N$5*$N$246</f>
        <v>156.6</v>
      </c>
      <c r="O247" s="31" t="s">
        <v>237</v>
      </c>
      <c r="P247" s="29" t="s">
        <v>600</v>
      </c>
      <c r="AF247" s="405" t="s">
        <v>940</v>
      </c>
      <c r="AG247" s="406">
        <v>13.3</v>
      </c>
      <c r="AH247" s="407">
        <v>10.1</v>
      </c>
      <c r="AI247" s="408">
        <v>0.35</v>
      </c>
      <c r="AJ247" s="409">
        <v>8.02</v>
      </c>
      <c r="AK247" s="408">
        <v>0.62</v>
      </c>
      <c r="AL247" s="410">
        <v>1.12</v>
      </c>
    </row>
    <row r="248" spans="13:38" ht="12.75">
      <c r="M248" s="48" t="s">
        <v>17</v>
      </c>
      <c r="N248" s="34"/>
      <c r="P248" s="31"/>
      <c r="W248" s="31"/>
      <c r="AF248" s="405" t="s">
        <v>941</v>
      </c>
      <c r="AG248" s="406">
        <v>11.5</v>
      </c>
      <c r="AH248" s="409">
        <v>9.92</v>
      </c>
      <c r="AI248" s="408">
        <v>0.315</v>
      </c>
      <c r="AJ248" s="409">
        <v>7.99</v>
      </c>
      <c r="AK248" s="408">
        <v>0.53</v>
      </c>
      <c r="AL248" s="410">
        <v>1.03</v>
      </c>
    </row>
    <row r="249" spans="13:38" ht="12.75">
      <c r="M249" s="33" t="s">
        <v>35</v>
      </c>
      <c r="N249" s="39">
        <f>2*$D$26*$D$22</f>
        <v>9</v>
      </c>
      <c r="O249" s="31" t="s">
        <v>243</v>
      </c>
      <c r="P249" s="48" t="s">
        <v>609</v>
      </c>
      <c r="W249" s="48"/>
      <c r="AF249" s="405" t="s">
        <v>942</v>
      </c>
      <c r="AG249" s="413">
        <v>9.71</v>
      </c>
      <c r="AH249" s="409">
        <v>9.73</v>
      </c>
      <c r="AI249" s="408">
        <v>0.29</v>
      </c>
      <c r="AJ249" s="409">
        <v>7.96</v>
      </c>
      <c r="AK249" s="408">
        <v>0.435</v>
      </c>
      <c r="AL249" s="412">
        <v>0.935</v>
      </c>
    </row>
    <row r="250" spans="13:38" ht="12.75">
      <c r="M250" s="33" t="s">
        <v>36</v>
      </c>
      <c r="N250" s="41">
        <f>(0.6*$D$23*$N$249)*IF(1-($D$16/$N$244)^2&gt;0,(1-($D$16/$N$244)^2),0.0001)</f>
        <v>175.88148148148144</v>
      </c>
      <c r="O250" s="31" t="s">
        <v>237</v>
      </c>
      <c r="P250" s="31" t="s">
        <v>109</v>
      </c>
      <c r="W250" s="31"/>
      <c r="AF250" s="405" t="s">
        <v>943</v>
      </c>
      <c r="AG250" s="413">
        <v>8.84</v>
      </c>
      <c r="AH250" s="407">
        <v>10.5</v>
      </c>
      <c r="AI250" s="408">
        <v>0.3</v>
      </c>
      <c r="AJ250" s="409">
        <v>5.81</v>
      </c>
      <c r="AK250" s="408">
        <v>0.51</v>
      </c>
      <c r="AL250" s="412">
        <v>0.81</v>
      </c>
    </row>
    <row r="251" spans="13:38" ht="12.75">
      <c r="M251" s="95" t="s">
        <v>334</v>
      </c>
      <c r="O251" s="34"/>
      <c r="R251" s="150" t="s">
        <v>471</v>
      </c>
      <c r="AF251" s="405" t="s">
        <v>944</v>
      </c>
      <c r="AG251" s="413">
        <v>7.61</v>
      </c>
      <c r="AH251" s="407">
        <v>10.3</v>
      </c>
      <c r="AI251" s="408">
        <v>0.26</v>
      </c>
      <c r="AJ251" s="409">
        <v>5.77</v>
      </c>
      <c r="AK251" s="408">
        <v>0.44</v>
      </c>
      <c r="AL251" s="412">
        <v>0.74</v>
      </c>
    </row>
    <row r="252" spans="13:38" ht="12.75">
      <c r="M252" s="29" t="s">
        <v>615</v>
      </c>
      <c r="O252" s="34"/>
      <c r="AF252" s="405" t="s">
        <v>945</v>
      </c>
      <c r="AG252" s="413">
        <v>6.49</v>
      </c>
      <c r="AH252" s="407">
        <v>10.2</v>
      </c>
      <c r="AI252" s="408">
        <v>0.24</v>
      </c>
      <c r="AJ252" s="409">
        <v>5.75</v>
      </c>
      <c r="AK252" s="408">
        <v>0.36</v>
      </c>
      <c r="AL252" s="412">
        <v>0.66</v>
      </c>
    </row>
    <row r="253" spans="13:38" ht="12.75">
      <c r="M253" s="33" t="s">
        <v>106</v>
      </c>
      <c r="N253" s="39" t="str">
        <f>IF(AND($D$29=0,$D$30=0,$D$31=0),"N.A.","N.A.")</f>
        <v>N.A.</v>
      </c>
      <c r="O253" s="34"/>
      <c r="P253" s="31" t="s">
        <v>616</v>
      </c>
      <c r="W253" s="31"/>
      <c r="AF253" s="405" t="s">
        <v>946</v>
      </c>
      <c r="AG253" s="413">
        <v>5.62</v>
      </c>
      <c r="AH253" s="407">
        <v>10.2</v>
      </c>
      <c r="AI253" s="408">
        <v>0.25</v>
      </c>
      <c r="AJ253" s="409">
        <v>4.02</v>
      </c>
      <c r="AK253" s="408">
        <v>0.395</v>
      </c>
      <c r="AL253" s="412">
        <v>0.695</v>
      </c>
    </row>
    <row r="254" spans="13:38" ht="12.75">
      <c r="M254" s="50" t="s">
        <v>75</v>
      </c>
      <c r="N254" s="39" t="str">
        <f>IF(AND($D$29=0,$D$30=0,$D$31=0),$B$45*$B$46,"N.A.")</f>
        <v>N.A.</v>
      </c>
      <c r="O254" s="38" t="s">
        <v>243</v>
      </c>
      <c r="P254" s="31" t="s">
        <v>1083</v>
      </c>
      <c r="W254" s="31"/>
      <c r="AF254" s="405" t="s">
        <v>947</v>
      </c>
      <c r="AG254" s="413">
        <v>4.99</v>
      </c>
      <c r="AH254" s="407">
        <v>10.1</v>
      </c>
      <c r="AI254" s="408">
        <v>0.24</v>
      </c>
      <c r="AJ254" s="409">
        <v>4.01</v>
      </c>
      <c r="AK254" s="408">
        <v>0.33</v>
      </c>
      <c r="AL254" s="412">
        <v>0.63</v>
      </c>
    </row>
    <row r="255" spans="13:38" ht="12.75">
      <c r="M255" s="33" t="s">
        <v>617</v>
      </c>
      <c r="N255" s="61" t="str">
        <f>IF(AND($D$29=0,$D$30=0,$D$31=0),($B$45-2*$B$49)/$B$46,"N.A.")</f>
        <v>N.A.</v>
      </c>
      <c r="O255" s="34"/>
      <c r="P255" s="29" t="s">
        <v>618</v>
      </c>
      <c r="AF255" s="405" t="s">
        <v>948</v>
      </c>
      <c r="AG255" s="413">
        <v>4.41</v>
      </c>
      <c r="AH255" s="407">
        <v>10</v>
      </c>
      <c r="AI255" s="408">
        <v>0.23</v>
      </c>
      <c r="AJ255" s="409">
        <v>4</v>
      </c>
      <c r="AK255" s="408">
        <v>0.27</v>
      </c>
      <c r="AL255" s="412">
        <v>0.57</v>
      </c>
    </row>
    <row r="256" spans="13:38" ht="12.75">
      <c r="M256" s="33" t="s">
        <v>619</v>
      </c>
      <c r="N256" s="114" t="str">
        <f>IF(AND($D$29=0,$D$30=0,$D$31=0),5,"N.A.")</f>
        <v>N.A.</v>
      </c>
      <c r="O256" s="34"/>
      <c r="P256" s="29" t="s">
        <v>620</v>
      </c>
      <c r="AF256" s="405" t="s">
        <v>949</v>
      </c>
      <c r="AG256" s="413">
        <v>3.54</v>
      </c>
      <c r="AH256" s="409">
        <v>9.87</v>
      </c>
      <c r="AI256" s="408">
        <v>0.19</v>
      </c>
      <c r="AJ256" s="409">
        <v>3.96</v>
      </c>
      <c r="AK256" s="408">
        <v>0.21</v>
      </c>
      <c r="AL256" s="412">
        <v>0.51</v>
      </c>
    </row>
    <row r="257" spans="13:38" ht="12.75">
      <c r="M257" s="33" t="s">
        <v>621</v>
      </c>
      <c r="N257" s="41" t="str">
        <f>IF(AND($D$29=0,$D$30=0,$D$31=0),IF($N$255&lt;=2.24*SQRT(29000/$D$12),1,IF($N$255&lt;=1.1*SQRT($N$256*29000/$D$12),1,IF($N$255&gt;1.37*SQRT($N$256*29000/$D$12),(1.51*29000*$N$256)/($N$255^2*$D$12),(1.1*SQRT($N$256*29000/$D$12))/$N$255))),"N.A.")</f>
        <v>N.A.</v>
      </c>
      <c r="O257" s="34"/>
      <c r="P257" s="29" t="s">
        <v>650</v>
      </c>
      <c r="AF257" s="405" t="s">
        <v>950</v>
      </c>
      <c r="AG257" s="406">
        <v>19.7</v>
      </c>
      <c r="AH257" s="409">
        <v>9</v>
      </c>
      <c r="AI257" s="408">
        <v>0.57</v>
      </c>
      <c r="AJ257" s="409">
        <v>8.28</v>
      </c>
      <c r="AK257" s="408">
        <v>0.935</v>
      </c>
      <c r="AL257" s="410">
        <v>1.33</v>
      </c>
    </row>
    <row r="258" spans="13:38" ht="12.75">
      <c r="M258" s="33" t="s">
        <v>252</v>
      </c>
      <c r="N258" s="41" t="str">
        <f>IF(AND($D$29=0,$D$30=0,$D$31=0),(1/1.5)*0.6*$D$12*$N$257*$N$254,"N.A.")</f>
        <v>N.A.</v>
      </c>
      <c r="O258" s="31" t="s">
        <v>237</v>
      </c>
      <c r="P258" s="29" t="s">
        <v>651</v>
      </c>
      <c r="AF258" s="405" t="s">
        <v>951</v>
      </c>
      <c r="AG258" s="406">
        <v>17.1</v>
      </c>
      <c r="AH258" s="409">
        <v>8.75</v>
      </c>
      <c r="AI258" s="408">
        <v>0.51</v>
      </c>
      <c r="AJ258" s="409">
        <v>8.22</v>
      </c>
      <c r="AK258" s="408">
        <v>0.81</v>
      </c>
      <c r="AL258" s="410">
        <v>1.2</v>
      </c>
    </row>
    <row r="259" spans="13:38" ht="12.75">
      <c r="M259" s="29" t="s">
        <v>663</v>
      </c>
      <c r="N259" s="57"/>
      <c r="AF259" s="405" t="s">
        <v>952</v>
      </c>
      <c r="AG259" s="406">
        <v>14.1</v>
      </c>
      <c r="AH259" s="409">
        <v>8.5</v>
      </c>
      <c r="AI259" s="408">
        <v>0.4</v>
      </c>
      <c r="AJ259" s="409">
        <v>8.11</v>
      </c>
      <c r="AK259" s="408">
        <v>0.685</v>
      </c>
      <c r="AL259" s="410">
        <v>1.08</v>
      </c>
    </row>
    <row r="260" spans="13:38" ht="12.75">
      <c r="M260" s="50" t="s">
        <v>253</v>
      </c>
      <c r="N260" s="43" t="str">
        <f>"N.A."</f>
        <v>N.A.</v>
      </c>
      <c r="O260" s="38" t="s">
        <v>243</v>
      </c>
      <c r="P260" s="31" t="s">
        <v>1254</v>
      </c>
      <c r="W260" s="31"/>
      <c r="AF260" s="405" t="s">
        <v>953</v>
      </c>
      <c r="AG260" s="406">
        <v>11.7</v>
      </c>
      <c r="AH260" s="409">
        <v>8.25</v>
      </c>
      <c r="AI260" s="408">
        <v>0.36</v>
      </c>
      <c r="AJ260" s="409">
        <v>8.07</v>
      </c>
      <c r="AK260" s="408">
        <v>0.56</v>
      </c>
      <c r="AL260" s="412">
        <v>0.954</v>
      </c>
    </row>
    <row r="261" spans="13:38" ht="12.75">
      <c r="M261" s="33" t="s">
        <v>254</v>
      </c>
      <c r="N261" s="41" t="str">
        <f>IF(AND($D$29=0,$D$30=0,$D$31=0),"N.A.","N.A.")</f>
        <v>N.A.</v>
      </c>
      <c r="O261" s="31" t="s">
        <v>237</v>
      </c>
      <c r="P261" s="29" t="s">
        <v>664</v>
      </c>
      <c r="AF261" s="405" t="s">
        <v>954</v>
      </c>
      <c r="AG261" s="406">
        <v>10.3</v>
      </c>
      <c r="AH261" s="409">
        <v>8.12</v>
      </c>
      <c r="AI261" s="408">
        <v>0.31</v>
      </c>
      <c r="AJ261" s="409">
        <v>8.02</v>
      </c>
      <c r="AK261" s="408">
        <v>0.495</v>
      </c>
      <c r="AL261" s="412">
        <v>0.889</v>
      </c>
    </row>
    <row r="262" spans="13:38" ht="12.75">
      <c r="M262" s="57" t="s">
        <v>34</v>
      </c>
      <c r="O262" s="34"/>
      <c r="AF262" s="405" t="s">
        <v>955</v>
      </c>
      <c r="AG262" s="413">
        <v>9.12</v>
      </c>
      <c r="AH262" s="409">
        <v>8</v>
      </c>
      <c r="AI262" s="408">
        <v>0.285</v>
      </c>
      <c r="AJ262" s="409">
        <v>8</v>
      </c>
      <c r="AK262" s="408">
        <v>0.435</v>
      </c>
      <c r="AL262" s="412">
        <v>0.829</v>
      </c>
    </row>
    <row r="263" spans="13:38" ht="12.75">
      <c r="M263" s="50" t="s">
        <v>35</v>
      </c>
      <c r="N263" s="43" t="str">
        <f>IF(AND($D$29=0,$D$30=0,$D$31=0),$B$44,"N.A.")</f>
        <v>N.A.</v>
      </c>
      <c r="O263" s="38" t="s">
        <v>243</v>
      </c>
      <c r="P263" s="48" t="s">
        <v>37</v>
      </c>
      <c r="W263" s="48"/>
      <c r="AF263" s="405" t="s">
        <v>956</v>
      </c>
      <c r="AG263" s="413">
        <v>8.24</v>
      </c>
      <c r="AH263" s="409">
        <v>8.06</v>
      </c>
      <c r="AI263" s="408">
        <v>0.285</v>
      </c>
      <c r="AJ263" s="409">
        <v>6.54</v>
      </c>
      <c r="AK263" s="408">
        <v>0.465</v>
      </c>
      <c r="AL263" s="412">
        <v>0.859</v>
      </c>
    </row>
    <row r="264" spans="13:38" ht="12.75">
      <c r="M264" s="50" t="s">
        <v>36</v>
      </c>
      <c r="N264" s="61" t="str">
        <f>IF(AND($D$29=0,$D$30=0,$D$31=0),(0.6*$D$12*$N$263)*IF(1-($D$16/$N$258)^2&gt;0,(1-($D$16/$N$258)^2),0.0001),"N.A.")</f>
        <v>N.A.</v>
      </c>
      <c r="O264" s="38" t="s">
        <v>237</v>
      </c>
      <c r="P264" s="38" t="s">
        <v>110</v>
      </c>
      <c r="W264" s="38"/>
      <c r="AF264" s="405" t="s">
        <v>957</v>
      </c>
      <c r="AG264" s="413">
        <v>7.08</v>
      </c>
      <c r="AH264" s="409">
        <v>7.93</v>
      </c>
      <c r="AI264" s="408">
        <v>0.245</v>
      </c>
      <c r="AJ264" s="409">
        <v>6.5</v>
      </c>
      <c r="AK264" s="408">
        <v>0.4</v>
      </c>
      <c r="AL264" s="412">
        <v>0.794</v>
      </c>
    </row>
    <row r="265" spans="13:38" ht="12.75">
      <c r="M265" s="57" t="s">
        <v>25</v>
      </c>
      <c r="N265" s="57"/>
      <c r="O265" s="84"/>
      <c r="P265" s="57"/>
      <c r="W265" s="57"/>
      <c r="AF265" s="405" t="s">
        <v>958</v>
      </c>
      <c r="AG265" s="413">
        <v>6.16</v>
      </c>
      <c r="AH265" s="409">
        <v>8.28</v>
      </c>
      <c r="AI265" s="408">
        <v>0.25</v>
      </c>
      <c r="AJ265" s="409">
        <v>5.27</v>
      </c>
      <c r="AK265" s="408">
        <v>0.4</v>
      </c>
      <c r="AL265" s="412">
        <v>0.7</v>
      </c>
    </row>
    <row r="266" spans="13:38" ht="12.75">
      <c r="M266" s="50" t="s">
        <v>601</v>
      </c>
      <c r="N266" s="43" t="str">
        <f>"N.A."</f>
        <v>N.A.</v>
      </c>
      <c r="O266" s="38" t="s">
        <v>243</v>
      </c>
      <c r="P266" s="38" t="s">
        <v>665</v>
      </c>
      <c r="W266" s="38"/>
      <c r="AF266" s="405" t="s">
        <v>959</v>
      </c>
      <c r="AG266" s="413">
        <v>5.26</v>
      </c>
      <c r="AH266" s="409">
        <v>8.14</v>
      </c>
      <c r="AI266" s="408">
        <v>0.23</v>
      </c>
      <c r="AJ266" s="409">
        <v>5.25</v>
      </c>
      <c r="AK266" s="408">
        <v>0.33</v>
      </c>
      <c r="AL266" s="412">
        <v>0.63</v>
      </c>
    </row>
    <row r="267" spans="13:38" ht="12.75">
      <c r="M267" s="50" t="s">
        <v>602</v>
      </c>
      <c r="N267" s="43" t="str">
        <f>"N.A."</f>
        <v>N.A.</v>
      </c>
      <c r="O267" s="38" t="s">
        <v>243</v>
      </c>
      <c r="P267" s="38" t="s">
        <v>666</v>
      </c>
      <c r="W267" s="38"/>
      <c r="AF267" s="405" t="s">
        <v>960</v>
      </c>
      <c r="AG267" s="413">
        <v>4.44</v>
      </c>
      <c r="AH267" s="409">
        <v>8.11</v>
      </c>
      <c r="AI267" s="408">
        <v>0.245</v>
      </c>
      <c r="AJ267" s="409">
        <v>4.01</v>
      </c>
      <c r="AK267" s="408">
        <v>0.315</v>
      </c>
      <c r="AL267" s="412">
        <v>0.615</v>
      </c>
    </row>
    <row r="268" spans="13:38" ht="12.75">
      <c r="M268" s="50" t="s">
        <v>220</v>
      </c>
      <c r="N268" s="43" t="str">
        <f>"N.A."</f>
        <v>N.A.</v>
      </c>
      <c r="O268" s="38" t="s">
        <v>237</v>
      </c>
      <c r="P268" s="38" t="s">
        <v>26</v>
      </c>
      <c r="W268" s="38"/>
      <c r="AF268" s="405" t="s">
        <v>961</v>
      </c>
      <c r="AG268" s="413">
        <v>3.84</v>
      </c>
      <c r="AH268" s="409">
        <v>7.99</v>
      </c>
      <c r="AI268" s="408">
        <v>0.23</v>
      </c>
      <c r="AJ268" s="409">
        <v>4</v>
      </c>
      <c r="AK268" s="408">
        <v>0.255</v>
      </c>
      <c r="AL268" s="412">
        <v>0.555</v>
      </c>
    </row>
    <row r="269" spans="13:38" ht="12.75">
      <c r="M269" s="57" t="s">
        <v>248</v>
      </c>
      <c r="N269" s="398"/>
      <c r="O269" s="35"/>
      <c r="P269" s="398"/>
      <c r="W269" s="398"/>
      <c r="AF269" s="405" t="s">
        <v>962</v>
      </c>
      <c r="AG269" s="413">
        <v>2.96</v>
      </c>
      <c r="AH269" s="409">
        <v>7.89</v>
      </c>
      <c r="AI269" s="408">
        <v>0.17</v>
      </c>
      <c r="AJ269" s="409">
        <v>3.94</v>
      </c>
      <c r="AK269" s="408">
        <v>0.205</v>
      </c>
      <c r="AL269" s="412">
        <v>0.505</v>
      </c>
    </row>
    <row r="270" spans="13:38" ht="12.75">
      <c r="M270" s="50" t="s">
        <v>601</v>
      </c>
      <c r="N270" s="43" t="str">
        <f>"N.A."</f>
        <v>N.A.</v>
      </c>
      <c r="O270" s="38" t="s">
        <v>498</v>
      </c>
      <c r="P270" s="38" t="s">
        <v>665</v>
      </c>
      <c r="W270" s="38"/>
      <c r="AF270" s="405" t="s">
        <v>963</v>
      </c>
      <c r="AG270" s="413">
        <v>7.34</v>
      </c>
      <c r="AH270" s="409">
        <v>6.38</v>
      </c>
      <c r="AI270" s="408">
        <v>0.32</v>
      </c>
      <c r="AJ270" s="409">
        <v>6.08</v>
      </c>
      <c r="AK270" s="408">
        <v>0.455</v>
      </c>
      <c r="AL270" s="412">
        <v>0.705</v>
      </c>
    </row>
    <row r="271" spans="13:38" ht="12.75">
      <c r="M271" s="50" t="s">
        <v>602</v>
      </c>
      <c r="N271" s="43" t="str">
        <f>"N.A."</f>
        <v>N.A.</v>
      </c>
      <c r="O271" s="38" t="s">
        <v>243</v>
      </c>
      <c r="P271" s="38" t="s">
        <v>666</v>
      </c>
      <c r="W271" s="38"/>
      <c r="AF271" s="405" t="s">
        <v>964</v>
      </c>
      <c r="AG271" s="413">
        <v>5.87</v>
      </c>
      <c r="AH271" s="409">
        <v>6.2</v>
      </c>
      <c r="AI271" s="408">
        <v>0.26</v>
      </c>
      <c r="AJ271" s="409">
        <v>6.02</v>
      </c>
      <c r="AK271" s="408">
        <v>0.365</v>
      </c>
      <c r="AL271" s="412">
        <v>0.615</v>
      </c>
    </row>
    <row r="272" spans="13:38" ht="12.75">
      <c r="M272" s="50" t="s">
        <v>426</v>
      </c>
      <c r="N272" s="43" t="str">
        <f>"N.A."</f>
        <v>N.A.</v>
      </c>
      <c r="O272" s="38" t="s">
        <v>237</v>
      </c>
      <c r="P272" s="38" t="s">
        <v>249</v>
      </c>
      <c r="W272" s="38"/>
      <c r="AF272" s="405" t="s">
        <v>965</v>
      </c>
      <c r="AG272" s="413">
        <v>4.43</v>
      </c>
      <c r="AH272" s="409">
        <v>5.99</v>
      </c>
      <c r="AI272" s="408">
        <v>0.23</v>
      </c>
      <c r="AJ272" s="409">
        <v>5.99</v>
      </c>
      <c r="AK272" s="408">
        <v>0.26</v>
      </c>
      <c r="AL272" s="412">
        <v>0.51</v>
      </c>
    </row>
    <row r="273" spans="13:38" ht="12.75">
      <c r="M273" s="57" t="s">
        <v>218</v>
      </c>
      <c r="N273" s="398"/>
      <c r="O273" s="35"/>
      <c r="P273" s="398"/>
      <c r="Q273" s="111"/>
      <c r="W273" s="398"/>
      <c r="AF273" s="405" t="s">
        <v>966</v>
      </c>
      <c r="AG273" s="413">
        <v>4.74</v>
      </c>
      <c r="AH273" s="409">
        <v>6.28</v>
      </c>
      <c r="AI273" s="408">
        <v>0.26</v>
      </c>
      <c r="AJ273" s="409">
        <v>4.03</v>
      </c>
      <c r="AK273" s="408">
        <v>0.405</v>
      </c>
      <c r="AL273" s="412">
        <v>0.655</v>
      </c>
    </row>
    <row r="274" spans="13:38" ht="12.75">
      <c r="M274" s="50" t="s">
        <v>601</v>
      </c>
      <c r="N274" s="43" t="str">
        <f>IF(AND($D$29=0,$D$30=0,$D$31=0),2*(($D$21-$D$28))*$B$46,"N.A.")</f>
        <v>N.A.</v>
      </c>
      <c r="O274" s="38" t="s">
        <v>498</v>
      </c>
      <c r="P274" s="29" t="s">
        <v>516</v>
      </c>
      <c r="AF274" s="405" t="s">
        <v>967</v>
      </c>
      <c r="AG274" s="413">
        <v>3.55</v>
      </c>
      <c r="AH274" s="409">
        <v>6.03</v>
      </c>
      <c r="AI274" s="408">
        <v>0.23</v>
      </c>
      <c r="AJ274" s="409">
        <v>4</v>
      </c>
      <c r="AK274" s="408">
        <v>0.28</v>
      </c>
      <c r="AL274" s="412">
        <v>0.53</v>
      </c>
    </row>
    <row r="275" spans="13:38" ht="12.75">
      <c r="M275" s="50" t="s">
        <v>602</v>
      </c>
      <c r="N275" s="43" t="str">
        <f>IF(AND($D$29=0,$D$30=0,$D$31=0),$D$26*$B$46,"N.A.")</f>
        <v>N.A.</v>
      </c>
      <c r="O275" s="38" t="s">
        <v>243</v>
      </c>
      <c r="P275" s="31" t="s">
        <v>605</v>
      </c>
      <c r="Q275" s="111"/>
      <c r="W275" s="31"/>
      <c r="AF275" s="405" t="s">
        <v>968</v>
      </c>
      <c r="AG275" s="413">
        <v>2.68</v>
      </c>
      <c r="AH275" s="409">
        <v>5.9</v>
      </c>
      <c r="AI275" s="408">
        <v>0.17</v>
      </c>
      <c r="AJ275" s="409">
        <v>3.94</v>
      </c>
      <c r="AK275" s="408">
        <v>0.215</v>
      </c>
      <c r="AL275" s="412">
        <v>0.465</v>
      </c>
    </row>
    <row r="276" spans="13:38" ht="12.75">
      <c r="M276" s="50" t="s">
        <v>426</v>
      </c>
      <c r="N276" s="41" t="str">
        <f>IF($N$275="N.A.","N.A.",0.3*$D$12*$N$274+0.5*$N$6*$N$275)</f>
        <v>N.A.</v>
      </c>
      <c r="O276" s="38" t="s">
        <v>237</v>
      </c>
      <c r="P276" s="31" t="s">
        <v>515</v>
      </c>
      <c r="Q276" s="111"/>
      <c r="W276" s="31"/>
      <c r="AF276" s="405" t="s">
        <v>969</v>
      </c>
      <c r="AG276" s="413">
        <v>2.52</v>
      </c>
      <c r="AH276" s="409">
        <v>5.83</v>
      </c>
      <c r="AI276" s="408">
        <v>0.17</v>
      </c>
      <c r="AJ276" s="409">
        <v>3.94</v>
      </c>
      <c r="AK276" s="408">
        <v>0.195</v>
      </c>
      <c r="AL276" s="412">
        <v>0.445</v>
      </c>
    </row>
    <row r="277" spans="13:38" ht="12.75">
      <c r="M277" s="83" t="s">
        <v>667</v>
      </c>
      <c r="O277" s="34"/>
      <c r="AF277" s="405" t="s">
        <v>970</v>
      </c>
      <c r="AG277" s="413">
        <v>5.56</v>
      </c>
      <c r="AH277" s="409">
        <v>5.15</v>
      </c>
      <c r="AI277" s="408">
        <v>0.27</v>
      </c>
      <c r="AJ277" s="409">
        <v>5.03</v>
      </c>
      <c r="AK277" s="408">
        <v>0.43</v>
      </c>
      <c r="AL277" s="412">
        <v>0.73</v>
      </c>
    </row>
    <row r="278" spans="13:38" ht="12.75">
      <c r="M278" s="83" t="s">
        <v>668</v>
      </c>
      <c r="O278" s="34"/>
      <c r="AF278" s="405" t="s">
        <v>971</v>
      </c>
      <c r="AG278" s="413">
        <v>4.71</v>
      </c>
      <c r="AH278" s="409">
        <v>5.01</v>
      </c>
      <c r="AI278" s="408">
        <v>0.24</v>
      </c>
      <c r="AJ278" s="409">
        <v>5</v>
      </c>
      <c r="AK278" s="408">
        <v>0.36</v>
      </c>
      <c r="AL278" s="412">
        <v>0.66</v>
      </c>
    </row>
    <row r="279" spans="13:38" ht="12.75">
      <c r="M279" s="95" t="s">
        <v>326</v>
      </c>
      <c r="O279" s="34"/>
      <c r="R279" s="150" t="s">
        <v>472</v>
      </c>
      <c r="AF279" s="414" t="s">
        <v>972</v>
      </c>
      <c r="AG279" s="415">
        <v>3.83</v>
      </c>
      <c r="AH279" s="416">
        <v>4.16</v>
      </c>
      <c r="AI279" s="417">
        <v>0.28</v>
      </c>
      <c r="AJ279" s="416">
        <v>4.06</v>
      </c>
      <c r="AK279" s="417">
        <v>0.345</v>
      </c>
      <c r="AL279" s="418">
        <v>0.595</v>
      </c>
    </row>
    <row r="280" spans="13:38" ht="12.75">
      <c r="M280" s="29" t="s">
        <v>669</v>
      </c>
      <c r="O280" s="34"/>
      <c r="AF280" s="419" t="s">
        <v>973</v>
      </c>
      <c r="AG280" s="420">
        <v>3.63</v>
      </c>
      <c r="AH280" s="421">
        <v>12.5</v>
      </c>
      <c r="AI280" s="422">
        <v>0.155</v>
      </c>
      <c r="AJ280" s="423">
        <v>3.75</v>
      </c>
      <c r="AK280" s="422">
        <v>0.228</v>
      </c>
      <c r="AL280" s="424">
        <v>0.563</v>
      </c>
    </row>
    <row r="281" spans="13:38" ht="12.75">
      <c r="M281" s="33" t="s">
        <v>106</v>
      </c>
      <c r="N281" s="43" t="str">
        <f>IF(AND($D$29&gt;0,$D$30&gt;0,$D$30&lt;=0.5*$B$45,$D$31=0),$B$45-$D$30,IF(AND($D$29&gt;0,$D$30&gt;0,$D$31=0,$D$30&gt;0.5*$B$45),"ERROR","N.A."))</f>
        <v>N.A.</v>
      </c>
      <c r="O281" s="31" t="s">
        <v>268</v>
      </c>
      <c r="P281" s="38" t="s">
        <v>265</v>
      </c>
      <c r="W281" s="38"/>
      <c r="AF281" s="405" t="s">
        <v>974</v>
      </c>
      <c r="AG281" s="413">
        <v>3.4</v>
      </c>
      <c r="AH281" s="407">
        <v>12.5</v>
      </c>
      <c r="AI281" s="408">
        <v>0.155</v>
      </c>
      <c r="AJ281" s="409">
        <v>3.5</v>
      </c>
      <c r="AK281" s="408">
        <v>0.211</v>
      </c>
      <c r="AL281" s="425">
        <v>0.563</v>
      </c>
    </row>
    <row r="282" spans="13:38" ht="12.75">
      <c r="M282" s="33" t="s">
        <v>75</v>
      </c>
      <c r="N282" s="84" t="str">
        <f>IF(AND($D$29&gt;0,$D$30&gt;0,$D$30&lt;=0.5*$B$45,$D$31=0),$N$281*$B$46,IF(AND($D$29&gt;0,$D$30&gt;0,$D$31=0,$D$30&gt;0.5*$B$45),"ERROR","N.A."))</f>
        <v>N.A.</v>
      </c>
      <c r="O282" s="38" t="s">
        <v>243</v>
      </c>
      <c r="P282" s="38" t="s">
        <v>1097</v>
      </c>
      <c r="W282" s="38"/>
      <c r="AF282" s="405" t="s">
        <v>975</v>
      </c>
      <c r="AG282" s="413">
        <v>3.47</v>
      </c>
      <c r="AH282" s="407">
        <v>12</v>
      </c>
      <c r="AI282" s="408">
        <v>0.177</v>
      </c>
      <c r="AJ282" s="409">
        <v>3.07</v>
      </c>
      <c r="AK282" s="408">
        <v>0.225</v>
      </c>
      <c r="AL282" s="425">
        <v>0.563</v>
      </c>
    </row>
    <row r="283" spans="13:38" ht="12.75">
      <c r="M283" s="33" t="s">
        <v>617</v>
      </c>
      <c r="N283" s="61" t="str">
        <f>IF(AND($D$29&gt;0,$D$30&gt;0,$D$30&lt;=0.5*$B$45,$D$31=0),($N$281-$B$49)/$B$46,IF(AND($D$29&gt;0,$D$30&gt;0,$D$31=0,$D$30&gt;0.5*$B$45),"ERROR","N.A."))</f>
        <v>N.A.</v>
      </c>
      <c r="O283" s="34"/>
      <c r="P283" s="29" t="s">
        <v>670</v>
      </c>
      <c r="AF283" s="405" t="s">
        <v>976</v>
      </c>
      <c r="AG283" s="413">
        <v>3.18</v>
      </c>
      <c r="AH283" s="407">
        <v>12</v>
      </c>
      <c r="AI283" s="408">
        <v>0.16</v>
      </c>
      <c r="AJ283" s="409">
        <v>3.07</v>
      </c>
      <c r="AK283" s="408">
        <v>0.21</v>
      </c>
      <c r="AL283" s="425">
        <v>0.563</v>
      </c>
    </row>
    <row r="284" spans="13:38" ht="12.75">
      <c r="M284" s="33" t="s">
        <v>619</v>
      </c>
      <c r="N284" s="114" t="str">
        <f>IF(AND($D$29&gt;0,$D$30&gt;0,$D$30&lt;=0.5*$B$45,$D$31=0),5,IF(AND($D$29&gt;0,$D$30&gt;0,$D$31=0,$D$30&gt;0.5*$B$45),"ERROR","N.A."))</f>
        <v>N.A.</v>
      </c>
      <c r="O284" s="34"/>
      <c r="P284" s="29" t="s">
        <v>620</v>
      </c>
      <c r="AF284" s="405" t="s">
        <v>977</v>
      </c>
      <c r="AG284" s="413">
        <v>2.95</v>
      </c>
      <c r="AH284" s="407">
        <v>12</v>
      </c>
      <c r="AI284" s="408">
        <v>0.149</v>
      </c>
      <c r="AJ284" s="409">
        <v>3.25</v>
      </c>
      <c r="AK284" s="408">
        <v>0.18</v>
      </c>
      <c r="AL284" s="425">
        <v>0.5</v>
      </c>
    </row>
    <row r="285" spans="13:38" ht="12.75">
      <c r="M285" s="33" t="s">
        <v>621</v>
      </c>
      <c r="N285" s="41" t="str">
        <f>IF(AND($D$29&gt;0,$D$30&gt;0,$D$30&lt;=0.5*$B$45,$D$31=0),IF($N$283&lt;=2.24*SQRT(29000/$D$12),1,IF($N$283&lt;=1.1*SQRT($N$284*29000/$D$12),1,IF($N$283&gt;1.37*SQRT($N$284*29000/$D$12),(1.51*29000*$N$284)/($N$283^2*$D$12),(1.1*SQRT($N$284*29000/$D$12))/$N$283))),IF(AND($D$29&gt;0,$D$30&gt;0,$D$31=0,$D$30&gt;0.5*$B$45),"ERROR","N.A."))</f>
        <v>N.A.</v>
      </c>
      <c r="O285" s="34"/>
      <c r="P285" s="29" t="s">
        <v>650</v>
      </c>
      <c r="AF285" s="405" t="s">
        <v>978</v>
      </c>
      <c r="AG285" s="413">
        <v>2.65</v>
      </c>
      <c r="AH285" s="407">
        <v>10</v>
      </c>
      <c r="AI285" s="408">
        <v>0.157</v>
      </c>
      <c r="AJ285" s="409">
        <v>2.69</v>
      </c>
      <c r="AK285" s="408">
        <v>0.206</v>
      </c>
      <c r="AL285" s="425">
        <v>0.563</v>
      </c>
    </row>
    <row r="286" spans="13:38" ht="12.75">
      <c r="M286" s="33" t="s">
        <v>252</v>
      </c>
      <c r="N286" s="41" t="str">
        <f>IF(AND($D$29&gt;0,$D$30&gt;0,$D$30&lt;=0.5*$B$45,$D$31=0),(1/1.5)*0.6*$D$12*$N$285*$N$282,IF(AND($D$29&gt;0,$D$30&gt;0,$D$31=0,$D$30&gt;0.5*$B$45),"ERROR","N.A."))</f>
        <v>N.A.</v>
      </c>
      <c r="O286" s="31" t="s">
        <v>237</v>
      </c>
      <c r="P286" s="29" t="s">
        <v>671</v>
      </c>
      <c r="AF286" s="405" t="s">
        <v>979</v>
      </c>
      <c r="AG286" s="413">
        <v>2.37</v>
      </c>
      <c r="AH286" s="407">
        <v>10</v>
      </c>
      <c r="AI286" s="408">
        <v>0.141</v>
      </c>
      <c r="AJ286" s="409">
        <v>2.69</v>
      </c>
      <c r="AK286" s="408">
        <v>0.182</v>
      </c>
      <c r="AL286" s="425">
        <v>0.563</v>
      </c>
    </row>
    <row r="287" spans="13:38" ht="12.75">
      <c r="M287" s="29" t="s">
        <v>672</v>
      </c>
      <c r="AF287" s="405" t="s">
        <v>980</v>
      </c>
      <c r="AG287" s="413">
        <v>2.22</v>
      </c>
      <c r="AH287" s="407">
        <v>10</v>
      </c>
      <c r="AI287" s="408">
        <v>0.13</v>
      </c>
      <c r="AJ287" s="409">
        <v>2.69</v>
      </c>
      <c r="AK287" s="408">
        <v>0.173</v>
      </c>
      <c r="AL287" s="425">
        <v>0.438</v>
      </c>
    </row>
    <row r="288" spans="13:38" ht="12.75">
      <c r="M288" s="50" t="s">
        <v>253</v>
      </c>
      <c r="N288" s="43" t="str">
        <f>$N$282</f>
        <v>N.A.</v>
      </c>
      <c r="O288" s="38" t="s">
        <v>243</v>
      </c>
      <c r="P288" s="31" t="s">
        <v>544</v>
      </c>
      <c r="W288" s="31"/>
      <c r="AF288" s="405" t="s">
        <v>981</v>
      </c>
      <c r="AG288" s="413">
        <v>1.92</v>
      </c>
      <c r="AH288" s="409">
        <v>8</v>
      </c>
      <c r="AI288" s="408">
        <v>0.135</v>
      </c>
      <c r="AJ288" s="409">
        <v>2.28</v>
      </c>
      <c r="AK288" s="408">
        <v>0.189</v>
      </c>
      <c r="AL288" s="425">
        <v>0.563</v>
      </c>
    </row>
    <row r="289" spans="13:38" ht="12.75">
      <c r="M289" s="33" t="s">
        <v>254</v>
      </c>
      <c r="N289" s="41" t="str">
        <f>IF(AND($D$29&gt;0,$D$30&gt;0,$D$30&lt;=0.5*$B$45,$D$31=0),(1/2)*0.6*$N$6*$N$288,IF(AND($D$29&gt;0,$D$30&gt;0,$D$31=0,$D$30&gt;0.5*$B$45),"ERROR","N.A."))</f>
        <v>N.A.</v>
      </c>
      <c r="O289" s="31" t="s">
        <v>237</v>
      </c>
      <c r="P289" s="29" t="s">
        <v>664</v>
      </c>
      <c r="AF289" s="405" t="s">
        <v>982</v>
      </c>
      <c r="AG289" s="413">
        <v>1.82</v>
      </c>
      <c r="AH289" s="409">
        <v>8</v>
      </c>
      <c r="AI289" s="408">
        <v>0.129</v>
      </c>
      <c r="AJ289" s="409">
        <v>2.28</v>
      </c>
      <c r="AK289" s="408">
        <v>0.177</v>
      </c>
      <c r="AL289" s="425">
        <v>0.438</v>
      </c>
    </row>
    <row r="290" spans="13:38" ht="12.75">
      <c r="M290" s="57" t="s">
        <v>414</v>
      </c>
      <c r="O290" s="34"/>
      <c r="AF290" s="405" t="s">
        <v>983</v>
      </c>
      <c r="AG290" s="413">
        <v>1.29</v>
      </c>
      <c r="AH290" s="409">
        <v>6</v>
      </c>
      <c r="AI290" s="408">
        <v>0.114</v>
      </c>
      <c r="AJ290" s="409">
        <v>1.84</v>
      </c>
      <c r="AK290" s="408">
        <v>0.171</v>
      </c>
      <c r="AL290" s="425">
        <v>0.375</v>
      </c>
    </row>
    <row r="291" spans="13:38" ht="12.75">
      <c r="M291" s="50" t="s">
        <v>35</v>
      </c>
      <c r="N291" s="43" t="str">
        <f>IF(AND($D$29&gt;0,$D$30&gt;0,$D$30&lt;=0.5*$B$45,$D$31=0),$B$44-($B$47*$B$48+($D$30-$B$48)*$B$46),IF(AND($D$29&gt;0,$D$30&gt;0,$D$31=0,$D$30&gt;0.5*$B$45),"ERROR","N.A."))</f>
        <v>N.A.</v>
      </c>
      <c r="O291" s="38" t="s">
        <v>243</v>
      </c>
      <c r="P291" s="48" t="s">
        <v>250</v>
      </c>
      <c r="W291" s="48"/>
      <c r="AF291" s="405" t="s">
        <v>984</v>
      </c>
      <c r="AG291" s="413">
        <v>1.09</v>
      </c>
      <c r="AH291" s="409">
        <v>5.92</v>
      </c>
      <c r="AI291" s="426">
        <v>0.098</v>
      </c>
      <c r="AJ291" s="409">
        <v>2</v>
      </c>
      <c r="AK291" s="408">
        <v>0.129</v>
      </c>
      <c r="AL291" s="425">
        <v>0.313</v>
      </c>
    </row>
    <row r="292" spans="13:38" ht="12.75">
      <c r="M292" s="50" t="s">
        <v>36</v>
      </c>
      <c r="N292" s="61" t="str">
        <f>IF(AND($D$29&gt;0,$D$30&gt;0,$D$30&lt;=0.5*$B$45,$D$31=0),(0.6*$D$12*$N$291)*IF(1-($D$16/$N$286)^2&gt;0,(1-($D$16/$N$286)^2),0.0001),IF(AND($D$29&gt;0,$D$30&gt;0,$D$31=0,$D$30&gt;0.5*$B$45),"ERROR","N.A."))</f>
        <v>N.A.</v>
      </c>
      <c r="O292" s="38" t="s">
        <v>237</v>
      </c>
      <c r="P292" s="38" t="s">
        <v>110</v>
      </c>
      <c r="Q292" s="57"/>
      <c r="W292" s="38"/>
      <c r="AF292" s="405" t="s">
        <v>985</v>
      </c>
      <c r="AG292" s="413">
        <v>5.56</v>
      </c>
      <c r="AH292" s="409">
        <v>5</v>
      </c>
      <c r="AI292" s="408">
        <v>0.316</v>
      </c>
      <c r="AJ292" s="409">
        <v>5</v>
      </c>
      <c r="AK292" s="408">
        <v>0.416</v>
      </c>
      <c r="AL292" s="425">
        <v>0.813</v>
      </c>
    </row>
    <row r="293" spans="13:38" ht="12.75">
      <c r="M293" s="29" t="s">
        <v>52</v>
      </c>
      <c r="O293" s="34"/>
      <c r="AF293" s="405" t="s">
        <v>986</v>
      </c>
      <c r="AG293" s="413">
        <v>1.75</v>
      </c>
      <c r="AH293" s="409">
        <v>3.8</v>
      </c>
      <c r="AI293" s="408">
        <v>0.13</v>
      </c>
      <c r="AJ293" s="409">
        <v>3.8</v>
      </c>
      <c r="AK293" s="408">
        <v>0.16</v>
      </c>
      <c r="AL293" s="425">
        <v>0.5</v>
      </c>
    </row>
    <row r="294" spans="13:38" ht="12.75">
      <c r="M294" s="33" t="s">
        <v>601</v>
      </c>
      <c r="N294" s="43" t="str">
        <f>IF(AND($D$29&gt;0,$D$30&gt;0,$D$30&lt;=0.5*$B$45,$D$31=0),(($D$27-$D$30)+$D$26)*$B$46,IF(AND($D$29&gt;0,$D$30&gt;0,$D$31=0,$D$30&gt;0.5*$B$45),"ERROR","N.A."))</f>
        <v>N.A.</v>
      </c>
      <c r="O294" s="31" t="s">
        <v>243</v>
      </c>
      <c r="P294" s="38" t="s">
        <v>606</v>
      </c>
      <c r="W294" s="38"/>
      <c r="AF294" s="405" t="s">
        <v>987</v>
      </c>
      <c r="AG294" s="413">
        <v>1.27</v>
      </c>
      <c r="AH294" s="409">
        <v>4</v>
      </c>
      <c r="AI294" s="408">
        <v>0.115</v>
      </c>
      <c r="AJ294" s="409">
        <v>2.25</v>
      </c>
      <c r="AK294" s="408">
        <v>0.17</v>
      </c>
      <c r="AL294" s="425">
        <v>0.563</v>
      </c>
    </row>
    <row r="295" spans="13:38" ht="12.75">
      <c r="M295" s="33" t="s">
        <v>602</v>
      </c>
      <c r="N295" s="43" t="str">
        <f>IF(AND($D$29&gt;0,$D$30&gt;0,$D$30&lt;=0.5*$B$45,$D$31=0),($D$21-$D$28)*$B$46,IF(AND($D$29&gt;0,$D$30&gt;0,$D$31=0,$D$30&gt;0.5*$B$45),"ERROR","N.A."))</f>
        <v>N.A.</v>
      </c>
      <c r="O295" s="31" t="s">
        <v>243</v>
      </c>
      <c r="P295" s="29" t="s">
        <v>546</v>
      </c>
      <c r="AF295" s="405" t="s">
        <v>988</v>
      </c>
      <c r="AG295" s="413">
        <v>1.01</v>
      </c>
      <c r="AH295" s="409">
        <v>4</v>
      </c>
      <c r="AI295" s="426">
        <v>0.092</v>
      </c>
      <c r="AJ295" s="409">
        <v>2.25</v>
      </c>
      <c r="AK295" s="408">
        <v>0.13</v>
      </c>
      <c r="AL295" s="425">
        <v>0.5</v>
      </c>
    </row>
    <row r="296" spans="13:38" ht="12.75">
      <c r="M296" s="33" t="s">
        <v>220</v>
      </c>
      <c r="N296" s="41" t="str">
        <f>IF(AND($D$29&gt;0,$D$30&gt;0,$D$30&lt;=0.5*$B$45,$D$31=0),0.3*$D$12*$N$294+0.5*$N$6*$N$295,IF(AND($D$29&gt;0,$D$30&gt;0,$D$31=0,$D$30&gt;0.5*$B$45),"ERROR","N.A."))</f>
        <v>N.A.</v>
      </c>
      <c r="O296" s="31" t="s">
        <v>237</v>
      </c>
      <c r="P296" s="31" t="s">
        <v>545</v>
      </c>
      <c r="W296" s="31"/>
      <c r="AF296" s="405" t="s">
        <v>989</v>
      </c>
      <c r="AG296" s="413">
        <v>1.01</v>
      </c>
      <c r="AH296" s="409">
        <v>4</v>
      </c>
      <c r="AI296" s="426">
        <v>0.092</v>
      </c>
      <c r="AJ296" s="409">
        <v>2.25</v>
      </c>
      <c r="AK296" s="408">
        <v>0.13</v>
      </c>
      <c r="AL296" s="425">
        <v>0.5</v>
      </c>
    </row>
    <row r="297" spans="13:38" ht="12.75">
      <c r="M297" s="57" t="s">
        <v>504</v>
      </c>
      <c r="O297" s="34"/>
      <c r="AF297" s="414" t="s">
        <v>990</v>
      </c>
      <c r="AG297" s="427">
        <v>0.914</v>
      </c>
      <c r="AH297" s="416">
        <v>3</v>
      </c>
      <c r="AI297" s="428">
        <v>0.09</v>
      </c>
      <c r="AJ297" s="416">
        <v>2.25</v>
      </c>
      <c r="AK297" s="417">
        <v>0.13</v>
      </c>
      <c r="AL297" s="429">
        <v>0.5</v>
      </c>
    </row>
    <row r="298" spans="13:38" ht="12.75">
      <c r="M298" s="50" t="s">
        <v>601</v>
      </c>
      <c r="N298" s="43" t="str">
        <f>IF(AND($D$29&gt;0,$D$30&gt;0,$D$30&lt;=0.5*$B$45,$D$31=0),($D$21-$D$28)*$B$46,IF(AND($D$29&gt;0,$D$30&gt;0,$D$31=0,$D$30&gt;0.5*$B$45),"ERROR","N.A."))</f>
        <v>N.A.</v>
      </c>
      <c r="O298" s="38" t="s">
        <v>498</v>
      </c>
      <c r="P298" s="29" t="s">
        <v>547</v>
      </c>
      <c r="AF298" s="419" t="s">
        <v>991</v>
      </c>
      <c r="AG298" s="430">
        <v>35.5</v>
      </c>
      <c r="AH298" s="421">
        <v>24.5</v>
      </c>
      <c r="AI298" s="422">
        <v>0.8</v>
      </c>
      <c r="AJ298" s="423">
        <v>8.05</v>
      </c>
      <c r="AK298" s="423">
        <v>1.09</v>
      </c>
      <c r="AL298" s="431">
        <v>2</v>
      </c>
    </row>
    <row r="299" spans="13:38" ht="12.75">
      <c r="M299" s="50" t="s">
        <v>602</v>
      </c>
      <c r="N299" s="43" t="str">
        <f>IF(AND($D$29&gt;0,$D$30&gt;0,$D$30&lt;=0.5*$B$45,$D$31=0),(($D$27-$D$30)+$D$26)*$B$46,IF(AND($D$29&gt;0,$D$30&gt;0,$D$31=0,$D$30&gt;0.5*$B$45),"ERROR","N.A."))</f>
        <v>N.A.</v>
      </c>
      <c r="O299" s="38" t="s">
        <v>243</v>
      </c>
      <c r="P299" s="38" t="s">
        <v>607</v>
      </c>
      <c r="Q299" s="57"/>
      <c r="W299" s="38"/>
      <c r="AF299" s="405" t="s">
        <v>992</v>
      </c>
      <c r="AG299" s="406">
        <v>31.1</v>
      </c>
      <c r="AH299" s="407">
        <v>24.5</v>
      </c>
      <c r="AI299" s="408">
        <v>0.62</v>
      </c>
      <c r="AJ299" s="409">
        <v>7.87</v>
      </c>
      <c r="AK299" s="409">
        <v>1.09</v>
      </c>
      <c r="AL299" s="432">
        <v>2</v>
      </c>
    </row>
    <row r="300" spans="13:38" ht="12.75">
      <c r="M300" s="33" t="s">
        <v>426</v>
      </c>
      <c r="N300" s="41" t="str">
        <f>IF(AND($D$29&gt;0,$D$30&gt;0,$D$30&lt;=0.5*$B$45,$D$31=0),(0.3*$D$12*$N$298+0.5*$N$6*$N$299)*(1-($D$16/$N$296)^2),IF(AND($D$29&gt;0,$D$30&gt;0,$D$31=0,$D$30&gt;0.5*$B$45),"ERROR","N.A."))</f>
        <v>N.A.</v>
      </c>
      <c r="O300" s="31" t="s">
        <v>237</v>
      </c>
      <c r="P300" s="31" t="s">
        <v>548</v>
      </c>
      <c r="Q300" s="57"/>
      <c r="R300" s="57"/>
      <c r="W300" s="31"/>
      <c r="AF300" s="405" t="s">
        <v>993</v>
      </c>
      <c r="AG300" s="406">
        <v>29.3</v>
      </c>
      <c r="AH300" s="407">
        <v>24</v>
      </c>
      <c r="AI300" s="408">
        <v>0.745</v>
      </c>
      <c r="AJ300" s="409">
        <v>7.25</v>
      </c>
      <c r="AK300" s="408">
        <v>0.87</v>
      </c>
      <c r="AL300" s="432">
        <v>1.75</v>
      </c>
    </row>
    <row r="301" spans="13:38" ht="12.75">
      <c r="M301" s="57" t="s">
        <v>24</v>
      </c>
      <c r="O301" s="34"/>
      <c r="AF301" s="405" t="s">
        <v>994</v>
      </c>
      <c r="AG301" s="406">
        <v>26.5</v>
      </c>
      <c r="AH301" s="407">
        <v>24</v>
      </c>
      <c r="AI301" s="408">
        <v>0.625</v>
      </c>
      <c r="AJ301" s="409">
        <v>7.13</v>
      </c>
      <c r="AK301" s="408">
        <v>0.87</v>
      </c>
      <c r="AL301" s="432">
        <v>1.75</v>
      </c>
    </row>
    <row r="302" spans="13:38" ht="12.75">
      <c r="M302" s="50" t="s">
        <v>601</v>
      </c>
      <c r="N302" s="43" t="str">
        <f>IF(AND($D$29&gt;0,$D$30&gt;0,$D$30&lt;=0.5*$B$45,$D$31=0),2*($D$21-$D$28)*$B$46,IF(AND($D$29&gt;0,$D$30&gt;0,$D$31=0,$D$30&gt;0.5*$B$45),"ERROR","N.A."))</f>
        <v>N.A.</v>
      </c>
      <c r="O302" s="38" t="s">
        <v>498</v>
      </c>
      <c r="P302" s="29" t="s">
        <v>516</v>
      </c>
      <c r="AF302" s="405" t="s">
        <v>995</v>
      </c>
      <c r="AG302" s="406">
        <v>23.5</v>
      </c>
      <c r="AH302" s="407">
        <v>24</v>
      </c>
      <c r="AI302" s="408">
        <v>0.5</v>
      </c>
      <c r="AJ302" s="409">
        <v>7</v>
      </c>
      <c r="AK302" s="408">
        <v>0.87</v>
      </c>
      <c r="AL302" s="432">
        <v>1.75</v>
      </c>
    </row>
    <row r="303" spans="13:38" ht="12.75">
      <c r="M303" s="50" t="s">
        <v>602</v>
      </c>
      <c r="N303" s="43" t="str">
        <f>IF(AND($D$29&gt;0,$D$30&gt;0,$D$30&lt;=0.5*$B$45,$D$31=0),$D$26*$B$46,IF(AND($D$29&gt;0,$D$30&gt;0,$D$31=0,$D$30&gt;0.5*$B$45),"ERROR","N.A."))</f>
        <v>N.A.</v>
      </c>
      <c r="O303" s="38" t="s">
        <v>243</v>
      </c>
      <c r="P303" s="31" t="s">
        <v>605</v>
      </c>
      <c r="Q303" s="111"/>
      <c r="W303" s="31"/>
      <c r="AF303" s="405" t="s">
        <v>996</v>
      </c>
      <c r="AG303" s="406">
        <v>28.2</v>
      </c>
      <c r="AH303" s="407">
        <v>20.3</v>
      </c>
      <c r="AI303" s="408">
        <v>0.8</v>
      </c>
      <c r="AJ303" s="409">
        <v>7.2</v>
      </c>
      <c r="AK303" s="408">
        <v>0.92</v>
      </c>
      <c r="AL303" s="432">
        <v>1.75</v>
      </c>
    </row>
    <row r="304" spans="13:38" ht="12.75">
      <c r="M304" s="50" t="s">
        <v>426</v>
      </c>
      <c r="N304" s="41" t="str">
        <f>IF(AND($D$29&gt;0,$D$30&gt;0,$D$30&lt;=0.5*$B$45,$D$31=0),IF($N$303&gt;"N.A.","N.A.",0.3*$D$12*$N$302+0.5*$N$6*$N$303),IF(AND($D$29&gt;0,$D$30&gt;0,$D$31=0,$D$30&gt;0.5*$B$45),"ERROR","N.A."))</f>
        <v>N.A.</v>
      </c>
      <c r="O304" s="38" t="s">
        <v>237</v>
      </c>
      <c r="P304" s="31" t="s">
        <v>515</v>
      </c>
      <c r="Q304" s="111"/>
      <c r="W304" s="31"/>
      <c r="AF304" s="405" t="s">
        <v>997</v>
      </c>
      <c r="AG304" s="406">
        <v>25.3</v>
      </c>
      <c r="AH304" s="407">
        <v>20.3</v>
      </c>
      <c r="AI304" s="408">
        <v>0.66</v>
      </c>
      <c r="AJ304" s="409">
        <v>7.06</v>
      </c>
      <c r="AK304" s="408">
        <v>0.92</v>
      </c>
      <c r="AL304" s="432">
        <v>1.75</v>
      </c>
    </row>
    <row r="305" spans="13:38" ht="12.75">
      <c r="M305" s="57" t="s">
        <v>673</v>
      </c>
      <c r="O305" s="34"/>
      <c r="AF305" s="405" t="s">
        <v>998</v>
      </c>
      <c r="AG305" s="406">
        <v>22</v>
      </c>
      <c r="AH305" s="407">
        <v>20</v>
      </c>
      <c r="AI305" s="408">
        <v>0.635</v>
      </c>
      <c r="AJ305" s="409">
        <v>6.39</v>
      </c>
      <c r="AK305" s="408">
        <v>0.795</v>
      </c>
      <c r="AL305" s="432">
        <v>1.63</v>
      </c>
    </row>
    <row r="306" spans="13:38" ht="12.75">
      <c r="M306" s="33" t="s">
        <v>106</v>
      </c>
      <c r="N306" s="43" t="str">
        <f>IF(AND($D$29&gt;0,$D$30&gt;0,$D$30&lt;=0.5*$B$45,$D$31=0),$N$281,IF(AND($D$29&gt;0,$D$30&gt;0,$D$31=0,$D$30&gt;0.5*$B$45),"ERROR","N.A."))</f>
        <v>N.A.</v>
      </c>
      <c r="O306" s="31" t="s">
        <v>268</v>
      </c>
      <c r="P306" s="38" t="s">
        <v>265</v>
      </c>
      <c r="Q306" s="57"/>
      <c r="W306" s="38"/>
      <c r="AF306" s="405" t="s">
        <v>999</v>
      </c>
      <c r="AG306" s="406">
        <v>19.4</v>
      </c>
      <c r="AH306" s="407">
        <v>20</v>
      </c>
      <c r="AI306" s="408">
        <v>0.505</v>
      </c>
      <c r="AJ306" s="409">
        <v>6.26</v>
      </c>
      <c r="AK306" s="408">
        <v>0.795</v>
      </c>
      <c r="AL306" s="432">
        <v>1.63</v>
      </c>
    </row>
    <row r="307" spans="13:38" ht="12.75">
      <c r="M307" s="33" t="s">
        <v>325</v>
      </c>
      <c r="N307" s="43" t="str">
        <f>IF(AND($D$29&gt;0,$D$30&gt;0,$D$30&lt;=0.5*$B$45,$D$31=0),$D$29+$D$28,IF(AND($D$29&gt;0,$D$30&gt;0,$D$31=0,$D$30&gt;0.5*$B$45),"ERROR","N.A."))</f>
        <v>N.A.</v>
      </c>
      <c r="O307" s="31" t="s">
        <v>268</v>
      </c>
      <c r="P307" s="38" t="s">
        <v>6</v>
      </c>
      <c r="Q307" s="57"/>
      <c r="W307" s="38"/>
      <c r="AF307" s="405" t="s">
        <v>1000</v>
      </c>
      <c r="AG307" s="406">
        <v>20.5</v>
      </c>
      <c r="AH307" s="407">
        <v>18</v>
      </c>
      <c r="AI307" s="408">
        <v>0.711</v>
      </c>
      <c r="AJ307" s="409">
        <v>6.25</v>
      </c>
      <c r="AK307" s="408">
        <v>0.691</v>
      </c>
      <c r="AL307" s="432">
        <v>1.5</v>
      </c>
    </row>
    <row r="308" spans="13:38" ht="12.75">
      <c r="M308" s="33" t="s">
        <v>1131</v>
      </c>
      <c r="N308" s="43" t="str">
        <f>IF(AND($D$29&gt;0,$D$30&gt;0,$D$30&lt;=0.5*$B$45,$D$31=0),($B$47*$B$48^2/2+($N$306-$B$48)*$B$46*($B$48+($N$306-$B$48)/2))/(($N$306-$B$48)*$B$46+$B$47*$B$48),IF(AND($D$29&gt;0,$D$30&gt;0,$D$31=0,$D$30&gt;0.5*$B$45),"ERROR","N.A."))</f>
        <v>N.A.</v>
      </c>
      <c r="O308" s="31" t="s">
        <v>268</v>
      </c>
      <c r="P308" s="38" t="s">
        <v>266</v>
      </c>
      <c r="Q308" s="57"/>
      <c r="W308" s="38"/>
      <c r="AF308" s="405" t="s">
        <v>1001</v>
      </c>
      <c r="AG308" s="406">
        <v>16</v>
      </c>
      <c r="AH308" s="407">
        <v>18</v>
      </c>
      <c r="AI308" s="408">
        <v>0.461</v>
      </c>
      <c r="AJ308" s="409">
        <v>6</v>
      </c>
      <c r="AK308" s="408">
        <v>0.691</v>
      </c>
      <c r="AL308" s="432">
        <v>1.5</v>
      </c>
    </row>
    <row r="309" spans="13:38" ht="12.75">
      <c r="M309" s="33" t="s">
        <v>424</v>
      </c>
      <c r="N309" s="61" t="str">
        <f>IF(AND($D$29&gt;0,$D$30&gt;0,$D$30&lt;=0.5*$B$45,$D$31=0),$B$47*$B$48^3/12+$B$47*$B$48*($N$308-$B$48/2)^2+$B$46*($N$306-$B$48)^3/12+($N$306-$B$48)*$B$46*($B$48+($N$306-$B$48)/2-$N$308)^2,IF(AND($D$29&gt;0,$D$30&gt;0,$D$31=0,$D$30&gt;0.5*$B$45),"ERROR","N.A."))</f>
        <v>N.A.</v>
      </c>
      <c r="O309" s="31" t="s">
        <v>499</v>
      </c>
      <c r="P309" s="38" t="s">
        <v>54</v>
      </c>
      <c r="Q309" s="57"/>
      <c r="W309" s="38"/>
      <c r="AF309" s="405" t="s">
        <v>1002</v>
      </c>
      <c r="AG309" s="406">
        <v>14.7</v>
      </c>
      <c r="AH309" s="407">
        <v>15</v>
      </c>
      <c r="AI309" s="408">
        <v>0.55</v>
      </c>
      <c r="AJ309" s="409">
        <v>5.64</v>
      </c>
      <c r="AK309" s="408">
        <v>0.622</v>
      </c>
      <c r="AL309" s="432">
        <v>1.38</v>
      </c>
    </row>
    <row r="310" spans="13:38" ht="12.75">
      <c r="M310" s="33" t="s">
        <v>191</v>
      </c>
      <c r="N310" s="61" t="str">
        <f>IF(AND($D$29&gt;0,$D$30&gt;0,$D$30&lt;=0.5*$B$45,$D$31=0),$N$309/($N$306-$N$308),IF(AND($D$29&gt;0,$D$30&gt;0,$D$31=0,$D$30&gt;0.5*$B$45),"ERROR","N.A."))</f>
        <v>N.A.</v>
      </c>
      <c r="O310" s="31" t="s">
        <v>498</v>
      </c>
      <c r="P310" s="57" t="s">
        <v>318</v>
      </c>
      <c r="Q310" s="57"/>
      <c r="W310" s="57"/>
      <c r="AF310" s="405" t="s">
        <v>1003</v>
      </c>
      <c r="AG310" s="406">
        <v>12.6</v>
      </c>
      <c r="AH310" s="407">
        <v>15</v>
      </c>
      <c r="AI310" s="408">
        <v>0.411</v>
      </c>
      <c r="AJ310" s="409">
        <v>5.5</v>
      </c>
      <c r="AK310" s="408">
        <v>0.622</v>
      </c>
      <c r="AL310" s="432">
        <v>1.38</v>
      </c>
    </row>
    <row r="311" spans="12:38" ht="12.75">
      <c r="L311" s="39"/>
      <c r="M311" s="33" t="s">
        <v>107</v>
      </c>
      <c r="N311" s="61" t="str">
        <f>IF(AND($D$29&gt;0,$D$30&gt;0,$D$30&lt;=0.5*$B$45,$D$31=0),(1/2)*$N$6*IF(1-$D$17/(0.6*$D$12*$N$291)&gt;0,(1-$D$17/(0.6*$D$12*$N$291)),0.0001),IF(AND($D$29&gt;0,$D$30&gt;0,$D$31=0,$D$30&gt;0.5*$B$45),"ERROR","N.A."))</f>
        <v>N.A.</v>
      </c>
      <c r="O311" s="38" t="s">
        <v>245</v>
      </c>
      <c r="P311" s="38" t="s">
        <v>1255</v>
      </c>
      <c r="W311" s="38"/>
      <c r="AF311" s="405" t="s">
        <v>1004</v>
      </c>
      <c r="AG311" s="406">
        <v>14.6</v>
      </c>
      <c r="AH311" s="407">
        <v>12</v>
      </c>
      <c r="AI311" s="408">
        <v>0.687</v>
      </c>
      <c r="AJ311" s="409">
        <v>5.48</v>
      </c>
      <c r="AK311" s="408">
        <v>0.659</v>
      </c>
      <c r="AL311" s="432">
        <v>1.44</v>
      </c>
    </row>
    <row r="312" spans="12:38" ht="12.75">
      <c r="L312" s="43"/>
      <c r="M312" s="33" t="s">
        <v>104</v>
      </c>
      <c r="N312" s="61" t="str">
        <f>IF(AND($D$29&gt;0,$D$30&gt;0,$D$29&lt;=$B$45/2,$D$31=0),$N$311*$N$310/$N$307,IF(AND($D$29&gt;0,$D$30&gt;0,$D$31=0,$D$30&gt;0.5*$B$45),"ERROR","N.A."))</f>
        <v>N.A.</v>
      </c>
      <c r="O312" s="31" t="s">
        <v>237</v>
      </c>
      <c r="P312" s="38" t="s">
        <v>502</v>
      </c>
      <c r="W312" s="38"/>
      <c r="AF312" s="405" t="s">
        <v>1005</v>
      </c>
      <c r="AG312" s="406">
        <v>11.9</v>
      </c>
      <c r="AH312" s="407">
        <v>12</v>
      </c>
      <c r="AI312" s="408">
        <v>0.462</v>
      </c>
      <c r="AJ312" s="409">
        <v>5.25</v>
      </c>
      <c r="AK312" s="408">
        <v>0.659</v>
      </c>
      <c r="AL312" s="432">
        <v>1.44</v>
      </c>
    </row>
    <row r="313" spans="12:38" ht="12.75">
      <c r="L313" s="43"/>
      <c r="M313" s="57" t="s">
        <v>674</v>
      </c>
      <c r="O313" s="34"/>
      <c r="AF313" s="405" t="s">
        <v>1006</v>
      </c>
      <c r="AG313" s="406">
        <v>10.2</v>
      </c>
      <c r="AH313" s="407">
        <v>12</v>
      </c>
      <c r="AI313" s="408">
        <v>0.428</v>
      </c>
      <c r="AJ313" s="409">
        <v>5.08</v>
      </c>
      <c r="AK313" s="408">
        <v>0.544</v>
      </c>
      <c r="AL313" s="432">
        <v>1.19</v>
      </c>
    </row>
    <row r="314" spans="12:38" ht="12.75">
      <c r="L314" s="43"/>
      <c r="M314" s="33" t="s">
        <v>8</v>
      </c>
      <c r="N314" s="43" t="str">
        <f>IF(AND($D$29&gt;0,$D$30&gt;0,$D$30&lt;=0.5*$B$45,$D$31=0),$D$29/$B$45,IF(AND($D$29&gt;0,$D$30&gt;0,$D$31=0,$D$30&gt;0.5*$B$45),"ERROR","N.A."))</f>
        <v>N.A.</v>
      </c>
      <c r="O314" s="31"/>
      <c r="P314" s="38" t="s">
        <v>11</v>
      </c>
      <c r="Q314" s="57"/>
      <c r="W314" s="38"/>
      <c r="AF314" s="405" t="s">
        <v>1007</v>
      </c>
      <c r="AG314" s="413">
        <v>9.31</v>
      </c>
      <c r="AH314" s="407">
        <v>12</v>
      </c>
      <c r="AI314" s="408">
        <v>0.35</v>
      </c>
      <c r="AJ314" s="409">
        <v>5</v>
      </c>
      <c r="AK314" s="408">
        <v>0.544</v>
      </c>
      <c r="AL314" s="432">
        <v>1.19</v>
      </c>
    </row>
    <row r="315" spans="12:38" ht="12.75">
      <c r="L315" s="43"/>
      <c r="M315" s="33" t="s">
        <v>351</v>
      </c>
      <c r="N315" s="43" t="str">
        <f>IF(AND($D$29&gt;0,$D$30&gt;0,$D$30&lt;=0.5*$B$45,$D$31=0),IF($N$314&lt;=1,2*$N$314,1+$N$314),IF(AND($D$29&gt;0,$D$30&gt;0,$D$31=0,$D$30&gt;0.5*$B$45),"ERROR","N.A."))</f>
        <v>N.A.</v>
      </c>
      <c r="O315" s="31"/>
      <c r="P315" s="38" t="s">
        <v>12</v>
      </c>
      <c r="Q315" s="57"/>
      <c r="W315" s="38"/>
      <c r="AF315" s="405" t="s">
        <v>1008</v>
      </c>
      <c r="AG315" s="406">
        <v>10.3</v>
      </c>
      <c r="AH315" s="407">
        <v>10</v>
      </c>
      <c r="AI315" s="408">
        <v>0.594</v>
      </c>
      <c r="AJ315" s="409">
        <v>4.94</v>
      </c>
      <c r="AK315" s="408">
        <v>0.491</v>
      </c>
      <c r="AL315" s="432">
        <v>1.13</v>
      </c>
    </row>
    <row r="316" spans="12:38" ht="12.75">
      <c r="L316" s="39"/>
      <c r="M316" s="33" t="s">
        <v>7</v>
      </c>
      <c r="N316" s="43" t="str">
        <f>IF(AND($D$29&gt;0,$D$30&gt;0,$D$30&lt;=0.5*$B$45,$D$31=0),$D$29/$N$306,IF(AND($D$29&gt;0,$D$30&gt;0,$D$31=0,$D$30&gt;0.5*$B$45),"ERROR","N.A."))</f>
        <v>N.A.</v>
      </c>
      <c r="O316" s="31"/>
      <c r="P316" s="38" t="s">
        <v>9</v>
      </c>
      <c r="Q316" s="57"/>
      <c r="W316" s="38"/>
      <c r="AF316" s="405" t="s">
        <v>1009</v>
      </c>
      <c r="AG316" s="413">
        <v>7.45</v>
      </c>
      <c r="AH316" s="407">
        <v>10</v>
      </c>
      <c r="AI316" s="408">
        <v>0.311</v>
      </c>
      <c r="AJ316" s="409">
        <v>4.66</v>
      </c>
      <c r="AK316" s="408">
        <v>0.491</v>
      </c>
      <c r="AL316" s="432">
        <v>1.13</v>
      </c>
    </row>
    <row r="317" spans="12:38" ht="12.75">
      <c r="L317" s="399"/>
      <c r="M317" s="33" t="s">
        <v>460</v>
      </c>
      <c r="N317" s="43" t="str">
        <f>IF(AND($D$29&gt;0,$D$30&gt;0,$D$30&lt;=0.5*$B$45,$D$31=0),IF($N$316&lt;=1,2.2*($N$306/$D$29)^1.65,2.2*($N$306/$D$29)),IF(AND($D$29&gt;0,$D$30&gt;0,$D$31=0,$D$30&gt;0.5*$B$45),"ERROR","N.A."))</f>
        <v>N.A.</v>
      </c>
      <c r="O317" s="31"/>
      <c r="P317" s="38" t="s">
        <v>10</v>
      </c>
      <c r="Q317" s="57"/>
      <c r="W317" s="38"/>
      <c r="AF317" s="405" t="s">
        <v>1010</v>
      </c>
      <c r="AG317" s="413">
        <v>6.76</v>
      </c>
      <c r="AH317" s="409">
        <v>8</v>
      </c>
      <c r="AI317" s="408">
        <v>0.441</v>
      </c>
      <c r="AJ317" s="409">
        <v>4.17</v>
      </c>
      <c r="AK317" s="408">
        <v>0.425</v>
      </c>
      <c r="AL317" s="432">
        <v>1</v>
      </c>
    </row>
    <row r="318" spans="12:38" ht="12.75">
      <c r="L318" s="39"/>
      <c r="M318" s="33" t="s">
        <v>107</v>
      </c>
      <c r="N318" s="61" t="str">
        <f>IF(AND($D$29&gt;0,$D$30&gt;0,$D$30&lt;=0.5*$B$45,$D$31=0),(1/1.67)*MIN(26210*$N$315*$N$317*($B$46/$N$281)^2,$D$12)*IF(1-$D$17/(0.6*$D$12*$N$291)&gt;0,(1-$D$17/(0.6*$D$12*$N$291)),0.0001),IF(AND($D$29&gt;0,$D$30&gt;0,$D$31=0,$D$30&gt;0.5*$B$45),"ERROR","N.A."))</f>
        <v>N.A.</v>
      </c>
      <c r="O318" s="38" t="s">
        <v>245</v>
      </c>
      <c r="P318" s="38" t="s">
        <v>675</v>
      </c>
      <c r="W318" s="38"/>
      <c r="AF318" s="405" t="s">
        <v>1011</v>
      </c>
      <c r="AG318" s="413">
        <v>5.4</v>
      </c>
      <c r="AH318" s="409">
        <v>8</v>
      </c>
      <c r="AI318" s="408">
        <v>0.271</v>
      </c>
      <c r="AJ318" s="409">
        <v>4</v>
      </c>
      <c r="AK318" s="408">
        <v>0.425</v>
      </c>
      <c r="AL318" s="432">
        <v>1</v>
      </c>
    </row>
    <row r="319" spans="12:38" ht="12.75">
      <c r="L319" s="399"/>
      <c r="M319" s="33" t="s">
        <v>104</v>
      </c>
      <c r="N319" s="61" t="str">
        <f>IF(AND($D$29&gt;0,$D$30&gt;0,$D$30&lt;=0.5*$B$45,$D$31=0),$N$318*$N$310/$N$307,IF(AND($D$29&gt;0,$D$30&gt;0,$D$31=0,$D$30&gt;0.5*$B$45),"ERROR","N.A."))</f>
        <v>N.A.</v>
      </c>
      <c r="O319" s="31" t="s">
        <v>237</v>
      </c>
      <c r="P319" s="38" t="s">
        <v>502</v>
      </c>
      <c r="W319" s="38"/>
      <c r="AF319" s="405" t="s">
        <v>1012</v>
      </c>
      <c r="AG319" s="413">
        <v>5.06</v>
      </c>
      <c r="AH319" s="409">
        <v>6</v>
      </c>
      <c r="AI319" s="408">
        <v>0.465</v>
      </c>
      <c r="AJ319" s="409">
        <v>3.57</v>
      </c>
      <c r="AK319" s="408">
        <v>0.359</v>
      </c>
      <c r="AL319" s="425">
        <v>0.813</v>
      </c>
    </row>
    <row r="320" spans="12:38" ht="12.75">
      <c r="L320" s="399"/>
      <c r="M320" s="95" t="s">
        <v>242</v>
      </c>
      <c r="O320" s="34"/>
      <c r="R320" s="150" t="s">
        <v>473</v>
      </c>
      <c r="AF320" s="405" t="s">
        <v>1013</v>
      </c>
      <c r="AG320" s="413">
        <v>3.66</v>
      </c>
      <c r="AH320" s="409">
        <v>6</v>
      </c>
      <c r="AI320" s="408">
        <v>0.232</v>
      </c>
      <c r="AJ320" s="409">
        <v>3.33</v>
      </c>
      <c r="AK320" s="408">
        <v>0.359</v>
      </c>
      <c r="AL320" s="425">
        <v>0.813</v>
      </c>
    </row>
    <row r="321" spans="12:38" ht="12.75">
      <c r="L321" s="399"/>
      <c r="M321" s="29" t="s">
        <v>676</v>
      </c>
      <c r="O321" s="34"/>
      <c r="AF321" s="405" t="s">
        <v>1014</v>
      </c>
      <c r="AG321" s="413">
        <v>2.93</v>
      </c>
      <c r="AH321" s="409">
        <v>5</v>
      </c>
      <c r="AI321" s="408">
        <v>0.214</v>
      </c>
      <c r="AJ321" s="409">
        <v>3</v>
      </c>
      <c r="AK321" s="408">
        <v>0.326</v>
      </c>
      <c r="AL321" s="425">
        <v>0.75</v>
      </c>
    </row>
    <row r="322" spans="12:38" ht="12.75">
      <c r="L322" s="39"/>
      <c r="M322" s="33" t="s">
        <v>106</v>
      </c>
      <c r="N322" s="43">
        <f>IF(AND($D$29&gt;0,$D$30&gt;0,$D$31&gt;0),$B$45-$D$30-$D$31,"N.A.")</f>
        <v>16</v>
      </c>
      <c r="O322" s="31" t="s">
        <v>268</v>
      </c>
      <c r="P322" s="38" t="s">
        <v>677</v>
      </c>
      <c r="W322" s="38"/>
      <c r="AF322" s="405" t="s">
        <v>1015</v>
      </c>
      <c r="AG322" s="413">
        <v>2.79</v>
      </c>
      <c r="AH322" s="409">
        <v>4</v>
      </c>
      <c r="AI322" s="408">
        <v>0.326</v>
      </c>
      <c r="AJ322" s="409">
        <v>2.8</v>
      </c>
      <c r="AK322" s="408">
        <v>0.293</v>
      </c>
      <c r="AL322" s="425">
        <v>0.75</v>
      </c>
    </row>
    <row r="323" spans="12:38" ht="12.75">
      <c r="L323" s="39"/>
      <c r="M323" s="33" t="s">
        <v>75</v>
      </c>
      <c r="N323" s="84">
        <f>IF(AND($D$29&gt;0,$D$30&gt;0,$D$31&gt;0),$N$322*$B$46,"N.A.")</f>
        <v>5.68</v>
      </c>
      <c r="O323" s="38" t="s">
        <v>243</v>
      </c>
      <c r="P323" s="38" t="s">
        <v>1097</v>
      </c>
      <c r="W323" s="38"/>
      <c r="AF323" s="405" t="s">
        <v>1016</v>
      </c>
      <c r="AG323" s="413">
        <v>2.26</v>
      </c>
      <c r="AH323" s="409">
        <v>4</v>
      </c>
      <c r="AI323" s="408">
        <v>0.193</v>
      </c>
      <c r="AJ323" s="409">
        <v>2.66</v>
      </c>
      <c r="AK323" s="408">
        <v>0.293</v>
      </c>
      <c r="AL323" s="425">
        <v>0.75</v>
      </c>
    </row>
    <row r="324" spans="12:38" ht="12.75">
      <c r="L324" s="399"/>
      <c r="M324" s="33" t="s">
        <v>617</v>
      </c>
      <c r="N324" s="61">
        <f>IF(AND($D$29&gt;0,$D$30&gt;0,$D$31&gt;0),$N$322/$B$46,"N.A.")</f>
        <v>45.07042253521127</v>
      </c>
      <c r="O324" s="34"/>
      <c r="P324" s="29" t="s">
        <v>678</v>
      </c>
      <c r="AF324" s="405" t="s">
        <v>1017</v>
      </c>
      <c r="AG324" s="413">
        <v>2.2</v>
      </c>
      <c r="AH324" s="409">
        <v>3</v>
      </c>
      <c r="AI324" s="408">
        <v>0.349</v>
      </c>
      <c r="AJ324" s="409">
        <v>2.51</v>
      </c>
      <c r="AK324" s="408">
        <v>0.26</v>
      </c>
      <c r="AL324" s="425">
        <v>0.625</v>
      </c>
    </row>
    <row r="325" spans="12:38" ht="12.75">
      <c r="L325" s="39"/>
      <c r="M325" s="33" t="s">
        <v>619</v>
      </c>
      <c r="N325" s="114">
        <f>IF(AND($D$29&gt;0,$D$30&gt;0,$D$31&gt;0),5,"N.A.")</f>
        <v>5</v>
      </c>
      <c r="O325" s="34"/>
      <c r="P325" s="29" t="s">
        <v>620</v>
      </c>
      <c r="AF325" s="414" t="s">
        <v>1018</v>
      </c>
      <c r="AG325" s="415">
        <v>1.66</v>
      </c>
      <c r="AH325" s="416">
        <v>3</v>
      </c>
      <c r="AI325" s="417">
        <v>0.17</v>
      </c>
      <c r="AJ325" s="416">
        <v>2.33</v>
      </c>
      <c r="AK325" s="417">
        <v>0.26</v>
      </c>
      <c r="AL325" s="429">
        <v>0.625</v>
      </c>
    </row>
    <row r="326" spans="13:38" ht="12.75">
      <c r="M326" s="33" t="s">
        <v>621</v>
      </c>
      <c r="N326" s="41">
        <f>IF(AND($D$29&gt;0,$D$30&gt;0,$D$31&gt;0),IF($N$324&lt;=2.24*SQRT(29000/$D$12),1,IF($N$324&lt;=1.1*SQRT($N$325*29000/$D$12),1,IF($N$324&gt;1.37*SQRT($N$325*29000/$D$12),(1.51*29000*$N$325)/($N$324^2*$D$12),(1.1*SQRT($N$325*29000/$D$12))/$N$324))),"N.A.")</f>
        <v>1</v>
      </c>
      <c r="O326" s="34"/>
      <c r="P326" s="29" t="s">
        <v>650</v>
      </c>
      <c r="AF326" s="419" t="s">
        <v>1019</v>
      </c>
      <c r="AG326" s="430">
        <v>34.4</v>
      </c>
      <c r="AH326" s="421">
        <v>14.2</v>
      </c>
      <c r="AI326" s="422">
        <v>0.805</v>
      </c>
      <c r="AJ326" s="421">
        <v>14.9</v>
      </c>
      <c r="AK326" s="422">
        <v>0.805</v>
      </c>
      <c r="AL326" s="431">
        <v>1.5</v>
      </c>
    </row>
    <row r="327" spans="13:38" ht="12.75">
      <c r="M327" s="33" t="s">
        <v>252</v>
      </c>
      <c r="N327" s="41">
        <f>IF(AND($D$29&gt;0,$D$30&gt;0,$D$31&gt;0),(1/1.5)*0.6*$D$12*$N$326*$N$323,"N.A.")</f>
        <v>113.6</v>
      </c>
      <c r="O327" s="31" t="s">
        <v>237</v>
      </c>
      <c r="P327" s="29" t="s">
        <v>671</v>
      </c>
      <c r="AF327" s="405" t="s">
        <v>1020</v>
      </c>
      <c r="AG327" s="406">
        <v>30</v>
      </c>
      <c r="AH327" s="407">
        <v>14</v>
      </c>
      <c r="AI327" s="408">
        <v>0.705</v>
      </c>
      <c r="AJ327" s="407">
        <v>14.8</v>
      </c>
      <c r="AK327" s="408">
        <v>0.705</v>
      </c>
      <c r="AL327" s="432">
        <v>1.38</v>
      </c>
    </row>
    <row r="328" spans="13:38" ht="12.75">
      <c r="M328" s="29" t="s">
        <v>679</v>
      </c>
      <c r="O328" s="34"/>
      <c r="AF328" s="405" t="s">
        <v>1021</v>
      </c>
      <c r="AG328" s="406">
        <v>26.1</v>
      </c>
      <c r="AH328" s="407">
        <v>13.8</v>
      </c>
      <c r="AI328" s="408">
        <v>0.615</v>
      </c>
      <c r="AJ328" s="407">
        <v>14.7</v>
      </c>
      <c r="AK328" s="408">
        <v>0.615</v>
      </c>
      <c r="AL328" s="432">
        <v>1.31</v>
      </c>
    </row>
    <row r="329" spans="13:38" ht="12.75">
      <c r="M329" s="50" t="s">
        <v>253</v>
      </c>
      <c r="N329" s="43">
        <f>$N$323</f>
        <v>5.68</v>
      </c>
      <c r="O329" s="38" t="s">
        <v>243</v>
      </c>
      <c r="P329" s="38" t="s">
        <v>544</v>
      </c>
      <c r="W329" s="38"/>
      <c r="AF329" s="405" t="s">
        <v>1022</v>
      </c>
      <c r="AG329" s="406">
        <v>21.4</v>
      </c>
      <c r="AH329" s="407">
        <v>13.6</v>
      </c>
      <c r="AI329" s="408">
        <v>0.505</v>
      </c>
      <c r="AJ329" s="407">
        <v>14.6</v>
      </c>
      <c r="AK329" s="408">
        <v>0.505</v>
      </c>
      <c r="AL329" s="432">
        <v>1.19</v>
      </c>
    </row>
    <row r="330" spans="7:38" ht="12.75">
      <c r="G330" s="29"/>
      <c r="H330" s="29"/>
      <c r="I330" s="29"/>
      <c r="M330" s="33" t="s">
        <v>254</v>
      </c>
      <c r="N330" s="41">
        <f>IF(AND($D$29&gt;0,$D$30&gt;0,$D$31&gt;0),(1/2)*0.6*$N$6*$N$329,"N.A.")</f>
        <v>110.75999999999999</v>
      </c>
      <c r="O330" s="31" t="s">
        <v>237</v>
      </c>
      <c r="P330" s="29" t="s">
        <v>664</v>
      </c>
      <c r="AF330" s="405" t="s">
        <v>1023</v>
      </c>
      <c r="AG330" s="406">
        <v>24.6</v>
      </c>
      <c r="AH330" s="407">
        <v>12.3</v>
      </c>
      <c r="AI330" s="408">
        <v>0.685</v>
      </c>
      <c r="AJ330" s="407">
        <v>12.3</v>
      </c>
      <c r="AK330" s="408">
        <v>0.685</v>
      </c>
      <c r="AL330" s="432">
        <v>1.38</v>
      </c>
    </row>
    <row r="331" spans="13:38" ht="12.75">
      <c r="M331" s="57" t="s">
        <v>1034</v>
      </c>
      <c r="O331" s="34"/>
      <c r="AF331" s="405" t="s">
        <v>1024</v>
      </c>
      <c r="AG331" s="406">
        <v>21.8</v>
      </c>
      <c r="AH331" s="407">
        <v>12.1</v>
      </c>
      <c r="AI331" s="408">
        <v>0.605</v>
      </c>
      <c r="AJ331" s="407">
        <v>12.2</v>
      </c>
      <c r="AK331" s="408">
        <v>0.61</v>
      </c>
      <c r="AL331" s="432">
        <v>1.31</v>
      </c>
    </row>
    <row r="332" spans="7:38" ht="12.75">
      <c r="G332" s="29"/>
      <c r="H332" s="29"/>
      <c r="I332" s="29"/>
      <c r="M332" s="50" t="s">
        <v>35</v>
      </c>
      <c r="N332" s="43">
        <f>IF(AND($D$29&gt;0,$D$30&gt;0,$D$31&gt;0),$N$322*$B$46,"N.A.")</f>
        <v>5.68</v>
      </c>
      <c r="O332" s="38" t="s">
        <v>243</v>
      </c>
      <c r="P332" s="38" t="s">
        <v>503</v>
      </c>
      <c r="W332" s="38"/>
      <c r="AF332" s="405" t="s">
        <v>1025</v>
      </c>
      <c r="AG332" s="406">
        <v>18.4</v>
      </c>
      <c r="AH332" s="407">
        <v>11.9</v>
      </c>
      <c r="AI332" s="408">
        <v>0.515</v>
      </c>
      <c r="AJ332" s="407">
        <v>12.1</v>
      </c>
      <c r="AK332" s="408">
        <v>0.515</v>
      </c>
      <c r="AL332" s="432">
        <v>1.25</v>
      </c>
    </row>
    <row r="333" spans="13:38" ht="12.75">
      <c r="M333" s="50" t="s">
        <v>36</v>
      </c>
      <c r="N333" s="61">
        <f>IF(AND($D$29&gt;0,$D$30&gt;0,$D$31&gt;0),(0.6*$D$12*$N$332)*IF(1-($D$16/$N$327)^2&gt;0,(1-($D$16/$N$327)^2),0.0001),"N.A.")</f>
        <v>149.2732394366197</v>
      </c>
      <c r="O333" s="38" t="s">
        <v>237</v>
      </c>
      <c r="P333" s="38" t="s">
        <v>110</v>
      </c>
      <c r="Q333" s="57"/>
      <c r="W333" s="38"/>
      <c r="AF333" s="405" t="s">
        <v>1026</v>
      </c>
      <c r="AG333" s="406">
        <v>15.5</v>
      </c>
      <c r="AH333" s="407">
        <v>11.8</v>
      </c>
      <c r="AI333" s="408">
        <v>0.435</v>
      </c>
      <c r="AJ333" s="407">
        <v>12</v>
      </c>
      <c r="AK333" s="408">
        <v>0.435</v>
      </c>
      <c r="AL333" s="432">
        <v>1.13</v>
      </c>
    </row>
    <row r="334" spans="13:38" ht="12.75">
      <c r="M334" s="29" t="s">
        <v>108</v>
      </c>
      <c r="O334" s="34"/>
      <c r="AF334" s="405" t="s">
        <v>1027</v>
      </c>
      <c r="AG334" s="406">
        <v>16.8</v>
      </c>
      <c r="AH334" s="407">
        <v>10</v>
      </c>
      <c r="AI334" s="408">
        <v>0.565</v>
      </c>
      <c r="AJ334" s="407">
        <v>10.2</v>
      </c>
      <c r="AK334" s="408">
        <v>0.565</v>
      </c>
      <c r="AL334" s="432">
        <v>1.25</v>
      </c>
    </row>
    <row r="335" spans="13:38" ht="12.75">
      <c r="M335" s="33" t="s">
        <v>601</v>
      </c>
      <c r="N335" s="43">
        <f>IF(AND($D$29&gt;0,$D$30&gt;0,$D$31&gt;0),(($D$27-$D$30)+$D$26)*$B$46,"N.A.")</f>
        <v>5.191875</v>
      </c>
      <c r="O335" s="31" t="s">
        <v>243</v>
      </c>
      <c r="P335" s="38" t="s">
        <v>606</v>
      </c>
      <c r="W335" s="38"/>
      <c r="AF335" s="405" t="s">
        <v>1028</v>
      </c>
      <c r="AG335" s="406">
        <v>12.4</v>
      </c>
      <c r="AH335" s="409">
        <v>9.7</v>
      </c>
      <c r="AI335" s="408">
        <v>0.415</v>
      </c>
      <c r="AJ335" s="407">
        <v>10.1</v>
      </c>
      <c r="AK335" s="408">
        <v>0.42</v>
      </c>
      <c r="AL335" s="432">
        <v>1.13</v>
      </c>
    </row>
    <row r="336" spans="7:38" ht="12.75">
      <c r="G336" s="29"/>
      <c r="H336" s="29"/>
      <c r="I336" s="29"/>
      <c r="M336" s="33" t="s">
        <v>602</v>
      </c>
      <c r="N336" s="43">
        <f>IF(AND($D$29&gt;0,$D$30&gt;0,$D$31&gt;0),($D$21-$D$28)*$B$46,"N.A.")</f>
        <v>0.8875</v>
      </c>
      <c r="O336" s="31" t="s">
        <v>243</v>
      </c>
      <c r="P336" s="29" t="s">
        <v>546</v>
      </c>
      <c r="AF336" s="414" t="s">
        <v>1029</v>
      </c>
      <c r="AG336" s="433">
        <v>10.6</v>
      </c>
      <c r="AH336" s="416">
        <v>8.02</v>
      </c>
      <c r="AI336" s="417">
        <v>0.445</v>
      </c>
      <c r="AJ336" s="416">
        <v>8.16</v>
      </c>
      <c r="AK336" s="417">
        <v>0.445</v>
      </c>
      <c r="AL336" s="434">
        <v>1.13</v>
      </c>
    </row>
    <row r="337" spans="13:38" ht="12.75">
      <c r="M337" s="33" t="s">
        <v>220</v>
      </c>
      <c r="N337" s="41">
        <f>IF(AND($D$29&gt;0,$D$30&gt;0,$D$31&gt;0),0.3*$D$12*$N$335+0.5*$N$6*$N$336,"N.A.")</f>
        <v>106.721875</v>
      </c>
      <c r="O337" s="31" t="s">
        <v>237</v>
      </c>
      <c r="P337" s="31" t="s">
        <v>545</v>
      </c>
      <c r="W337" s="31"/>
      <c r="AF337" s="419" t="s">
        <v>1181</v>
      </c>
      <c r="AG337" s="430">
        <v>14.7</v>
      </c>
      <c r="AH337" s="421">
        <v>15</v>
      </c>
      <c r="AI337" s="422">
        <v>0.716</v>
      </c>
      <c r="AJ337" s="421">
        <v>3.72</v>
      </c>
      <c r="AK337" s="422">
        <v>0.65</v>
      </c>
      <c r="AL337" s="431">
        <v>1.44</v>
      </c>
    </row>
    <row r="338" spans="13:38" ht="12.75">
      <c r="M338" s="57" t="s">
        <v>505</v>
      </c>
      <c r="O338" s="34"/>
      <c r="AF338" s="405" t="s">
        <v>1182</v>
      </c>
      <c r="AG338" s="406">
        <v>11.8</v>
      </c>
      <c r="AH338" s="407">
        <v>15</v>
      </c>
      <c r="AI338" s="408">
        <v>0.52</v>
      </c>
      <c r="AJ338" s="407">
        <v>3.52</v>
      </c>
      <c r="AK338" s="408">
        <v>0.65</v>
      </c>
      <c r="AL338" s="432">
        <v>1.44</v>
      </c>
    </row>
    <row r="339" spans="13:38" ht="12.75">
      <c r="M339" s="50" t="s">
        <v>601</v>
      </c>
      <c r="N339" s="43">
        <f>IF(AND($D$29&gt;0,$D$30&gt;0,$D$31&gt;0),($D$21-$D$28)*$B$46,"N.A.")</f>
        <v>0.8875</v>
      </c>
      <c r="O339" s="38" t="s">
        <v>498</v>
      </c>
      <c r="P339" s="29" t="s">
        <v>547</v>
      </c>
      <c r="AF339" s="405" t="s">
        <v>1183</v>
      </c>
      <c r="AG339" s="406">
        <v>10</v>
      </c>
      <c r="AH339" s="407">
        <v>15</v>
      </c>
      <c r="AI339" s="408">
        <v>0.4</v>
      </c>
      <c r="AJ339" s="407">
        <v>3.4</v>
      </c>
      <c r="AK339" s="408">
        <v>0.65</v>
      </c>
      <c r="AL339" s="432">
        <v>1.44</v>
      </c>
    </row>
    <row r="340" spans="7:38" ht="12.75">
      <c r="G340" s="29"/>
      <c r="H340" s="29"/>
      <c r="I340" s="29"/>
      <c r="M340" s="50" t="s">
        <v>602</v>
      </c>
      <c r="N340" s="43">
        <f>IF(AND($D$29&gt;0,$D$30&gt;0,$D$31&gt;0),(($D$27-$D$30)+$D$26)*$B$46,"N.A.")</f>
        <v>5.191875</v>
      </c>
      <c r="O340" s="38" t="s">
        <v>243</v>
      </c>
      <c r="P340" s="38" t="s">
        <v>608</v>
      </c>
      <c r="Q340" s="57"/>
      <c r="W340" s="38"/>
      <c r="AF340" s="405" t="s">
        <v>1184</v>
      </c>
      <c r="AG340" s="406">
        <v>8.81</v>
      </c>
      <c r="AH340" s="407">
        <v>12</v>
      </c>
      <c r="AI340" s="408">
        <v>0.51</v>
      </c>
      <c r="AJ340" s="407">
        <v>3.17</v>
      </c>
      <c r="AK340" s="408">
        <v>0.501</v>
      </c>
      <c r="AL340" s="432">
        <v>1.13</v>
      </c>
    </row>
    <row r="341" spans="7:38" ht="12.75">
      <c r="G341" s="29"/>
      <c r="H341" s="29"/>
      <c r="I341" s="29"/>
      <c r="M341" s="33" t="s">
        <v>426</v>
      </c>
      <c r="N341" s="41">
        <f>IF(AND($D$29&gt;0,$D$30&gt;0,$D$31&gt;0),(0.3*$D$12*$N$339+0.5*$N$6*$N$340)*(1-($D$16/$N$337)^2),"N.A.")</f>
        <v>156.47435599783438</v>
      </c>
      <c r="O341" s="31" t="s">
        <v>237</v>
      </c>
      <c r="P341" s="31" t="s">
        <v>548</v>
      </c>
      <c r="Q341" s="57"/>
      <c r="R341" s="57"/>
      <c r="W341" s="31"/>
      <c r="AF341" s="405" t="s">
        <v>1185</v>
      </c>
      <c r="AG341" s="406">
        <v>7.34</v>
      </c>
      <c r="AH341" s="407">
        <v>12</v>
      </c>
      <c r="AI341" s="408">
        <v>0.387</v>
      </c>
      <c r="AJ341" s="407">
        <v>3.05</v>
      </c>
      <c r="AK341" s="408">
        <v>0.501</v>
      </c>
      <c r="AL341" s="432">
        <v>1.13</v>
      </c>
    </row>
    <row r="342" spans="7:38" ht="12.75">
      <c r="G342" s="29"/>
      <c r="H342" s="29"/>
      <c r="I342" s="29"/>
      <c r="M342" s="57" t="s">
        <v>1081</v>
      </c>
      <c r="O342" s="34"/>
      <c r="AF342" s="405" t="s">
        <v>1186</v>
      </c>
      <c r="AG342" s="406">
        <v>6.08</v>
      </c>
      <c r="AH342" s="407">
        <v>12</v>
      </c>
      <c r="AI342" s="408">
        <v>0.282</v>
      </c>
      <c r="AJ342" s="407">
        <v>2.94</v>
      </c>
      <c r="AK342" s="408">
        <v>0.501</v>
      </c>
      <c r="AL342" s="432">
        <v>1.13</v>
      </c>
    </row>
    <row r="343" spans="7:38" ht="12.75">
      <c r="G343" s="29"/>
      <c r="H343" s="29"/>
      <c r="I343" s="29"/>
      <c r="M343" s="50" t="s">
        <v>601</v>
      </c>
      <c r="N343" s="43">
        <f>IF(AND($D$29&gt;0,$D$30&gt;0,$D$31&gt;0),2*($D$21-$D$28)*$B$46,"N.A.")</f>
        <v>1.775</v>
      </c>
      <c r="O343" s="38" t="s">
        <v>498</v>
      </c>
      <c r="P343" s="29" t="s">
        <v>549</v>
      </c>
      <c r="AF343" s="405" t="s">
        <v>1187</v>
      </c>
      <c r="AG343" s="406">
        <v>8.81</v>
      </c>
      <c r="AH343" s="407">
        <v>10</v>
      </c>
      <c r="AI343" s="408">
        <v>0.673</v>
      </c>
      <c r="AJ343" s="407">
        <v>3.03</v>
      </c>
      <c r="AK343" s="408">
        <v>0.436</v>
      </c>
      <c r="AL343" s="432">
        <v>1</v>
      </c>
    </row>
    <row r="344" spans="7:38" ht="12.75">
      <c r="G344" s="29"/>
      <c r="H344" s="29"/>
      <c r="I344" s="29"/>
      <c r="M344" s="50" t="s">
        <v>602</v>
      </c>
      <c r="N344" s="43">
        <f>IF(AND($D$29&gt;0,$D$30&gt;0,$D$31&gt;0),$D$26*$B$46,"N.A.")</f>
        <v>4.26</v>
      </c>
      <c r="O344" s="38" t="s">
        <v>243</v>
      </c>
      <c r="P344" s="31" t="s">
        <v>605</v>
      </c>
      <c r="Q344" s="111"/>
      <c r="W344" s="31"/>
      <c r="AF344" s="405" t="s">
        <v>1188</v>
      </c>
      <c r="AG344" s="406">
        <v>7.34</v>
      </c>
      <c r="AH344" s="407">
        <v>10</v>
      </c>
      <c r="AI344" s="408">
        <v>0.526</v>
      </c>
      <c r="AJ344" s="407">
        <v>2.89</v>
      </c>
      <c r="AK344" s="408">
        <v>0.436</v>
      </c>
      <c r="AL344" s="432">
        <v>1</v>
      </c>
    </row>
    <row r="345" spans="7:38" ht="12.75">
      <c r="G345" s="29"/>
      <c r="H345" s="29"/>
      <c r="I345" s="29"/>
      <c r="M345" s="50" t="s">
        <v>426</v>
      </c>
      <c r="N345" s="41">
        <f>IF(AND($D$29&gt;0,$D$30&gt;0,$D$31&gt;0),IF($N$344&gt;"N.A.","N.A.",0.3*$D$12*$N$343+0.5*$N$6*$N$344),"N.A.")</f>
        <v>165.075</v>
      </c>
      <c r="O345" s="38" t="s">
        <v>237</v>
      </c>
      <c r="P345" s="31" t="s">
        <v>515</v>
      </c>
      <c r="Q345" s="111"/>
      <c r="W345" s="31"/>
      <c r="AF345" s="405" t="s">
        <v>1189</v>
      </c>
      <c r="AG345" s="406">
        <v>5.87</v>
      </c>
      <c r="AH345" s="407">
        <v>10</v>
      </c>
      <c r="AI345" s="408">
        <v>0.379</v>
      </c>
      <c r="AJ345" s="407">
        <v>2.74</v>
      </c>
      <c r="AK345" s="408">
        <v>0.436</v>
      </c>
      <c r="AL345" s="432">
        <v>1</v>
      </c>
    </row>
    <row r="346" spans="7:38" ht="12.75">
      <c r="G346" s="29"/>
      <c r="H346" s="29"/>
      <c r="I346" s="29"/>
      <c r="M346" s="57" t="s">
        <v>680</v>
      </c>
      <c r="O346" s="34"/>
      <c r="AF346" s="405" t="s">
        <v>1190</v>
      </c>
      <c r="AG346" s="406">
        <v>4.48</v>
      </c>
      <c r="AH346" s="407">
        <v>10</v>
      </c>
      <c r="AI346" s="408">
        <v>0.24</v>
      </c>
      <c r="AJ346" s="407">
        <v>2.6</v>
      </c>
      <c r="AK346" s="408">
        <v>0.436</v>
      </c>
      <c r="AL346" s="432">
        <v>1</v>
      </c>
    </row>
    <row r="347" spans="7:38" ht="12.75">
      <c r="G347" s="29"/>
      <c r="H347" s="29"/>
      <c r="I347" s="29"/>
      <c r="M347" s="33" t="s">
        <v>106</v>
      </c>
      <c r="N347" s="43">
        <f>IF(AND($D$29&gt;0,$D$30&gt;0,$D$31&gt;0),$N$322,"N.A.")</f>
        <v>16</v>
      </c>
      <c r="O347" s="31" t="s">
        <v>268</v>
      </c>
      <c r="P347" s="38" t="s">
        <v>677</v>
      </c>
      <c r="Q347" s="57"/>
      <c r="W347" s="38"/>
      <c r="AF347" s="405" t="s">
        <v>1191</v>
      </c>
      <c r="AG347" s="406">
        <v>5.87</v>
      </c>
      <c r="AH347" s="407">
        <v>9</v>
      </c>
      <c r="AI347" s="408">
        <v>0.448</v>
      </c>
      <c r="AJ347" s="407">
        <v>2.65</v>
      </c>
      <c r="AK347" s="408">
        <v>0.413</v>
      </c>
      <c r="AL347" s="432">
        <v>1</v>
      </c>
    </row>
    <row r="348" spans="7:38" ht="12.75">
      <c r="G348" s="29"/>
      <c r="H348" s="29"/>
      <c r="I348" s="29"/>
      <c r="M348" s="33" t="s">
        <v>325</v>
      </c>
      <c r="N348" s="43">
        <f>IF(AND($D$29&gt;0,$D$30&gt;0,$D$31&gt;0),$D$29+$D$28,"N.A.")</f>
        <v>3.5</v>
      </c>
      <c r="O348" s="31" t="s">
        <v>268</v>
      </c>
      <c r="P348" s="38" t="s">
        <v>6</v>
      </c>
      <c r="Q348" s="57"/>
      <c r="W348" s="38"/>
      <c r="AF348" s="405" t="s">
        <v>1192</v>
      </c>
      <c r="AG348" s="406">
        <v>4.41</v>
      </c>
      <c r="AH348" s="407">
        <v>9</v>
      </c>
      <c r="AI348" s="408">
        <v>0.285</v>
      </c>
      <c r="AJ348" s="407">
        <v>2.49</v>
      </c>
      <c r="AK348" s="408">
        <v>0.413</v>
      </c>
      <c r="AL348" s="432">
        <v>1</v>
      </c>
    </row>
    <row r="349" spans="7:38" ht="12.75">
      <c r="G349" s="29"/>
      <c r="H349" s="29"/>
      <c r="I349" s="29"/>
      <c r="M349" s="33" t="s">
        <v>1131</v>
      </c>
      <c r="N349" s="43">
        <f>IF(AND($D$29&gt;0,$D$30&gt;0,$D$31&gt;0),$N$347/2,"N.A.")</f>
        <v>8</v>
      </c>
      <c r="O349" s="31" t="s">
        <v>268</v>
      </c>
      <c r="P349" s="72" t="s">
        <v>316</v>
      </c>
      <c r="Q349" s="57"/>
      <c r="W349" s="72"/>
      <c r="AF349" s="405" t="s">
        <v>1193</v>
      </c>
      <c r="AG349" s="406">
        <v>3.94</v>
      </c>
      <c r="AH349" s="407">
        <v>9</v>
      </c>
      <c r="AI349" s="408">
        <v>0.233</v>
      </c>
      <c r="AJ349" s="407">
        <v>2.43</v>
      </c>
      <c r="AK349" s="408">
        <v>0.413</v>
      </c>
      <c r="AL349" s="432">
        <v>1</v>
      </c>
    </row>
    <row r="350" spans="7:38" ht="12.75">
      <c r="G350" s="29"/>
      <c r="H350" s="29"/>
      <c r="I350" s="29"/>
      <c r="M350" s="33" t="s">
        <v>424</v>
      </c>
      <c r="N350" s="61">
        <f>IF(AND($D$29&gt;0,$D$30&gt;0,$D$31&gt;0),$B$46*$N$347^3/12,"N.A.")</f>
        <v>121.17333333333333</v>
      </c>
      <c r="O350" s="31" t="s">
        <v>499</v>
      </c>
      <c r="P350" s="38" t="s">
        <v>317</v>
      </c>
      <c r="Q350" s="57"/>
      <c r="W350" s="38"/>
      <c r="AF350" s="405" t="s">
        <v>1194</v>
      </c>
      <c r="AG350" s="406">
        <v>5.51</v>
      </c>
      <c r="AH350" s="407">
        <v>8</v>
      </c>
      <c r="AI350" s="408">
        <v>0.487</v>
      </c>
      <c r="AJ350" s="407">
        <v>2.53</v>
      </c>
      <c r="AK350" s="408">
        <v>0.39</v>
      </c>
      <c r="AL350" s="432">
        <v>0.938</v>
      </c>
    </row>
    <row r="351" spans="7:38" ht="12.75">
      <c r="G351" s="31"/>
      <c r="H351" s="29"/>
      <c r="I351" s="29"/>
      <c r="M351" s="33" t="s">
        <v>191</v>
      </c>
      <c r="N351" s="61">
        <f>IF(AND($D$29&gt;0,$D$30&gt;0,$D$31&gt;0),$N$350/($N$347-$N$349),"N.A.")</f>
        <v>15.146666666666667</v>
      </c>
      <c r="O351" s="31" t="s">
        <v>498</v>
      </c>
      <c r="P351" s="57" t="s">
        <v>318</v>
      </c>
      <c r="Q351" s="57"/>
      <c r="W351" s="57"/>
      <c r="AF351" s="405" t="s">
        <v>1195</v>
      </c>
      <c r="AG351" s="406">
        <v>4.04</v>
      </c>
      <c r="AH351" s="407">
        <v>8</v>
      </c>
      <c r="AI351" s="408">
        <v>0.303</v>
      </c>
      <c r="AJ351" s="407">
        <v>2.34</v>
      </c>
      <c r="AK351" s="408">
        <v>0.39</v>
      </c>
      <c r="AL351" s="432">
        <v>0.938</v>
      </c>
    </row>
    <row r="352" spans="7:38" ht="12.75">
      <c r="G352" s="31"/>
      <c r="H352" s="29"/>
      <c r="I352" s="29"/>
      <c r="M352" s="33" t="s">
        <v>107</v>
      </c>
      <c r="N352" s="61">
        <f>IF(AND($D$29&gt;0,$D$30&gt;0,$D$31&gt;0),(1/2)*$N$6*IF(1-$D$17/(0.6*$D$12*$N$332)&gt;0,(1-$D$17/(0.6*$D$12*$N$332)),0.0001),"N.A.")</f>
        <v>31.546361502347416</v>
      </c>
      <c r="O352" s="38" t="s">
        <v>245</v>
      </c>
      <c r="P352" s="38" t="s">
        <v>1255</v>
      </c>
      <c r="W352" s="38"/>
      <c r="AF352" s="405" t="s">
        <v>1196</v>
      </c>
      <c r="AG352" s="406">
        <v>3.37</v>
      </c>
      <c r="AH352" s="407">
        <v>8</v>
      </c>
      <c r="AI352" s="408">
        <v>0.22</v>
      </c>
      <c r="AJ352" s="407">
        <v>2.26</v>
      </c>
      <c r="AK352" s="408">
        <v>0.39</v>
      </c>
      <c r="AL352" s="432">
        <v>0.938</v>
      </c>
    </row>
    <row r="353" spans="7:38" ht="12.75">
      <c r="G353" s="38"/>
      <c r="H353" s="29"/>
      <c r="I353" s="29"/>
      <c r="M353" s="33" t="s">
        <v>104</v>
      </c>
      <c r="N353" s="61">
        <f>IF(AND($D$29&gt;0,$D$30&gt;0,$D$31&gt;0),$N$352*$N$351/$N$348,"N.A.")</f>
        <v>136.5206349206349</v>
      </c>
      <c r="O353" s="31" t="s">
        <v>237</v>
      </c>
      <c r="P353" s="38" t="s">
        <v>502</v>
      </c>
      <c r="W353" s="38"/>
      <c r="AF353" s="405" t="s">
        <v>1197</v>
      </c>
      <c r="AG353" s="406">
        <v>4.33</v>
      </c>
      <c r="AH353" s="407">
        <v>7</v>
      </c>
      <c r="AI353" s="408">
        <v>0.419</v>
      </c>
      <c r="AJ353" s="407">
        <v>2.3</v>
      </c>
      <c r="AK353" s="408">
        <v>0.366</v>
      </c>
      <c r="AL353" s="432">
        <v>0.875</v>
      </c>
    </row>
    <row r="354" spans="7:38" ht="12.75">
      <c r="G354" s="29"/>
      <c r="H354" s="29"/>
      <c r="I354" s="29"/>
      <c r="M354" s="57" t="s">
        <v>681</v>
      </c>
      <c r="O354" s="34"/>
      <c r="AF354" s="405" t="s">
        <v>1198</v>
      </c>
      <c r="AG354" s="406">
        <v>3.6</v>
      </c>
      <c r="AH354" s="407">
        <v>7</v>
      </c>
      <c r="AI354" s="408">
        <v>0.314</v>
      </c>
      <c r="AJ354" s="407">
        <v>2.19</v>
      </c>
      <c r="AK354" s="408">
        <v>0.366</v>
      </c>
      <c r="AL354" s="432">
        <v>0.875</v>
      </c>
    </row>
    <row r="355" spans="13:38" ht="12.75">
      <c r="M355" s="50" t="s">
        <v>682</v>
      </c>
      <c r="N355" s="43">
        <f>IF(AND($D$29&gt;0,$D$30&gt;0,$D$31&gt;0),IF(AND($D$30&lt;=0.2*$B$45,$D$30=$D$31),3.5-7.5*$D$30/$B$45,"N.A."),"N.A.")</f>
        <v>3.0833333333333335</v>
      </c>
      <c r="O355" s="34"/>
      <c r="P355" s="38" t="s">
        <v>683</v>
      </c>
      <c r="W355" s="38"/>
      <c r="AF355" s="405" t="s">
        <v>1199</v>
      </c>
      <c r="AG355" s="406">
        <v>2.87</v>
      </c>
      <c r="AH355" s="407">
        <v>7</v>
      </c>
      <c r="AI355" s="408">
        <v>0.21</v>
      </c>
      <c r="AJ355" s="407">
        <v>2.09</v>
      </c>
      <c r="AK355" s="408">
        <v>0.366</v>
      </c>
      <c r="AL355" s="432">
        <v>0.875</v>
      </c>
    </row>
    <row r="356" spans="13:38" ht="12.75">
      <c r="M356" s="50" t="s">
        <v>684</v>
      </c>
      <c r="N356" s="43" t="str">
        <f>IF(AND($D$29&gt;0,$D$30&gt;0,$D$31&gt;0),IF($D$30&gt;0.2*$B$45,($N$347*SQRT($D$12))/(10*$B$46*SQRT(475+280*($N$347/$D$29)^2)),"N.A."),"N.A.")</f>
        <v>N.A.</v>
      </c>
      <c r="O356" s="34"/>
      <c r="P356" s="29" t="s">
        <v>685</v>
      </c>
      <c r="AF356" s="405" t="s">
        <v>1200</v>
      </c>
      <c r="AG356" s="406">
        <v>3.81</v>
      </c>
      <c r="AH356" s="407">
        <v>6</v>
      </c>
      <c r="AI356" s="408">
        <v>0.437</v>
      </c>
      <c r="AJ356" s="407">
        <v>2.16</v>
      </c>
      <c r="AK356" s="408">
        <v>0.343</v>
      </c>
      <c r="AL356" s="432">
        <v>0.813</v>
      </c>
    </row>
    <row r="357" spans="13:38" ht="12.75">
      <c r="M357" s="50" t="s">
        <v>686</v>
      </c>
      <c r="N357" s="43" t="str">
        <f>IF(AND($D$29&gt;0,$D$30&gt;0,$D$31&gt;0),IF($N$356="N.A.","N.A.",IF($N$356&lt;=0.7,1,IF($N$356&gt;1.41,1.3/($N$356^2),1.34-0.486*$N$356))),"N.A.")</f>
        <v>N.A.</v>
      </c>
      <c r="O357" s="34"/>
      <c r="P357" s="29" t="s">
        <v>687</v>
      </c>
      <c r="AF357" s="405" t="s">
        <v>1201</v>
      </c>
      <c r="AG357" s="406">
        <v>3.08</v>
      </c>
      <c r="AH357" s="407">
        <v>6</v>
      </c>
      <c r="AI357" s="408">
        <v>0.314</v>
      </c>
      <c r="AJ357" s="407">
        <v>2.03</v>
      </c>
      <c r="AK357" s="408">
        <v>0.343</v>
      </c>
      <c r="AL357" s="432">
        <v>0.813</v>
      </c>
    </row>
    <row r="358" spans="13:38" ht="12.75">
      <c r="M358" s="50" t="s">
        <v>688</v>
      </c>
      <c r="N358" s="61">
        <f>IF(AND($D$29&gt;0,$D$30&gt;0,$D$31&gt;0),IF($N$356="N.A.",(1/1.67)*IF(1-$D$17/(0.6*$D$12*$N$332)&gt;0,(1-$D$17/(0.6*$D$12*$N$332)),0.0001)*MIN($D$12,(0.62*PI()*29000*($B$46^2)*$N$355)/($N$347*$D$29)),(1/1.67)*$N$357*$D$12*IF(1-$D$17/(0.6*$D$12*$N$332)&gt;0,(1-$D$17/(0.6*$D$12*$N$332)),0.0001)),"N.A.")</f>
        <v>29.061595119619916</v>
      </c>
      <c r="O358" s="38" t="s">
        <v>245</v>
      </c>
      <c r="P358" s="29" t="str">
        <f>IF($N$356="N.A.","Fbc = (1/1.67)*(1-P/(0.60*Fy*Atg))*min{ [0.62*pi*29000*tw^2*fd] / (c*ho), Fy}","(1/1.67)*Fy*Q*(1-P/(0.60*Fy*Atg))")</f>
        <v>Fbc = (1/1.67)*(1-P/(0.60*Fy*Atg))*min{ [0.62*pi*29000*tw^2*fd] / (c*ho), Fy}</v>
      </c>
      <c r="AF358" s="405" t="s">
        <v>1202</v>
      </c>
      <c r="AG358" s="406">
        <v>2.39</v>
      </c>
      <c r="AH358" s="407">
        <v>6</v>
      </c>
      <c r="AI358" s="408">
        <v>0.2</v>
      </c>
      <c r="AJ358" s="407">
        <v>1.92</v>
      </c>
      <c r="AK358" s="408">
        <v>0.343</v>
      </c>
      <c r="AL358" s="432">
        <v>0.813</v>
      </c>
    </row>
    <row r="359" spans="13:38" ht="12.75">
      <c r="M359" s="33" t="s">
        <v>104</v>
      </c>
      <c r="N359" s="61">
        <f>IF(AND($D$29&gt;0,$D$30&gt;0,$D$31&gt;0),$N$358*$N$351/$N$348,"N.A.")</f>
        <v>125.7675125938599</v>
      </c>
      <c r="O359" s="31" t="s">
        <v>237</v>
      </c>
      <c r="P359" s="38" t="s">
        <v>502</v>
      </c>
      <c r="W359" s="38"/>
      <c r="AF359" s="405" t="s">
        <v>1203</v>
      </c>
      <c r="AG359" s="406">
        <v>2.64</v>
      </c>
      <c r="AH359" s="407">
        <v>5</v>
      </c>
      <c r="AI359" s="408">
        <v>0.325</v>
      </c>
      <c r="AJ359" s="407">
        <v>1.89</v>
      </c>
      <c r="AK359" s="408">
        <v>0.32</v>
      </c>
      <c r="AL359" s="432">
        <v>0.75</v>
      </c>
    </row>
    <row r="360" spans="13:38" ht="12.75">
      <c r="M360" s="160" t="s">
        <v>161</v>
      </c>
      <c r="AF360" s="405" t="s">
        <v>1204</v>
      </c>
      <c r="AG360" s="406">
        <v>1.97</v>
      </c>
      <c r="AH360" s="407">
        <v>5</v>
      </c>
      <c r="AI360" s="408">
        <v>0.19</v>
      </c>
      <c r="AJ360" s="407">
        <v>1.75</v>
      </c>
      <c r="AK360" s="408">
        <v>0.32</v>
      </c>
      <c r="AL360" s="432">
        <v>0.75</v>
      </c>
    </row>
    <row r="361" spans="13:38" ht="12.75">
      <c r="M361" s="38" t="s">
        <v>629</v>
      </c>
      <c r="AF361" s="405" t="s">
        <v>1205</v>
      </c>
      <c r="AG361" s="406">
        <v>2.13</v>
      </c>
      <c r="AH361" s="407">
        <v>4</v>
      </c>
      <c r="AI361" s="408">
        <v>0.321</v>
      </c>
      <c r="AJ361" s="407">
        <v>1.72</v>
      </c>
      <c r="AK361" s="408">
        <v>0.296</v>
      </c>
      <c r="AL361" s="432">
        <v>0.75</v>
      </c>
    </row>
    <row r="362" spans="13:38" ht="12.75">
      <c r="M362" s="74" t="s">
        <v>51</v>
      </c>
      <c r="N362" s="43">
        <f>$N$10</f>
        <v>7.125016348901795</v>
      </c>
      <c r="O362" s="31" t="s">
        <v>269</v>
      </c>
      <c r="P362" s="115" t="s">
        <v>53</v>
      </c>
      <c r="W362" s="115"/>
      <c r="AF362" s="405" t="s">
        <v>1206</v>
      </c>
      <c r="AG362" s="406">
        <v>1.58</v>
      </c>
      <c r="AH362" s="407">
        <v>4</v>
      </c>
      <c r="AI362" s="408">
        <v>0.184</v>
      </c>
      <c r="AJ362" s="407">
        <v>1.58</v>
      </c>
      <c r="AK362" s="408">
        <v>0.296</v>
      </c>
      <c r="AL362" s="432">
        <v>0.75</v>
      </c>
    </row>
    <row r="363" spans="13:38" ht="12.75">
      <c r="M363" s="33" t="s">
        <v>427</v>
      </c>
      <c r="N363" s="61">
        <f>$N$11</f>
        <v>82.77323612608444</v>
      </c>
      <c r="O363" s="38" t="s">
        <v>237</v>
      </c>
      <c r="P363" s="48" t="s">
        <v>642</v>
      </c>
      <c r="W363" s="48"/>
      <c r="AF363" s="405" t="s">
        <v>1207</v>
      </c>
      <c r="AG363" s="406">
        <v>1.38</v>
      </c>
      <c r="AH363" s="407">
        <v>4</v>
      </c>
      <c r="AI363" s="408">
        <v>0.125</v>
      </c>
      <c r="AJ363" s="407">
        <v>1.58</v>
      </c>
      <c r="AK363" s="408">
        <v>0.296</v>
      </c>
      <c r="AL363" s="432">
        <v>0.75</v>
      </c>
    </row>
    <row r="364" spans="13:38" ht="12.75">
      <c r="M364" s="33" t="s">
        <v>625</v>
      </c>
      <c r="N364" s="43">
        <f>3.09*16*$D$25/$N$7</f>
        <v>0.23769230769230767</v>
      </c>
      <c r="O364" s="29" t="s">
        <v>268</v>
      </c>
      <c r="P364" s="29" t="s">
        <v>626</v>
      </c>
      <c r="AF364" s="405" t="s">
        <v>1208</v>
      </c>
      <c r="AG364" s="406">
        <v>1.76</v>
      </c>
      <c r="AH364" s="407">
        <v>3</v>
      </c>
      <c r="AI364" s="408">
        <v>0.356</v>
      </c>
      <c r="AJ364" s="407">
        <v>1.6</v>
      </c>
      <c r="AK364" s="408">
        <v>0.273</v>
      </c>
      <c r="AL364" s="432">
        <v>0.688</v>
      </c>
    </row>
    <row r="365" spans="13:38" ht="12.75">
      <c r="M365" s="33" t="s">
        <v>648</v>
      </c>
      <c r="N365" s="34" t="str">
        <f>IF($N$364&gt;$D$48,"Yes","No")</f>
        <v>No</v>
      </c>
      <c r="P365" s="29" t="s">
        <v>627</v>
      </c>
      <c r="AF365" s="405" t="s">
        <v>1209</v>
      </c>
      <c r="AG365" s="406">
        <v>1.47</v>
      </c>
      <c r="AH365" s="407">
        <v>3</v>
      </c>
      <c r="AI365" s="408">
        <v>0.258</v>
      </c>
      <c r="AJ365" s="407">
        <v>1.5</v>
      </c>
      <c r="AK365" s="408">
        <v>0.273</v>
      </c>
      <c r="AL365" s="432">
        <v>0.688</v>
      </c>
    </row>
    <row r="366" spans="13:38" ht="12.75">
      <c r="M366" s="33" t="s">
        <v>624</v>
      </c>
      <c r="N366" s="61">
        <f>IF($N$365="No",$N$11,$N$11*$D$48/$N$364)</f>
        <v>82.77323612608444</v>
      </c>
      <c r="O366" s="31" t="s">
        <v>237</v>
      </c>
      <c r="P366" s="155" t="str">
        <f>IF($N$365="No","Rwr' = Rwr, tmin &lt; tfc, no reduction in strength is needed","Rwr' = Rwr*tfc/tmin")</f>
        <v>Rwr' = Rwr, tmin &lt; tfc, no reduction in strength is needed</v>
      </c>
      <c r="W366" s="155"/>
      <c r="AF366" s="405" t="s">
        <v>1210</v>
      </c>
      <c r="AG366" s="406">
        <v>1.2</v>
      </c>
      <c r="AH366" s="407">
        <v>3</v>
      </c>
      <c r="AI366" s="408">
        <v>0.17</v>
      </c>
      <c r="AJ366" s="407">
        <v>1.41</v>
      </c>
      <c r="AK366" s="408">
        <v>0.273</v>
      </c>
      <c r="AL366" s="432">
        <v>0.688</v>
      </c>
    </row>
    <row r="367" spans="13:38" ht="12.75">
      <c r="M367" s="33" t="s">
        <v>428</v>
      </c>
      <c r="N367" s="41">
        <f>$N$366*COS($N$362*PI()/180)</f>
        <v>82.13405099191012</v>
      </c>
      <c r="O367" s="31" t="s">
        <v>237</v>
      </c>
      <c r="P367" s="92" t="s">
        <v>635</v>
      </c>
      <c r="W367" s="92"/>
      <c r="AF367" s="414" t="s">
        <v>1211</v>
      </c>
      <c r="AG367" s="433">
        <v>1.09</v>
      </c>
      <c r="AH367" s="416">
        <v>3</v>
      </c>
      <c r="AI367" s="417">
        <v>0.132</v>
      </c>
      <c r="AJ367" s="416">
        <v>1.37</v>
      </c>
      <c r="AK367" s="417">
        <v>0.273</v>
      </c>
      <c r="AL367" s="434">
        <v>0.688</v>
      </c>
    </row>
    <row r="368" spans="13:38" ht="12.75">
      <c r="M368" s="33" t="s">
        <v>429</v>
      </c>
      <c r="N368" s="61">
        <f>$N$366*SIN($N$362*PI()/180)</f>
        <v>10.26675637398876</v>
      </c>
      <c r="O368" s="31" t="s">
        <v>237</v>
      </c>
      <c r="P368" s="92" t="s">
        <v>636</v>
      </c>
      <c r="W368" s="92"/>
      <c r="AF368" s="405" t="s">
        <v>1212</v>
      </c>
      <c r="AG368" s="406">
        <v>17.1</v>
      </c>
      <c r="AH368" s="407">
        <v>18</v>
      </c>
      <c r="AI368" s="408">
        <v>0.7</v>
      </c>
      <c r="AJ368" s="407">
        <v>4.2</v>
      </c>
      <c r="AK368" s="408">
        <v>0.625</v>
      </c>
      <c r="AL368" s="432">
        <v>1.44</v>
      </c>
    </row>
    <row r="369" spans="13:38" ht="12.75">
      <c r="M369" s="38" t="s">
        <v>121</v>
      </c>
      <c r="N369" s="57"/>
      <c r="O369" s="57"/>
      <c r="P369" s="23" t="s">
        <v>689</v>
      </c>
      <c r="AF369" s="405" t="s">
        <v>1213</v>
      </c>
      <c r="AG369" s="406">
        <v>15.3</v>
      </c>
      <c r="AH369" s="407">
        <v>18</v>
      </c>
      <c r="AI369" s="408">
        <v>0.6</v>
      </c>
      <c r="AJ369" s="407">
        <v>4.1</v>
      </c>
      <c r="AK369" s="408">
        <v>0.625</v>
      </c>
      <c r="AL369" s="432">
        <v>1.44</v>
      </c>
    </row>
    <row r="370" spans="7:38" ht="12.75">
      <c r="G370" s="29"/>
      <c r="H370" s="29"/>
      <c r="I370" s="29"/>
      <c r="M370" s="50" t="s">
        <v>125</v>
      </c>
      <c r="N370" s="70">
        <f>IF($D$17&gt;0,IF($D$32&gt;0.5,$D$46+$D$32,$D$46),"N.A.")</f>
        <v>0.44</v>
      </c>
      <c r="O370" s="38" t="s">
        <v>268</v>
      </c>
      <c r="P370" s="38" t="str">
        <f>IF($D$17=0,"twc = tw",IF($D$32&lt;=0.5,"twc = tw  (web doubler plate is ignored for prying)","twc = tw+td  (1/2 of total 'td' assumed each side of web)"))</f>
        <v>twc = tw  (web doubler plate is ignored for prying)</v>
      </c>
      <c r="AF370" s="405" t="s">
        <v>1214</v>
      </c>
      <c r="AG370" s="406">
        <v>13.5</v>
      </c>
      <c r="AH370" s="407">
        <v>18</v>
      </c>
      <c r="AI370" s="408">
        <v>0.5</v>
      </c>
      <c r="AJ370" s="407">
        <v>4</v>
      </c>
      <c r="AK370" s="408">
        <v>0.625</v>
      </c>
      <c r="AL370" s="432">
        <v>1.44</v>
      </c>
    </row>
    <row r="371" spans="7:38" ht="12.75">
      <c r="G371" s="29"/>
      <c r="H371" s="29"/>
      <c r="I371" s="29"/>
      <c r="M371" s="50" t="s">
        <v>122</v>
      </c>
      <c r="N371" s="43">
        <f>IF($D$17&gt;0,$D$26,"N.A.")</f>
        <v>12</v>
      </c>
      <c r="O371" s="38" t="s">
        <v>268</v>
      </c>
      <c r="P371" s="38" t="s">
        <v>133</v>
      </c>
      <c r="AF371" s="405" t="s">
        <v>1215</v>
      </c>
      <c r="AG371" s="406">
        <v>12.6</v>
      </c>
      <c r="AH371" s="407">
        <v>18</v>
      </c>
      <c r="AI371" s="408">
        <v>0.45</v>
      </c>
      <c r="AJ371" s="407">
        <v>3.95</v>
      </c>
      <c r="AK371" s="408">
        <v>0.625</v>
      </c>
      <c r="AL371" s="432">
        <v>1.44</v>
      </c>
    </row>
    <row r="372" spans="7:38" ht="12.75">
      <c r="G372" s="29"/>
      <c r="H372" s="29"/>
      <c r="I372" s="29"/>
      <c r="M372" s="60" t="s">
        <v>690</v>
      </c>
      <c r="N372" s="61">
        <f>IF($D$17&gt;0,(1/1.5)*$D$13*$N$370*($N$371+2.5*$D$49),"N.A.")</f>
        <v>224.0333333333333</v>
      </c>
      <c r="O372" s="48" t="s">
        <v>237</v>
      </c>
      <c r="P372" s="23" t="s">
        <v>691</v>
      </c>
      <c r="AF372" s="405" t="s">
        <v>1216</v>
      </c>
      <c r="AG372" s="406">
        <v>14.7</v>
      </c>
      <c r="AH372" s="407">
        <v>13</v>
      </c>
      <c r="AI372" s="408">
        <v>0.787</v>
      </c>
      <c r="AJ372" s="407">
        <v>4.41</v>
      </c>
      <c r="AK372" s="408">
        <v>0.61</v>
      </c>
      <c r="AL372" s="432">
        <v>1.44</v>
      </c>
    </row>
    <row r="373" spans="7:38" ht="12.75">
      <c r="G373" s="29"/>
      <c r="H373" s="29"/>
      <c r="I373" s="29"/>
      <c r="M373" s="38" t="s">
        <v>123</v>
      </c>
      <c r="N373" s="57"/>
      <c r="O373" s="57"/>
      <c r="P373" s="23" t="s">
        <v>692</v>
      </c>
      <c r="AF373" s="405" t="s">
        <v>1217</v>
      </c>
      <c r="AG373" s="406">
        <v>11.8</v>
      </c>
      <c r="AH373" s="407">
        <v>13</v>
      </c>
      <c r="AI373" s="408">
        <v>0.56</v>
      </c>
      <c r="AJ373" s="407">
        <v>4.19</v>
      </c>
      <c r="AK373" s="408">
        <v>0.61</v>
      </c>
      <c r="AL373" s="432">
        <v>1.44</v>
      </c>
    </row>
    <row r="374" spans="13:38" ht="12.75">
      <c r="M374" s="50" t="s">
        <v>125</v>
      </c>
      <c r="N374" s="70">
        <f>IF($D$17&gt;0,IF($D$32&gt;0.5,$D$46+$D$32,$D$46),"N.A.")</f>
        <v>0.44</v>
      </c>
      <c r="O374" s="38" t="s">
        <v>268</v>
      </c>
      <c r="P374" s="38" t="str">
        <f>IF($D$17=0,"twc = tw",IF($D$32&lt;=0.5,"twc = tw  (web doubler plate is ignored for prying)","twc = tw+td  (1/2 of total 'td' assumed each side of web)"))</f>
        <v>twc = tw  (web doubler plate is ignored for prying)</v>
      </c>
      <c r="AF374" s="405" t="s">
        <v>1218</v>
      </c>
      <c r="AG374" s="406">
        <v>10.3</v>
      </c>
      <c r="AH374" s="407">
        <v>13</v>
      </c>
      <c r="AI374" s="408">
        <v>0.447</v>
      </c>
      <c r="AJ374" s="407">
        <v>4.07</v>
      </c>
      <c r="AK374" s="408">
        <v>0.61</v>
      </c>
      <c r="AL374" s="432">
        <v>1.44</v>
      </c>
    </row>
    <row r="375" spans="13:38" ht="12.75">
      <c r="M375" s="50" t="s">
        <v>122</v>
      </c>
      <c r="N375" s="43">
        <f>IF($D$17&gt;0,$D$26,"N.A.")</f>
        <v>12</v>
      </c>
      <c r="O375" s="38" t="s">
        <v>268</v>
      </c>
      <c r="P375" s="38" t="s">
        <v>133</v>
      </c>
      <c r="AF375" s="405" t="s">
        <v>1219</v>
      </c>
      <c r="AG375" s="406">
        <v>9.35</v>
      </c>
      <c r="AH375" s="407">
        <v>13</v>
      </c>
      <c r="AI375" s="408">
        <v>0.375</v>
      </c>
      <c r="AJ375" s="407">
        <v>4</v>
      </c>
      <c r="AK375" s="408">
        <v>0.61</v>
      </c>
      <c r="AL375" s="432">
        <v>1.44</v>
      </c>
    </row>
    <row r="376" spans="13:38" ht="12.75">
      <c r="M376" s="50" t="s">
        <v>1177</v>
      </c>
      <c r="N376" s="61">
        <f>IF($D$17&gt;0,(1/2)*0.4*$N$374^2*(1+3*($N$375/$D$45)*($N$374/$D$48)^(1.5))*SQRT(29000*$D$13*$D$48/$N$374),"N.A.")</f>
        <v>133.52721940832473</v>
      </c>
      <c r="O376" s="38" t="s">
        <v>237</v>
      </c>
      <c r="P376" s="23" t="s">
        <v>693</v>
      </c>
      <c r="AF376" s="405" t="s">
        <v>1220</v>
      </c>
      <c r="AG376" s="406">
        <v>14.7</v>
      </c>
      <c r="AH376" s="407">
        <v>12</v>
      </c>
      <c r="AI376" s="408">
        <v>0.835</v>
      </c>
      <c r="AJ376" s="407">
        <v>4.14</v>
      </c>
      <c r="AK376" s="408">
        <v>0.7</v>
      </c>
      <c r="AL376" s="432">
        <v>1.31</v>
      </c>
    </row>
    <row r="377" spans="13:38" ht="12.75">
      <c r="M377" s="29" t="s">
        <v>128</v>
      </c>
      <c r="O377" s="57"/>
      <c r="P377" s="31"/>
      <c r="AF377" s="405" t="s">
        <v>1221</v>
      </c>
      <c r="AG377" s="406">
        <v>13.2</v>
      </c>
      <c r="AH377" s="407">
        <v>12</v>
      </c>
      <c r="AI377" s="408">
        <v>0.71</v>
      </c>
      <c r="AJ377" s="407">
        <v>4.01</v>
      </c>
      <c r="AK377" s="408">
        <v>0.7</v>
      </c>
      <c r="AL377" s="432">
        <v>1.31</v>
      </c>
    </row>
    <row r="378" spans="13:38" ht="12.75">
      <c r="M378" s="33" t="s">
        <v>129</v>
      </c>
      <c r="N378" s="61" t="str">
        <f>IF($D$17&gt;0,IF($D$32&gt;0,2*$D$26,"N.A."),"N.A.")</f>
        <v>N.A.</v>
      </c>
      <c r="O378" s="38" t="s">
        <v>268</v>
      </c>
      <c r="P378" s="38" t="s">
        <v>611</v>
      </c>
      <c r="AF378" s="405" t="s">
        <v>1222</v>
      </c>
      <c r="AG378" s="406">
        <v>11.8</v>
      </c>
      <c r="AH378" s="407">
        <v>12</v>
      </c>
      <c r="AI378" s="408">
        <v>0.59</v>
      </c>
      <c r="AJ378" s="407">
        <v>3.89</v>
      </c>
      <c r="AK378" s="408">
        <v>0.7</v>
      </c>
      <c r="AL378" s="432">
        <v>1.31</v>
      </c>
    </row>
    <row r="379" spans="13:38" ht="12.75">
      <c r="M379" s="33" t="s">
        <v>119</v>
      </c>
      <c r="N379" s="43" t="str">
        <f>IF($D$17&gt;0,IF($D$32&gt;0,$D$17/$N$378,"N.A."),"N.A.")</f>
        <v>N.A.</v>
      </c>
      <c r="O379" s="38" t="s">
        <v>120</v>
      </c>
      <c r="P379" s="38" t="s">
        <v>162</v>
      </c>
      <c r="AF379" s="405" t="s">
        <v>1223</v>
      </c>
      <c r="AG379" s="406">
        <v>10.3</v>
      </c>
      <c r="AH379" s="407">
        <v>12</v>
      </c>
      <c r="AI379" s="408">
        <v>0.465</v>
      </c>
      <c r="AJ379" s="407">
        <v>3.77</v>
      </c>
      <c r="AK379" s="408">
        <v>0.7</v>
      </c>
      <c r="AL379" s="432">
        <v>1.31</v>
      </c>
    </row>
    <row r="380" spans="13:38" ht="12.75">
      <c r="M380" s="74" t="s">
        <v>40</v>
      </c>
      <c r="N380" s="43" t="str">
        <f>IF($D$17&gt;0,IF($D$32&gt;0,$N$379/((SQRT(2)/2)*0.3*70),"N.A."),"N.A.")</f>
        <v>N.A.</v>
      </c>
      <c r="O380" s="38" t="s">
        <v>393</v>
      </c>
      <c r="P380" s="75" t="s">
        <v>41</v>
      </c>
      <c r="AF380" s="405" t="s">
        <v>1224</v>
      </c>
      <c r="AG380" s="406">
        <v>9.12</v>
      </c>
      <c r="AH380" s="407">
        <v>12</v>
      </c>
      <c r="AI380" s="408">
        <v>0.37</v>
      </c>
      <c r="AJ380" s="407">
        <v>3.67</v>
      </c>
      <c r="AK380" s="408">
        <v>0.7</v>
      </c>
      <c r="AL380" s="432">
        <v>1.31</v>
      </c>
    </row>
    <row r="381" spans="7:38" ht="12.75">
      <c r="G381" s="29"/>
      <c r="H381" s="29"/>
      <c r="I381" s="29"/>
      <c r="M381" s="74" t="s">
        <v>255</v>
      </c>
      <c r="N381" s="43" t="str">
        <f>IF($D$17&gt;0,IF($D$32&gt;0,MIN(0.4*$D$33*$D$32/((SQRT(2)/2)*0.3*70),0.4*$D$13*$D$48/((SQRT(2)/2)*0.3*70)),"N.A."),"N.A.")</f>
        <v>N.A.</v>
      </c>
      <c r="O381" s="38" t="s">
        <v>393</v>
      </c>
      <c r="P381" s="75" t="s">
        <v>255</v>
      </c>
      <c r="Q381" s="38" t="str">
        <f>IF(0.4*$D$33*$D$32/((SQRT(2)/2)*0.3*70)&lt;=0.4*$D$13*$D$48/((SQRT(2)/2)*0.3*70),"0.40*Fyd*td/((SQRT(2)/2)*0.30*70)","0.40*Fyc*tfc/((SQRT(2)/2)*0.30*70)")</f>
        <v>0.40*Fyd*td/((SQRT(2)/2)*0.30*70)</v>
      </c>
      <c r="AF381" s="405" t="s">
        <v>1225</v>
      </c>
      <c r="AG381" s="406">
        <v>3.1</v>
      </c>
      <c r="AH381" s="407">
        <v>12</v>
      </c>
      <c r="AI381" s="408">
        <v>0.19</v>
      </c>
      <c r="AJ381" s="407">
        <v>1.5</v>
      </c>
      <c r="AK381" s="408">
        <v>0.309</v>
      </c>
      <c r="AL381" s="432">
        <v>0.75</v>
      </c>
    </row>
    <row r="382" spans="32:38" ht="12.75">
      <c r="AF382" s="405" t="s">
        <v>1226</v>
      </c>
      <c r="AG382" s="406">
        <v>12.1</v>
      </c>
      <c r="AH382" s="407">
        <v>10</v>
      </c>
      <c r="AI382" s="408">
        <v>0.796</v>
      </c>
      <c r="AJ382" s="407">
        <v>4.32</v>
      </c>
      <c r="AK382" s="408">
        <v>0.575</v>
      </c>
      <c r="AL382" s="432">
        <v>1.31</v>
      </c>
    </row>
    <row r="383" spans="32:38" ht="12.75">
      <c r="AF383" s="405" t="s">
        <v>1227</v>
      </c>
      <c r="AG383" s="406">
        <v>9.87</v>
      </c>
      <c r="AH383" s="407">
        <v>10</v>
      </c>
      <c r="AI383" s="408">
        <v>0.575</v>
      </c>
      <c r="AJ383" s="407">
        <v>4.1</v>
      </c>
      <c r="AK383" s="408">
        <v>0.575</v>
      </c>
      <c r="AL383" s="432">
        <v>1.31</v>
      </c>
    </row>
    <row r="384" spans="32:38" ht="12.75">
      <c r="AF384" s="405" t="s">
        <v>1228</v>
      </c>
      <c r="AG384" s="406">
        <v>8.37</v>
      </c>
      <c r="AH384" s="407">
        <v>10</v>
      </c>
      <c r="AI384" s="408">
        <v>0.425</v>
      </c>
      <c r="AJ384" s="407">
        <v>3.95</v>
      </c>
      <c r="AK384" s="408">
        <v>0.575</v>
      </c>
      <c r="AL384" s="432">
        <v>1.31</v>
      </c>
    </row>
    <row r="385" spans="32:38" ht="12.75">
      <c r="AF385" s="405" t="s">
        <v>1229</v>
      </c>
      <c r="AG385" s="406">
        <v>7.35</v>
      </c>
      <c r="AH385" s="407">
        <v>10</v>
      </c>
      <c r="AI385" s="408">
        <v>0.38</v>
      </c>
      <c r="AJ385" s="407">
        <v>3.41</v>
      </c>
      <c r="AK385" s="408">
        <v>0.575</v>
      </c>
      <c r="AL385" s="432">
        <v>1.31</v>
      </c>
    </row>
    <row r="386" spans="32:38" ht="12.75">
      <c r="AF386" s="405" t="s">
        <v>1230</v>
      </c>
      <c r="AG386" s="406">
        <v>6.45</v>
      </c>
      <c r="AH386" s="407">
        <v>10</v>
      </c>
      <c r="AI386" s="408">
        <v>0.29</v>
      </c>
      <c r="AJ386" s="407">
        <v>3.32</v>
      </c>
      <c r="AK386" s="408">
        <v>0.575</v>
      </c>
      <c r="AL386" s="432">
        <v>1.31</v>
      </c>
    </row>
    <row r="387" spans="32:38" ht="12.75">
      <c r="AF387" s="405" t="s">
        <v>1231</v>
      </c>
      <c r="AG387" s="406">
        <v>2.46</v>
      </c>
      <c r="AH387" s="407">
        <v>10</v>
      </c>
      <c r="AI387" s="408">
        <v>0.17</v>
      </c>
      <c r="AJ387" s="407">
        <v>1.5</v>
      </c>
      <c r="AK387" s="408">
        <v>0.28</v>
      </c>
      <c r="AL387" s="432">
        <v>0.75</v>
      </c>
    </row>
    <row r="388" spans="32:38" ht="12.75">
      <c r="AF388" s="405" t="s">
        <v>1232</v>
      </c>
      <c r="AG388" s="406">
        <v>1.95</v>
      </c>
      <c r="AH388" s="407">
        <v>10</v>
      </c>
      <c r="AI388" s="408">
        <v>0.152</v>
      </c>
      <c r="AJ388" s="407">
        <v>1.17</v>
      </c>
      <c r="AK388" s="408">
        <v>0.202</v>
      </c>
      <c r="AL388" s="432">
        <v>0.563</v>
      </c>
    </row>
    <row r="389" spans="32:38" ht="12.75">
      <c r="AF389" s="405" t="s">
        <v>1233</v>
      </c>
      <c r="AG389" s="406">
        <v>7.47</v>
      </c>
      <c r="AH389" s="407">
        <v>9</v>
      </c>
      <c r="AI389" s="408">
        <v>0.45</v>
      </c>
      <c r="AJ389" s="407">
        <v>3.5</v>
      </c>
      <c r="AK389" s="408">
        <v>0.55</v>
      </c>
      <c r="AL389" s="432">
        <v>1.25</v>
      </c>
    </row>
    <row r="390" spans="32:38" ht="12.75">
      <c r="AF390" s="405" t="s">
        <v>1234</v>
      </c>
      <c r="AG390" s="406">
        <v>7.02</v>
      </c>
      <c r="AH390" s="407">
        <v>9</v>
      </c>
      <c r="AI390" s="408">
        <v>0.4</v>
      </c>
      <c r="AJ390" s="407">
        <v>3.45</v>
      </c>
      <c r="AK390" s="408">
        <v>0.55</v>
      </c>
      <c r="AL390" s="432">
        <v>1.25</v>
      </c>
    </row>
    <row r="391" spans="32:38" ht="12.75">
      <c r="AF391" s="405" t="s">
        <v>1235</v>
      </c>
      <c r="AG391" s="406">
        <v>6.7</v>
      </c>
      <c r="AH391" s="407">
        <v>8</v>
      </c>
      <c r="AI391" s="408">
        <v>0.427</v>
      </c>
      <c r="AJ391" s="407">
        <v>3.5</v>
      </c>
      <c r="AK391" s="408">
        <v>0.525</v>
      </c>
      <c r="AL391" s="432">
        <v>1.19</v>
      </c>
    </row>
    <row r="392" spans="32:38" ht="12.75">
      <c r="AF392" s="405" t="s">
        <v>1236</v>
      </c>
      <c r="AG392" s="406">
        <v>6.28</v>
      </c>
      <c r="AH392" s="407">
        <v>8</v>
      </c>
      <c r="AI392" s="408">
        <v>0.375</v>
      </c>
      <c r="AJ392" s="407">
        <v>3.45</v>
      </c>
      <c r="AK392" s="408">
        <v>0.525</v>
      </c>
      <c r="AL392" s="432">
        <v>1.19</v>
      </c>
    </row>
    <row r="393" spans="32:38" ht="12.75">
      <c r="AF393" s="405" t="s">
        <v>1237</v>
      </c>
      <c r="AG393" s="406">
        <v>5.88</v>
      </c>
      <c r="AH393" s="407">
        <v>8</v>
      </c>
      <c r="AI393" s="408">
        <v>0.4</v>
      </c>
      <c r="AJ393" s="407">
        <v>3.03</v>
      </c>
      <c r="AK393" s="408">
        <v>0.5</v>
      </c>
      <c r="AL393" s="432">
        <v>1.13</v>
      </c>
    </row>
    <row r="394" spans="32:38" ht="12.75">
      <c r="AF394" s="405" t="s">
        <v>1238</v>
      </c>
      <c r="AG394" s="406">
        <v>5.5</v>
      </c>
      <c r="AH394" s="407">
        <v>8</v>
      </c>
      <c r="AI394" s="408">
        <v>0.353</v>
      </c>
      <c r="AJ394" s="407">
        <v>2.98</v>
      </c>
      <c r="AK394" s="408">
        <v>0.5</v>
      </c>
      <c r="AL394" s="432">
        <v>1.13</v>
      </c>
    </row>
    <row r="395" spans="32:38" ht="12.75">
      <c r="AF395" s="405" t="s">
        <v>1239</v>
      </c>
      <c r="AG395" s="406">
        <v>2.5</v>
      </c>
      <c r="AH395" s="407">
        <v>8</v>
      </c>
      <c r="AI395" s="408">
        <v>0.179</v>
      </c>
      <c r="AJ395" s="407">
        <v>1.87</v>
      </c>
      <c r="AK395" s="408">
        <v>0.311</v>
      </c>
      <c r="AL395" s="432">
        <v>0.813</v>
      </c>
    </row>
    <row r="396" spans="32:38" ht="12.75">
      <c r="AF396" s="405" t="s">
        <v>1240</v>
      </c>
      <c r="AG396" s="406">
        <v>6.67</v>
      </c>
      <c r="AH396" s="407">
        <v>7</v>
      </c>
      <c r="AI396" s="408">
        <v>0.503</v>
      </c>
      <c r="AJ396" s="407">
        <v>3.6</v>
      </c>
      <c r="AK396" s="408">
        <v>0.5</v>
      </c>
      <c r="AL396" s="432">
        <v>1.13</v>
      </c>
    </row>
    <row r="397" spans="32:38" ht="12.75">
      <c r="AF397" s="405" t="s">
        <v>1241</v>
      </c>
      <c r="AG397" s="406">
        <v>5.61</v>
      </c>
      <c r="AH397" s="407">
        <v>7</v>
      </c>
      <c r="AI397" s="408">
        <v>0.352</v>
      </c>
      <c r="AJ397" s="407">
        <v>3.45</v>
      </c>
      <c r="AK397" s="408">
        <v>0.5</v>
      </c>
      <c r="AL397" s="432">
        <v>1.13</v>
      </c>
    </row>
    <row r="398" spans="32:38" ht="12.75">
      <c r="AF398" s="405" t="s">
        <v>1242</v>
      </c>
      <c r="AG398" s="406">
        <v>5.29</v>
      </c>
      <c r="AH398" s="407">
        <v>6</v>
      </c>
      <c r="AI398" s="408">
        <v>0.379</v>
      </c>
      <c r="AJ398" s="407">
        <v>3.5</v>
      </c>
      <c r="AK398" s="408">
        <v>0.475</v>
      </c>
      <c r="AL398" s="432">
        <v>1.06</v>
      </c>
    </row>
    <row r="399" spans="32:38" ht="12.75">
      <c r="AF399" s="405" t="s">
        <v>1243</v>
      </c>
      <c r="AG399" s="406">
        <v>4.49</v>
      </c>
      <c r="AH399" s="407">
        <v>6</v>
      </c>
      <c r="AI399" s="408">
        <v>0.34</v>
      </c>
      <c r="AJ399" s="407">
        <v>3.5</v>
      </c>
      <c r="AK399" s="408">
        <v>0.385</v>
      </c>
      <c r="AL399" s="432">
        <v>0.875</v>
      </c>
    </row>
    <row r="400" spans="32:38" ht="12.75">
      <c r="AF400" s="405" t="s">
        <v>1244</v>
      </c>
      <c r="AG400" s="406">
        <v>4.79</v>
      </c>
      <c r="AH400" s="407">
        <v>6</v>
      </c>
      <c r="AI400" s="408">
        <v>0.375</v>
      </c>
      <c r="AJ400" s="407">
        <v>3</v>
      </c>
      <c r="AK400" s="408">
        <v>0.475</v>
      </c>
      <c r="AL400" s="432">
        <v>1.06</v>
      </c>
    </row>
    <row r="401" spans="32:38" ht="12.75">
      <c r="AF401" s="405" t="s">
        <v>1245</v>
      </c>
      <c r="AG401" s="406">
        <v>4.44</v>
      </c>
      <c r="AH401" s="407">
        <v>6</v>
      </c>
      <c r="AI401" s="408">
        <v>0.316</v>
      </c>
      <c r="AJ401" s="407">
        <v>2.94</v>
      </c>
      <c r="AK401" s="408">
        <v>0.475</v>
      </c>
      <c r="AL401" s="432">
        <v>1.06</v>
      </c>
    </row>
    <row r="402" spans="32:38" ht="12.75">
      <c r="AF402" s="405" t="s">
        <v>1246</v>
      </c>
      <c r="AG402" s="406">
        <v>3.53</v>
      </c>
      <c r="AH402" s="407">
        <v>6</v>
      </c>
      <c r="AI402" s="408">
        <v>0.31</v>
      </c>
      <c r="AJ402" s="407">
        <v>2.5</v>
      </c>
      <c r="AK402" s="408">
        <v>0.375</v>
      </c>
      <c r="AL402" s="432">
        <v>0.875</v>
      </c>
    </row>
    <row r="403" spans="32:38" ht="12.75">
      <c r="AF403" s="405" t="s">
        <v>1247</v>
      </c>
      <c r="AG403" s="406">
        <v>2.09</v>
      </c>
      <c r="AH403" s="407">
        <v>6</v>
      </c>
      <c r="AI403" s="408">
        <v>0.179</v>
      </c>
      <c r="AJ403" s="407">
        <v>1.88</v>
      </c>
      <c r="AK403" s="408">
        <v>0.291</v>
      </c>
      <c r="AL403" s="432">
        <v>0.75</v>
      </c>
    </row>
    <row r="404" spans="32:38" ht="12.75">
      <c r="AF404" s="405" t="s">
        <v>1248</v>
      </c>
      <c r="AG404" s="406">
        <v>1.95</v>
      </c>
      <c r="AH404" s="407">
        <v>6</v>
      </c>
      <c r="AI404" s="408">
        <v>0.155</v>
      </c>
      <c r="AJ404" s="407">
        <v>1.85</v>
      </c>
      <c r="AK404" s="408">
        <v>0.291</v>
      </c>
      <c r="AL404" s="432">
        <v>0.75</v>
      </c>
    </row>
    <row r="405" spans="32:38" ht="12.75">
      <c r="AF405" s="405" t="s">
        <v>1249</v>
      </c>
      <c r="AG405" s="406">
        <v>4.03</v>
      </c>
      <c r="AH405" s="407">
        <v>4</v>
      </c>
      <c r="AI405" s="408">
        <v>0.5</v>
      </c>
      <c r="AJ405" s="407">
        <v>2.5</v>
      </c>
      <c r="AK405" s="408">
        <v>0.5</v>
      </c>
      <c r="AL405" s="432">
        <v>1</v>
      </c>
    </row>
    <row r="406" spans="32:38" ht="12.75">
      <c r="AF406" s="414" t="s">
        <v>1250</v>
      </c>
      <c r="AG406" s="433">
        <v>2.11</v>
      </c>
      <c r="AH406" s="416">
        <v>3</v>
      </c>
      <c r="AI406" s="417">
        <v>0.312</v>
      </c>
      <c r="AJ406" s="416">
        <v>1.94</v>
      </c>
      <c r="AK406" s="417">
        <v>0.351</v>
      </c>
      <c r="AL406" s="434">
        <v>0.813</v>
      </c>
    </row>
  </sheetData>
  <sheetProtection sheet="1" objects="1" scenarios="1"/>
  <conditionalFormatting sqref="AN236:AN237 AN239:AN240">
    <cfRule type="expression" priority="1" dxfId="0" stopIfTrue="1">
      <formula>AO236&gt;1</formula>
    </cfRule>
  </conditionalFormatting>
  <conditionalFormatting sqref="AN230:AN235 AN221:AN222 AN238 AN184 AN224:AN228 AN177:AN178 AN89:AN92 AN43:AN64 AN71:AN75 AN94:AN99 AN191:AN219 AN77:AN84 AN162:AN175 AN151:AN160 AN68 AN142:AN149 AN121:AN138 AN110 AN106 AN112:AN119">
    <cfRule type="expression" priority="2" dxfId="0" stopIfTrue="1">
      <formula>IF(AO43="","",AO43&gt;1)</formula>
    </cfRule>
  </conditionalFormatting>
  <conditionalFormatting sqref="I40">
    <cfRule type="expression" priority="3" dxfId="0" stopIfTrue="1">
      <formula>G40&gt;1</formula>
    </cfRule>
  </conditionalFormatting>
  <conditionalFormatting sqref="AO14">
    <cfRule type="expression" priority="4" dxfId="0" stopIfTrue="1">
      <formula>AR13&gt;1</formula>
    </cfRule>
  </conditionalFormatting>
  <conditionalFormatting sqref="AP14">
    <cfRule type="expression" priority="5" dxfId="0" stopIfTrue="1">
      <formula>AR13&gt;1</formula>
    </cfRule>
  </conditionalFormatting>
  <conditionalFormatting sqref="AO7:AO8 AO11:AO13 AO15:AO17 AO28:AO32 AO19:AO26">
    <cfRule type="expression" priority="6" dxfId="0" stopIfTrue="1">
      <formula>IF(AR7="","",AR7&gt;1)</formula>
    </cfRule>
  </conditionalFormatting>
  <conditionalFormatting sqref="I206:I239 I106 I203 I165:I191 I163 I147 I65 I89:I98 I63 I115:I138">
    <cfRule type="expression" priority="7" dxfId="0" stopIfTrue="1">
      <formula>AO63&gt;1</formula>
    </cfRule>
  </conditionalFormatting>
  <conditionalFormatting sqref="AO33">
    <cfRule type="expression" priority="8" dxfId="0" stopIfTrue="1">
      <formula>IF($D$32=0,"",AR32&gt;1)</formula>
    </cfRule>
  </conditionalFormatting>
  <conditionalFormatting sqref="AP33">
    <cfRule type="expression" priority="9" dxfId="0" stopIfTrue="1">
      <formula>IF($D$32=0,"",AR32&gt;1)</formula>
    </cfRule>
  </conditionalFormatting>
  <conditionalFormatting sqref="I192">
    <cfRule type="expression" priority="10" dxfId="0" stopIfTrue="1">
      <formula>AO200&gt;1</formula>
    </cfRule>
  </conditionalFormatting>
  <conditionalFormatting sqref="I199:I200">
    <cfRule type="expression" priority="11" dxfId="0" stopIfTrue="1">
      <formula>AO201&gt;1</formula>
    </cfRule>
  </conditionalFormatting>
  <conditionalFormatting sqref="I145:I146 I139:I143 I107">
    <cfRule type="expression" priority="12" dxfId="0" stopIfTrue="1">
      <formula>AO110&gt;1</formula>
    </cfRule>
  </conditionalFormatting>
  <conditionalFormatting sqref="I70:I88 I104:I105">
    <cfRule type="expression" priority="13" dxfId="0" stopIfTrue="1">
      <formula>AO66&gt;1</formula>
    </cfRule>
  </conditionalFormatting>
  <conditionalFormatting sqref="I154:I162">
    <cfRule type="expression" priority="14" dxfId="0" stopIfTrue="1">
      <formula>AO152&gt;1</formula>
    </cfRule>
  </conditionalFormatting>
  <conditionalFormatting sqref="AO106 AO94:AO99 AO89:AO92 AO142:AO149 AO121:AO138 AO177:AO189 AO110 AO191:AO219 AO230:AO240 AO221:AO222 AO224:AO228 AO242 G40 AO63:AO64 AO71:AO75 AO77:AO84 AO162:AO175 AO151:AO160 AO112:AO119 AO68 AR7:AR32">
    <cfRule type="cellIs" priority="15" dxfId="0" operator="greaterThan" stopIfTrue="1">
      <formula>1</formula>
    </cfRule>
  </conditionalFormatting>
  <conditionalFormatting sqref="I112:I114 I144">
    <cfRule type="expression" priority="16" dxfId="0" stopIfTrue="1">
      <formula>#REF!&gt;1</formula>
    </cfRule>
  </conditionalFormatting>
  <conditionalFormatting sqref="I110:I111">
    <cfRule type="expression" priority="17" dxfId="0" stopIfTrue="1">
      <formula>#REF!&gt;1</formula>
    </cfRule>
  </conditionalFormatting>
  <conditionalFormatting sqref="X2">
    <cfRule type="cellIs" priority="18" dxfId="0" operator="notEqual" stopIfTrue="1">
      <formula>"OK"</formula>
    </cfRule>
  </conditionalFormatting>
  <conditionalFormatting sqref="G38:G39">
    <cfRule type="expression" priority="19" dxfId="0" stopIfTrue="1">
      <formula>$G$40&gt;1</formula>
    </cfRule>
  </conditionalFormatting>
  <conditionalFormatting sqref="V243:V368">
    <cfRule type="cellIs" priority="20" dxfId="18" operator="equal" stopIfTrue="1">
      <formula>FALSE</formula>
    </cfRule>
  </conditionalFormatting>
  <conditionalFormatting sqref="I68 I64">
    <cfRule type="expression" priority="21" dxfId="0" stopIfTrue="1">
      <formula>AO64&gt;1</formula>
    </cfRule>
  </conditionalFormatting>
  <conditionalFormatting sqref="AO9">
    <cfRule type="expression" priority="22" dxfId="0" stopIfTrue="1">
      <formula>IF(AR9="","",AR9&gt;1)</formula>
    </cfRule>
  </conditionalFormatting>
  <dataValidations count="17">
    <dataValidation type="decimal" operator="greaterThanOrEqual" allowBlank="1" showInputMessage="1" showErrorMessage="1" prompt="The beam setback distance (s) is typically = 1/4&quot; to 1/2&quot;." errorTitle="Warning!" error="Setback distance MUST BE &gt;= 0!" sqref="D28">
      <formula1>0</formula1>
    </dataValidation>
    <dataValidation type="decimal" allowBlank="1" showInputMessage="1" showErrorMessage="1" prompt="The depth of the bottom flange cope (dc2) must be &lt;= 0.2*d.  If cope length (c) is input = 0, then cope depth (dc2) must be input = 0." errorTitle="Warning!" error="The value of dc2 MUST BE &lt;= 0.2*d" sqref="D31">
      <formula1>0</formula1>
      <formula2>0.2*$B$45</formula2>
    </dataValidation>
    <dataValidation type="decimal" operator="greaterThanOrEqual" allowBlank="1" showInputMessage="1" showErrorMessage="1" prompt="The depth of the top flange cope (dc1) must be &lt;= d/2  for case of top flange cope only, and &lt;= 0.2*d  for both flanges coped.  If cope length (c) is input = 0, then cope depth (dc1) must be input = 0." errorTitle="Warning!" error="The value of dc1 MUST BE &lt;= 0.2*d" sqref="D30">
      <formula1>0</formula1>
    </dataValidation>
    <dataValidation type="decimal" allowBlank="1" showInputMessage="1" showErrorMessage="1" prompt="The length of the cope (c) for either top flange or both flanges must be &lt;= 2*d.  For both flanges coped, this program assumes equal cope lengths.  For uncoped beams, when both cope depths (dc1 and dc2) are = 0, then cope length (c) must be input = 0." errorTitle="Warning!" error="The value of c MUST BE &lt;= 2*d" sqref="D29">
      <formula1>0</formula1>
      <formula2>2*$B$45</formula2>
    </dataValidation>
    <dataValidation type="list" allowBlank="1" showInputMessage="1" showErrorMessage="1" sqref="D33">
      <formula1>$K$3:$K$4</formula1>
    </dataValidation>
    <dataValidation allowBlank="1" showInputMessage="1" showErrorMessage="1" prompt="The distance, 'D1', is the distance from the top of the beam down to the top row of the bolts." sqref="D27"/>
    <dataValidation type="decimal" operator="greaterThanOrEqual" allowBlank="1" showInputMessage="1" showErrorMessage="1" error="The value input MUST BE &gt;= 0 !" sqref="D16">
      <formula1>0</formula1>
    </dataValidation>
    <dataValidation type="decimal" operator="greaterThanOrEqual" allowBlank="1" showInputMessage="1" showErrorMessage="1" prompt="The beam axial force, 'P', is the axial transfer or drag force which is to be considered in the connection analysis." error="The value input MUST BE &gt;= 0 !" sqref="D17">
      <formula1>0</formula1>
    </dataValidation>
    <dataValidation type="list" allowBlank="1" showInputMessage="1" showErrorMessage="1" sqref="D22">
      <formula1>$K$12:$K$15</formula1>
    </dataValidation>
    <dataValidation type="list" allowBlank="1" showInputMessage="1" showErrorMessage="1" errorTitle="Warning!" error="Invalid steel yield strength" sqref="D12:D13 D23">
      <formula1>$K$3:$K$4</formula1>
    </dataValidation>
    <dataValidation type="list" allowBlank="1" showInputMessage="1" showErrorMessage="1" prompt="User may either select desired size from pick box or type in the size designation.  Note:  input is not case sensitive." sqref="D11">
      <formula1>$AF$6:$AF$336</formula1>
    </dataValidation>
    <dataValidation type="decimal" allowBlank="1" showInputMessage="1" showErrorMessage="1" prompt="Weld Size must be less than ta - 1/16&quot;, but never greater than 3/8&quot;" error="Invalid fillet weld size!&#10;Must be less than ta-1/16&quot;" sqref="D25">
      <formula1>0.125</formula1>
      <formula2>MIN(3/8,$D$22-1/16)</formula2>
    </dataValidation>
    <dataValidation type="decimal" allowBlank="1" showInputMessage="1" showErrorMessage="1" prompt="Weld Size must be less than ta - 1/8&quot;, but never greater than 5/16&quot;" error="Invalid fillet weld size!&#10;Must be less than ta-1/8&quot;" sqref="D24">
      <formula1>0.125</formula1>
      <formula2>MIN(5/16,$D$22-1/8)</formula2>
    </dataValidation>
    <dataValidation type="list" allowBlank="1" showInputMessage="1" showErrorMessage="1" promptTitle="Clip Angle Overall Length:" prompt="32&quot;, 30&quot;, 28&quot;, 26&quot;, 24&quot;, 22&quot;, 20&quot;, 18&quot;, 16&quot;, 14&quot;, 12&quot;, 10&quot;, 9&quot;, 8&quot;, 7&quot;, 6&quot;, 5&quot;, 4&quot;" error="Invalid Angle Length!" sqref="D26">
      <formula1>$K$16:$K$33</formula1>
    </dataValidation>
    <dataValidation allowBlank="1" showInputMessage="1" showErrorMessage="1" prompt="'Lc' is the length of the angle leg (OSL) connected to the column web.  From AISC Table 10-3, for L &lt; 18&quot;, Lc = 3&quot;, for L &gt;= 18&quot;, Lc = 4&quot;." sqref="D20"/>
    <dataValidation operator="greaterThanOrEqual" allowBlank="1" showInputMessage="1" showErrorMessage="1" prompt="'Lb' is the length of the angle leg connected to the beam web.  Per AISC Table 10-3, Lb = 3&quot;." errorTitle="Warning!" error="Value of Lb MUST BE &gt;= 3&quot;" sqref="D21"/>
    <dataValidation type="list" allowBlank="1" showInputMessage="1" showErrorMessage="1" prompt="User may either select desired size from pick box or type in the size designation.  Note:  input is not case sensitive." sqref="D10">
      <formula1>$AF$6:$AF$406</formula1>
    </dataValidation>
  </dataValidations>
  <printOptions/>
  <pageMargins left="1" right="0.5" top="1.26" bottom="1" header="0.5" footer="0.5"/>
  <pageSetup horizontalDpi="300" verticalDpi="300" orientation="portrait" scale="96" r:id="rId4"/>
  <headerFooter alignWithMargins="0">
    <oddHeader>&amp;R&amp;8"CLIPCONN-ALL-WELD-13.xls" Program
Created By: Joel Berg, P.E.
Based on a Program By:  Alex Tomanovich, P.E.
Version 1.2</oddHeader>
    <oddFooter>&amp;L&amp;8&amp;D
&amp;T&amp;C&amp;8&amp;Z
&amp;F&amp;R&amp;8Page &amp;P
of &amp;N</oddFooter>
  </headerFooter>
  <rowBreaks count="4" manualBreakCount="4">
    <brk id="50" max="8" man="1"/>
    <brk id="100" max="8" man="1"/>
    <brk id="150" max="8" man="1"/>
    <brk id="202" max="8" man="1"/>
  </rowBreaks>
  <colBreaks count="1" manualBreakCount="1">
    <brk id="9" max="199" man="1"/>
  </colBreaks>
  <drawing r:id="rId3"/>
  <legacyDrawing r:id="rId2"/>
</worksheet>
</file>

<file path=xl/worksheets/sheet3.xml><?xml version="1.0" encoding="utf-8"?>
<worksheet xmlns="http://schemas.openxmlformats.org/spreadsheetml/2006/main" xmlns:r="http://schemas.openxmlformats.org/officeDocument/2006/relationships">
  <dimension ref="A1:AR406"/>
  <sheetViews>
    <sheetView zoomScalePageLayoutView="0" workbookViewId="0" topLeftCell="A1">
      <selection activeCell="A1" sqref="A1"/>
    </sheetView>
  </sheetViews>
  <sheetFormatPr defaultColWidth="9.140625" defaultRowHeight="12.75"/>
  <cols>
    <col min="1" max="1" width="12.7109375" style="9" customWidth="1"/>
    <col min="2" max="2" width="9.140625" style="9" customWidth="1"/>
    <col min="3" max="4" width="10.7109375" style="9" customWidth="1"/>
    <col min="5" max="8" width="9.140625" style="9" customWidth="1"/>
    <col min="9" max="9" width="12.421875" style="9" customWidth="1"/>
    <col min="10" max="22" width="9.140625" style="29" hidden="1" customWidth="1"/>
    <col min="23" max="23" width="10.140625" style="29" hidden="1" customWidth="1"/>
    <col min="24" max="25" width="12.28125" style="29" hidden="1" customWidth="1"/>
    <col min="26" max="27" width="9.140625" style="29" hidden="1" customWidth="1"/>
    <col min="28" max="28" width="15.140625" style="29" hidden="1" customWidth="1"/>
    <col min="29" max="31" width="9.140625" style="29" hidden="1" customWidth="1"/>
    <col min="32" max="32" width="16.7109375" style="29" hidden="1" customWidth="1"/>
    <col min="33" max="39" width="9.140625" style="29" hidden="1" customWidth="1"/>
    <col min="40" max="16384" width="9.140625" style="9" customWidth="1"/>
  </cols>
  <sheetData>
    <row r="1" spans="1:40" ht="15.75">
      <c r="A1" s="373" t="s">
        <v>500</v>
      </c>
      <c r="B1" s="374"/>
      <c r="C1" s="375"/>
      <c r="D1" s="375"/>
      <c r="E1" s="375"/>
      <c r="F1" s="375"/>
      <c r="G1" s="374"/>
      <c r="H1" s="374"/>
      <c r="I1" s="376"/>
      <c r="J1" s="91"/>
      <c r="K1" s="131"/>
      <c r="L1" s="91"/>
      <c r="M1" s="30" t="s">
        <v>284</v>
      </c>
      <c r="S1" s="91"/>
      <c r="T1" s="91"/>
      <c r="U1" s="91"/>
      <c r="V1" s="44"/>
      <c r="W1" s="584"/>
      <c r="X1" s="113"/>
      <c r="AC1" s="91"/>
      <c r="AD1" s="91"/>
      <c r="AE1" s="91"/>
      <c r="AL1" s="127"/>
      <c r="AM1" s="91"/>
      <c r="AN1" s="186" t="s">
        <v>1256</v>
      </c>
    </row>
    <row r="2" spans="1:39" ht="12.75">
      <c r="A2" s="379" t="s">
        <v>136</v>
      </c>
      <c r="B2" s="377"/>
      <c r="C2" s="377"/>
      <c r="D2" s="377"/>
      <c r="E2" s="377"/>
      <c r="F2" s="377"/>
      <c r="G2" s="377"/>
      <c r="H2" s="377"/>
      <c r="I2" s="378"/>
      <c r="J2" s="151"/>
      <c r="K2" s="26"/>
      <c r="L2" s="151"/>
      <c r="S2" s="151"/>
      <c r="T2" s="151"/>
      <c r="U2" s="151"/>
      <c r="V2" s="44"/>
      <c r="W2" s="585"/>
      <c r="X2" s="120"/>
      <c r="AC2" s="151"/>
      <c r="AD2" s="151"/>
      <c r="AE2" s="151"/>
      <c r="AG2" s="37"/>
      <c r="AL2" s="127"/>
      <c r="AM2" s="151"/>
    </row>
    <row r="3" spans="1:39" ht="12.75">
      <c r="A3" s="380" t="s">
        <v>222</v>
      </c>
      <c r="B3" s="391"/>
      <c r="C3" s="391"/>
      <c r="D3" s="391"/>
      <c r="E3" s="377"/>
      <c r="F3" s="377"/>
      <c r="G3" s="377"/>
      <c r="H3" s="377"/>
      <c r="I3" s="378"/>
      <c r="J3" s="37"/>
      <c r="K3" s="40">
        <v>36</v>
      </c>
      <c r="L3" s="37"/>
      <c r="M3" s="95" t="s">
        <v>219</v>
      </c>
      <c r="V3" s="44"/>
      <c r="W3" s="585"/>
      <c r="X3" s="120"/>
      <c r="AE3" s="37"/>
      <c r="AF3" s="327" t="s">
        <v>694</v>
      </c>
      <c r="AG3" s="328"/>
      <c r="AH3" s="328"/>
      <c r="AI3" s="328"/>
      <c r="AJ3" s="328"/>
      <c r="AK3" s="328"/>
      <c r="AL3" s="329"/>
      <c r="AM3" s="37"/>
    </row>
    <row r="4" spans="1:44" ht="12.75">
      <c r="A4" s="381" t="s">
        <v>589</v>
      </c>
      <c r="B4" s="384"/>
      <c r="C4" s="385"/>
      <c r="D4" s="385"/>
      <c r="E4" s="386"/>
      <c r="F4" s="188" t="s">
        <v>590</v>
      </c>
      <c r="G4" s="382"/>
      <c r="H4" s="383"/>
      <c r="I4" s="387"/>
      <c r="J4" s="25"/>
      <c r="K4" s="40">
        <v>50</v>
      </c>
      <c r="L4" s="25"/>
      <c r="M4" s="57" t="s">
        <v>490</v>
      </c>
      <c r="S4" s="37"/>
      <c r="V4" s="44"/>
      <c r="W4" s="585"/>
      <c r="X4" s="10"/>
      <c r="AE4" s="25"/>
      <c r="AF4" s="332" t="s">
        <v>695</v>
      </c>
      <c r="AG4" s="333"/>
      <c r="AH4" s="333"/>
      <c r="AI4" s="333"/>
      <c r="AJ4" s="333"/>
      <c r="AK4" s="333"/>
      <c r="AL4" s="334"/>
      <c r="AM4" s="25"/>
      <c r="AN4" s="32" t="s">
        <v>462</v>
      </c>
      <c r="AO4" s="29"/>
      <c r="AP4" s="29"/>
      <c r="AQ4" s="29"/>
      <c r="AR4" s="36"/>
    </row>
    <row r="5" spans="1:44" ht="12.75">
      <c r="A5" s="381" t="s">
        <v>591</v>
      </c>
      <c r="B5" s="384"/>
      <c r="C5" s="385"/>
      <c r="D5" s="385"/>
      <c r="E5" s="385"/>
      <c r="F5" s="188" t="s">
        <v>592</v>
      </c>
      <c r="G5" s="382"/>
      <c r="H5" s="188" t="s">
        <v>593</v>
      </c>
      <c r="I5" s="388"/>
      <c r="J5" s="25"/>
      <c r="K5" s="116">
        <v>3</v>
      </c>
      <c r="L5" s="25"/>
      <c r="M5" s="50" t="s">
        <v>335</v>
      </c>
      <c r="N5" s="109">
        <f>IF($D$23=36,58,IF($D$23=50,65))</f>
        <v>58</v>
      </c>
      <c r="O5" s="38" t="s">
        <v>245</v>
      </c>
      <c r="P5" s="38" t="str">
        <f>IF($D$23=36,"Fua = 58 for Fya = 36","Fua = 65 for Fya = 50")&amp;" (for angles)"</f>
        <v>Fua = 58 for Fya = 36 (for angles)</v>
      </c>
      <c r="S5" s="37"/>
      <c r="V5" s="44"/>
      <c r="W5" s="585"/>
      <c r="X5" s="120"/>
      <c r="AE5" s="25"/>
      <c r="AF5" s="330" t="s">
        <v>238</v>
      </c>
      <c r="AG5" s="331" t="s">
        <v>239</v>
      </c>
      <c r="AH5" s="331" t="s">
        <v>319</v>
      </c>
      <c r="AI5" s="331" t="s">
        <v>320</v>
      </c>
      <c r="AJ5" s="331" t="s">
        <v>321</v>
      </c>
      <c r="AK5" s="331" t="s">
        <v>322</v>
      </c>
      <c r="AL5" s="331" t="s">
        <v>323</v>
      </c>
      <c r="AM5" s="25"/>
      <c r="AN5" s="7" t="s">
        <v>461</v>
      </c>
      <c r="AO5" s="84" t="s">
        <v>236</v>
      </c>
      <c r="AP5" s="29"/>
      <c r="AQ5" s="29"/>
      <c r="AR5" s="84" t="s">
        <v>20</v>
      </c>
    </row>
    <row r="6" spans="1:44" ht="12.75">
      <c r="A6" s="19"/>
      <c r="B6" s="104"/>
      <c r="C6" s="104"/>
      <c r="D6" s="104"/>
      <c r="E6" s="104"/>
      <c r="F6" s="104"/>
      <c r="G6" s="131"/>
      <c r="H6" s="26"/>
      <c r="I6" s="198"/>
      <c r="J6" s="37"/>
      <c r="K6" s="116">
        <v>3.5</v>
      </c>
      <c r="L6" s="37"/>
      <c r="M6" s="50" t="s">
        <v>192</v>
      </c>
      <c r="N6" s="109">
        <f>IF($D$12=36,58,IF($D$12=50,65))</f>
        <v>65</v>
      </c>
      <c r="O6" s="38" t="s">
        <v>245</v>
      </c>
      <c r="P6" s="38" t="str">
        <f>IF($D$12=36,"Fub = 58 for Fyb = 36","Fub = 65 for Fyb = 50")&amp;" (for beam)"</f>
        <v>Fub = 65 for Fyb = 50 (for beam)</v>
      </c>
      <c r="S6" s="26"/>
      <c r="V6" s="44"/>
      <c r="W6" s="585"/>
      <c r="X6" s="113"/>
      <c r="AE6" s="37"/>
      <c r="AF6" s="400" t="s">
        <v>696</v>
      </c>
      <c r="AG6" s="401">
        <v>98.5</v>
      </c>
      <c r="AH6" s="402">
        <v>44</v>
      </c>
      <c r="AI6" s="403">
        <v>1.03</v>
      </c>
      <c r="AJ6" s="402">
        <v>15.9</v>
      </c>
      <c r="AK6" s="403">
        <v>1.77</v>
      </c>
      <c r="AL6" s="404">
        <v>2.56</v>
      </c>
      <c r="AM6" s="37"/>
      <c r="AN6" s="94" t="s">
        <v>55</v>
      </c>
      <c r="AO6" s="29"/>
      <c r="AP6" s="29"/>
      <c r="AQ6" s="29"/>
      <c r="AR6" s="126"/>
    </row>
    <row r="7" spans="1:44" ht="12.75">
      <c r="A7" s="11" t="s">
        <v>235</v>
      </c>
      <c r="B7" s="104"/>
      <c r="C7" s="104"/>
      <c r="D7" s="104"/>
      <c r="E7" s="104"/>
      <c r="F7" s="104"/>
      <c r="G7" s="23"/>
      <c r="H7" s="26"/>
      <c r="I7" s="199"/>
      <c r="J7" s="37"/>
      <c r="K7" s="116">
        <v>4</v>
      </c>
      <c r="L7" s="37"/>
      <c r="M7" s="50" t="s">
        <v>3</v>
      </c>
      <c r="N7" s="114">
        <f>IF($D$13=36,58,IF($D$13=50,65))</f>
        <v>65</v>
      </c>
      <c r="O7" s="38" t="s">
        <v>245</v>
      </c>
      <c r="P7" s="38" t="str">
        <f>IF($D$13=36,"Fuc = 58 for Fyc = 36","Fuc = 65 for Fyc = 50")&amp;" (for column)"</f>
        <v>Fuc = 65 for Fyc = 50 (for column)</v>
      </c>
      <c r="V7" s="44"/>
      <c r="W7" s="586"/>
      <c r="X7" s="113"/>
      <c r="AE7" s="37"/>
      <c r="AF7" s="405" t="s">
        <v>697</v>
      </c>
      <c r="AG7" s="406">
        <v>85.4</v>
      </c>
      <c r="AH7" s="407">
        <v>43.6</v>
      </c>
      <c r="AI7" s="408">
        <v>0.865</v>
      </c>
      <c r="AJ7" s="407">
        <v>15.8</v>
      </c>
      <c r="AK7" s="409">
        <v>1.58</v>
      </c>
      <c r="AL7" s="410">
        <v>2.36</v>
      </c>
      <c r="AM7" s="37"/>
      <c r="AN7" s="35">
        <v>63</v>
      </c>
      <c r="AO7" s="48" t="str">
        <f>IF($B$63&gt;=$D$16,"Rwv &gt;= R,  O.K.","Rwv &lt; R, N.G.")</f>
        <v>Rwv &gt;= R,  O.K.</v>
      </c>
      <c r="AP7" s="29"/>
      <c r="AQ7" s="29"/>
      <c r="AR7" s="6">
        <f>$D$16/$B$63</f>
        <v>0.4870087316640433</v>
      </c>
    </row>
    <row r="8" spans="1:44" ht="12.75">
      <c r="A8" s="19"/>
      <c r="B8" s="104"/>
      <c r="C8" s="104"/>
      <c r="D8" s="104"/>
      <c r="E8" s="200"/>
      <c r="F8" s="25"/>
      <c r="G8" s="25"/>
      <c r="H8" s="25"/>
      <c r="I8" s="27"/>
      <c r="J8" s="37"/>
      <c r="K8" s="116">
        <v>5</v>
      </c>
      <c r="L8" s="37"/>
      <c r="M8" s="95" t="s">
        <v>361</v>
      </c>
      <c r="N8" s="48"/>
      <c r="O8" s="48"/>
      <c r="P8" s="48"/>
      <c r="Q8" s="48"/>
      <c r="R8" s="48"/>
      <c r="V8" s="44"/>
      <c r="W8" s="586"/>
      <c r="X8" s="110"/>
      <c r="AE8" s="37"/>
      <c r="AF8" s="405" t="s">
        <v>698</v>
      </c>
      <c r="AG8" s="406">
        <v>76.9</v>
      </c>
      <c r="AH8" s="407">
        <v>43.3</v>
      </c>
      <c r="AI8" s="408">
        <v>0.785</v>
      </c>
      <c r="AJ8" s="407">
        <v>15.8</v>
      </c>
      <c r="AK8" s="409">
        <v>1.42</v>
      </c>
      <c r="AL8" s="410">
        <v>2.2</v>
      </c>
      <c r="AM8" s="37"/>
      <c r="AN8" s="35">
        <v>64</v>
      </c>
      <c r="AO8" s="48" t="str">
        <f>IF($D$17&gt;0,IF($B$64&gt;=$D$17,"Rwa &gt;= P,  O.K.","Rwa &lt; P, N.G."),"N.A.")</f>
        <v>Rwa &gt;= P,  O.K.</v>
      </c>
      <c r="AP8" s="29"/>
      <c r="AQ8" s="29"/>
      <c r="AR8" s="6">
        <f>IF($D$17&gt;0,$D$17/$B$64,"")</f>
        <v>0.48700873166404346</v>
      </c>
    </row>
    <row r="9" spans="1:44" ht="12.75">
      <c r="A9" s="11" t="s">
        <v>114</v>
      </c>
      <c r="B9" s="25"/>
      <c r="C9" s="25"/>
      <c r="D9" s="25"/>
      <c r="E9" s="152"/>
      <c r="F9" s="10"/>
      <c r="G9" s="10"/>
      <c r="H9" s="10"/>
      <c r="I9" s="135" t="str">
        <f>"tw="&amp;$D$46</f>
        <v>tw=0.44</v>
      </c>
      <c r="J9" s="37"/>
      <c r="K9" s="116">
        <v>6</v>
      </c>
      <c r="L9" s="37"/>
      <c r="M9" s="57" t="s">
        <v>623</v>
      </c>
      <c r="O9" s="57"/>
      <c r="P9" s="48" t="s">
        <v>622</v>
      </c>
      <c r="V9" s="58"/>
      <c r="W9" s="587"/>
      <c r="X9" s="110"/>
      <c r="AE9" s="37"/>
      <c r="AF9" s="405" t="s">
        <v>699</v>
      </c>
      <c r="AG9" s="406">
        <v>67.7</v>
      </c>
      <c r="AH9" s="407">
        <v>42.9</v>
      </c>
      <c r="AI9" s="408">
        <v>0.71</v>
      </c>
      <c r="AJ9" s="407">
        <v>15.8</v>
      </c>
      <c r="AK9" s="409">
        <v>1.22</v>
      </c>
      <c r="AL9" s="410">
        <v>2.01</v>
      </c>
      <c r="AM9" s="37"/>
      <c r="AN9" s="35">
        <v>68</v>
      </c>
      <c r="AO9" s="38" t="str">
        <f>IF($D$17&gt;0,IF($B$68&gt;=$B$67,"Fb &gt;= fb,  O.K.","Fb &lt; fb, N.G.  "),"N.A.")</f>
        <v>Fb &gt;= fb,  O.K.</v>
      </c>
      <c r="AP9" s="29"/>
      <c r="AQ9" s="29"/>
      <c r="AR9" s="6">
        <f>IF($D$17&gt;0,$B$67/$B$68,"")</f>
        <v>0.8734855967078189</v>
      </c>
    </row>
    <row r="10" spans="1:44" ht="12.75">
      <c r="A10" s="19"/>
      <c r="B10" s="10"/>
      <c r="C10" s="44" t="s">
        <v>176</v>
      </c>
      <c r="D10" s="169" t="s">
        <v>1172</v>
      </c>
      <c r="E10" s="45"/>
      <c r="F10" s="10"/>
      <c r="G10" s="10"/>
      <c r="H10" s="10"/>
      <c r="I10" s="133" t="str">
        <f>"bf="&amp;$D$47</f>
        <v>bf=14.5</v>
      </c>
      <c r="J10" s="26"/>
      <c r="K10" s="116">
        <v>7</v>
      </c>
      <c r="L10" s="44"/>
      <c r="M10" s="74" t="s">
        <v>51</v>
      </c>
      <c r="N10" s="43">
        <f>IF($D$17&gt;0,90-(ATAN($D$16/$D$17)*(180/PI())),0)</f>
        <v>7.125016348901795</v>
      </c>
      <c r="O10" s="31" t="s">
        <v>269</v>
      </c>
      <c r="P10" s="115" t="s">
        <v>53</v>
      </c>
      <c r="Q10" s="365"/>
      <c r="AE10" s="26"/>
      <c r="AF10" s="405" t="s">
        <v>700</v>
      </c>
      <c r="AG10" s="411">
        <v>174</v>
      </c>
      <c r="AH10" s="407">
        <v>43</v>
      </c>
      <c r="AI10" s="409">
        <v>1.79</v>
      </c>
      <c r="AJ10" s="407">
        <v>16.7</v>
      </c>
      <c r="AK10" s="409">
        <v>3.23</v>
      </c>
      <c r="AL10" s="410">
        <v>4.41</v>
      </c>
      <c r="AM10" s="26"/>
      <c r="AN10" s="94" t="s">
        <v>463</v>
      </c>
      <c r="AR10" s="390"/>
    </row>
    <row r="11" spans="1:44" ht="12.75">
      <c r="A11" s="19"/>
      <c r="B11" s="10"/>
      <c r="C11" s="44" t="s">
        <v>115</v>
      </c>
      <c r="D11" s="170" t="s">
        <v>1030</v>
      </c>
      <c r="E11" s="45"/>
      <c r="F11" s="10"/>
      <c r="G11" s="10"/>
      <c r="H11" s="10"/>
      <c r="I11" s="14"/>
      <c r="K11" s="116">
        <v>8</v>
      </c>
      <c r="L11" s="44"/>
      <c r="M11" s="33" t="s">
        <v>427</v>
      </c>
      <c r="N11" s="61">
        <f>2*0.928*16*$D$25*$D$26/(SQRT(1+12.96*$D$20^2/$D$26^2))</f>
        <v>82.77323612608444</v>
      </c>
      <c r="O11" s="38" t="s">
        <v>237</v>
      </c>
      <c r="P11" s="48" t="s">
        <v>642</v>
      </c>
      <c r="Q11" s="9"/>
      <c r="R11" s="9"/>
      <c r="S11" s="37"/>
      <c r="AF11" s="405" t="s">
        <v>701</v>
      </c>
      <c r="AG11" s="411">
        <v>148</v>
      </c>
      <c r="AH11" s="407">
        <v>42.1</v>
      </c>
      <c r="AI11" s="409">
        <v>1.54</v>
      </c>
      <c r="AJ11" s="407">
        <v>16.4</v>
      </c>
      <c r="AK11" s="409">
        <v>2.76</v>
      </c>
      <c r="AL11" s="410">
        <v>3.94</v>
      </c>
      <c r="AN11" s="35">
        <v>89</v>
      </c>
      <c r="AO11" s="48" t="str">
        <f>IF($D$16&gt;0,IF($B$89&gt;=$D$16,"Rwv &gt;= R,  O.K.","Rwv &lt; R, N.G."),"N.A.")</f>
        <v>Rwv &gt;= R,  O.K.</v>
      </c>
      <c r="AP11" s="29"/>
      <c r="AQ11" s="29"/>
      <c r="AR11" s="43">
        <f>IF($D$16&gt;0,$D$16/$B$89,"")</f>
        <v>0.34341574354230037</v>
      </c>
    </row>
    <row r="12" spans="1:44" ht="12.75">
      <c r="A12" s="49"/>
      <c r="B12" s="10"/>
      <c r="C12" s="44" t="s">
        <v>1033</v>
      </c>
      <c r="D12" s="165">
        <v>50</v>
      </c>
      <c r="E12" s="110" t="s">
        <v>245</v>
      </c>
      <c r="F12" s="10"/>
      <c r="G12" s="119" t="s">
        <v>164</v>
      </c>
      <c r="H12" s="10"/>
      <c r="I12" s="14"/>
      <c r="K12" s="116">
        <v>0.25</v>
      </c>
      <c r="L12" s="44"/>
      <c r="M12" s="33" t="s">
        <v>428</v>
      </c>
      <c r="N12" s="41">
        <f>$N$11*COS($N$10*PI()/180)</f>
        <v>82.13405099191012</v>
      </c>
      <c r="O12" s="31" t="s">
        <v>237</v>
      </c>
      <c r="P12" s="92" t="s">
        <v>1</v>
      </c>
      <c r="R12" s="9"/>
      <c r="S12" s="37"/>
      <c r="AF12" s="405" t="s">
        <v>702</v>
      </c>
      <c r="AG12" s="411">
        <v>127</v>
      </c>
      <c r="AH12" s="407">
        <v>41.3</v>
      </c>
      <c r="AI12" s="409">
        <v>1.34</v>
      </c>
      <c r="AJ12" s="407">
        <v>16.2</v>
      </c>
      <c r="AK12" s="409">
        <v>2.36</v>
      </c>
      <c r="AL12" s="410">
        <v>3.54</v>
      </c>
      <c r="AN12" s="35">
        <v>90</v>
      </c>
      <c r="AO12" s="48" t="str">
        <f>IF($D$17&gt;0,IF($B$90&gt;=$D$17,"Rwa &gt;= P,  O.K.","Rwa &lt; P, N.G."),"N.A.")</f>
        <v>Rwa &gt;= P,  O.K.</v>
      </c>
      <c r="AP12" s="29"/>
      <c r="AQ12" s="29"/>
      <c r="AR12" s="43">
        <f>IF($D$17&gt;0,$D$17/$B$90,"")</f>
        <v>0.3434157435423005</v>
      </c>
    </row>
    <row r="13" spans="1:44" ht="12.75">
      <c r="A13" s="19"/>
      <c r="B13" s="10"/>
      <c r="C13" s="44" t="s">
        <v>116</v>
      </c>
      <c r="D13" s="166">
        <v>50</v>
      </c>
      <c r="E13" s="110" t="s">
        <v>245</v>
      </c>
      <c r="F13" s="47"/>
      <c r="G13" s="10"/>
      <c r="H13" s="28" t="str">
        <f>"      ta="&amp;$D$22</f>
        <v>      ta=0.375</v>
      </c>
      <c r="I13" s="46"/>
      <c r="K13" s="116">
        <f>5/16</f>
        <v>0.3125</v>
      </c>
      <c r="L13" s="44"/>
      <c r="M13" s="33" t="s">
        <v>429</v>
      </c>
      <c r="N13" s="61">
        <f>$N$11*SIN($N$10*PI()/180)</f>
        <v>10.26675637398876</v>
      </c>
      <c r="O13" s="31" t="s">
        <v>237</v>
      </c>
      <c r="P13" s="92" t="s">
        <v>639</v>
      </c>
      <c r="AF13" s="405" t="s">
        <v>703</v>
      </c>
      <c r="AG13" s="411">
        <v>117</v>
      </c>
      <c r="AH13" s="407">
        <v>41</v>
      </c>
      <c r="AI13" s="409">
        <v>1.22</v>
      </c>
      <c r="AJ13" s="407">
        <v>16.1</v>
      </c>
      <c r="AK13" s="409">
        <v>2.2</v>
      </c>
      <c r="AL13" s="410">
        <v>3.38</v>
      </c>
      <c r="AN13" s="35">
        <v>83</v>
      </c>
      <c r="AO13" s="48" t="str">
        <f>IF($D$24&gt;=$B$83,"Weld(used) &gt;= weld(req'd), O.K.","Weld(used) &lt; weld(req'd), N.G.")</f>
        <v>Weld(used) &gt;= weld(req'd), O.K.</v>
      </c>
      <c r="AP13" s="29"/>
      <c r="AQ13" s="29"/>
      <c r="AR13" s="43">
        <f>$B$83/$D$24</f>
        <v>0.3200451648723175</v>
      </c>
    </row>
    <row r="14" spans="1:44" ht="12.75">
      <c r="A14" s="19"/>
      <c r="B14" s="10"/>
      <c r="C14" s="10"/>
      <c r="D14" s="10"/>
      <c r="E14" s="15" t="s">
        <v>655</v>
      </c>
      <c r="F14" s="10"/>
      <c r="G14" s="137"/>
      <c r="H14" s="15"/>
      <c r="I14" s="135" t="s">
        <v>653</v>
      </c>
      <c r="K14" s="116">
        <v>0.375</v>
      </c>
      <c r="L14" s="10"/>
      <c r="M14" s="57" t="s">
        <v>1173</v>
      </c>
      <c r="AF14" s="405" t="s">
        <v>704</v>
      </c>
      <c r="AG14" s="411">
        <v>109</v>
      </c>
      <c r="AH14" s="407">
        <v>40.6</v>
      </c>
      <c r="AI14" s="409">
        <v>1.16</v>
      </c>
      <c r="AJ14" s="407">
        <v>16.1</v>
      </c>
      <c r="AK14" s="409">
        <v>2.05</v>
      </c>
      <c r="AL14" s="410">
        <v>3.23</v>
      </c>
      <c r="AN14" s="35"/>
      <c r="AO14" s="43">
        <f>$D$24</f>
        <v>0.25</v>
      </c>
      <c r="AP14" s="43">
        <f>$B$83</f>
        <v>0.08001129121807937</v>
      </c>
      <c r="AQ14" s="29"/>
      <c r="AR14" s="57"/>
    </row>
    <row r="15" spans="1:44" ht="12.75">
      <c r="A15" s="11" t="s">
        <v>228</v>
      </c>
      <c r="B15" s="10"/>
      <c r="C15" s="10"/>
      <c r="D15" s="10"/>
      <c r="E15" s="112"/>
      <c r="F15" s="15"/>
      <c r="G15" s="119"/>
      <c r="H15" s="10"/>
      <c r="I15" s="135"/>
      <c r="K15" s="116">
        <v>0.5</v>
      </c>
      <c r="L15" s="10"/>
      <c r="M15" s="33" t="s">
        <v>124</v>
      </c>
      <c r="N15" s="41">
        <f>($D$17*(2*$D$20+$B$46)/4)/($D$26*$D$22^2/6)</f>
        <v>28.244444444444447</v>
      </c>
      <c r="O15" s="38" t="s">
        <v>245</v>
      </c>
      <c r="P15" s="92" t="s">
        <v>1174</v>
      </c>
      <c r="AF15" s="405" t="s">
        <v>705</v>
      </c>
      <c r="AG15" s="411">
        <v>107</v>
      </c>
      <c r="AH15" s="407">
        <v>40.6</v>
      </c>
      <c r="AI15" s="409">
        <v>1.12</v>
      </c>
      <c r="AJ15" s="407">
        <v>16</v>
      </c>
      <c r="AK15" s="409">
        <v>2.01</v>
      </c>
      <c r="AL15" s="410">
        <v>3.19</v>
      </c>
      <c r="AN15" s="35">
        <v>94</v>
      </c>
      <c r="AO15" s="48" t="str">
        <f>IF($B$94&gt;=$D$16,"Rvg &gt;= R,  O.K.","Rvg &lt; R, N.G.")</f>
        <v>Rvg &gt;= R,  O.K.</v>
      </c>
      <c r="AR15" s="43">
        <f>$D$16/$B$94</f>
        <v>0.308641975308642</v>
      </c>
    </row>
    <row r="16" spans="1:44" ht="12.75">
      <c r="A16" s="19"/>
      <c r="B16" s="44"/>
      <c r="C16" s="44" t="s">
        <v>486</v>
      </c>
      <c r="D16" s="167">
        <v>40</v>
      </c>
      <c r="E16" s="123" t="s">
        <v>237</v>
      </c>
      <c r="F16" s="15"/>
      <c r="G16" s="37"/>
      <c r="H16" s="10"/>
      <c r="I16" s="133" t="str">
        <f>"        D1="&amp;$D$27</f>
        <v>        D1=3.625</v>
      </c>
      <c r="K16" s="84">
        <v>32</v>
      </c>
      <c r="L16" s="44"/>
      <c r="M16" s="33" t="s">
        <v>159</v>
      </c>
      <c r="N16" s="41">
        <f>(1.5/1.67)*$D$23</f>
        <v>32.33532934131737</v>
      </c>
      <c r="O16" s="38" t="s">
        <v>245</v>
      </c>
      <c r="P16" s="92" t="s">
        <v>1175</v>
      </c>
      <c r="AF16" s="405" t="s">
        <v>706</v>
      </c>
      <c r="AG16" s="406">
        <v>95.3</v>
      </c>
      <c r="AH16" s="407">
        <v>40.2</v>
      </c>
      <c r="AI16" s="409">
        <v>1</v>
      </c>
      <c r="AJ16" s="407">
        <v>15.9</v>
      </c>
      <c r="AK16" s="409">
        <v>1.81</v>
      </c>
      <c r="AL16" s="410">
        <v>2.99</v>
      </c>
      <c r="AN16" s="35">
        <v>98</v>
      </c>
      <c r="AO16" s="48" t="str">
        <f>IF($B$98&gt;=$D$16,"Rvn &gt;= R,  O.K.","Rvn &lt; R, N.G.")</f>
        <v>Rvn &gt;= R,  O.K.</v>
      </c>
      <c r="AR16" s="43">
        <f>$D$16/$B$98</f>
        <v>0.2554278416347382</v>
      </c>
    </row>
    <row r="17" spans="1:44" ht="12.75">
      <c r="A17" s="19"/>
      <c r="B17" s="44"/>
      <c r="C17" s="44" t="s">
        <v>367</v>
      </c>
      <c r="D17" s="168">
        <v>5</v>
      </c>
      <c r="E17" s="123" t="s">
        <v>237</v>
      </c>
      <c r="F17" s="119" t="str">
        <f>"L="&amp;$D$26&amp;"    "</f>
        <v>L=12    </v>
      </c>
      <c r="G17" s="15"/>
      <c r="H17" s="28"/>
      <c r="I17" s="139"/>
      <c r="K17" s="84">
        <v>30</v>
      </c>
      <c r="L17" s="44"/>
      <c r="M17" s="95" t="s">
        <v>463</v>
      </c>
      <c r="AF17" s="405" t="s">
        <v>707</v>
      </c>
      <c r="AG17" s="406">
        <v>87.4</v>
      </c>
      <c r="AH17" s="407">
        <v>39.8</v>
      </c>
      <c r="AI17" s="408">
        <v>0.93</v>
      </c>
      <c r="AJ17" s="407">
        <v>15.8</v>
      </c>
      <c r="AK17" s="409">
        <v>1.65</v>
      </c>
      <c r="AL17" s="410">
        <v>2.83</v>
      </c>
      <c r="AN17" s="35">
        <v>106</v>
      </c>
      <c r="AO17" s="48" t="str">
        <f>IF($D$17&gt;0,IF($B$106&gt;=$D$17,"Rtg &gt;= P,  O.K.","Rtg &lt; P, N.G."),"N.A.")</f>
        <v>Rtg &gt;= P,  O.K.</v>
      </c>
      <c r="AR17" s="43">
        <f>IF($D$17&gt;0,$D$17/$B$106,"")</f>
        <v>0.028428234501347713</v>
      </c>
    </row>
    <row r="18" spans="1:44" ht="12.75">
      <c r="A18" s="53"/>
      <c r="B18" s="44"/>
      <c r="C18" s="10"/>
      <c r="D18" s="10"/>
      <c r="E18" s="10"/>
      <c r="F18" s="119"/>
      <c r="G18" s="117"/>
      <c r="H18" s="15"/>
      <c r="I18" s="149" t="str">
        <f>"      P="&amp;$D$17&amp;" k"</f>
        <v>      P=5 k</v>
      </c>
      <c r="K18" s="84">
        <v>28</v>
      </c>
      <c r="L18" s="10"/>
      <c r="M18" s="48" t="s">
        <v>527</v>
      </c>
      <c r="N18" s="34"/>
      <c r="O18" s="31"/>
      <c r="P18" s="57"/>
      <c r="AF18" s="405" t="s">
        <v>708</v>
      </c>
      <c r="AG18" s="406">
        <v>81.4</v>
      </c>
      <c r="AH18" s="407">
        <v>39.7</v>
      </c>
      <c r="AI18" s="408">
        <v>0.83</v>
      </c>
      <c r="AJ18" s="407">
        <v>15.8</v>
      </c>
      <c r="AK18" s="409">
        <v>1.58</v>
      </c>
      <c r="AL18" s="410">
        <v>2.76</v>
      </c>
      <c r="AN18" s="532" t="str">
        <f>IF(AND($D$29=0,$D$30=0,$D$31=0),$M$251,IF(AND($D$29&gt;0,$D$30&gt;0,$D$31=0),$M$279,IF(AND($D$29&gt;0,$D$30&gt;0,$D$31&gt;0),$M$320)))</f>
        <v>Beam Checks for Uncoped Flanges:</v>
      </c>
      <c r="AR18" s="390"/>
    </row>
    <row r="19" spans="1:44" ht="12.75">
      <c r="A19" s="11" t="s">
        <v>407</v>
      </c>
      <c r="B19" s="10"/>
      <c r="C19" s="10"/>
      <c r="D19" s="21"/>
      <c r="E19" s="112"/>
      <c r="F19" s="24"/>
      <c r="G19" s="121"/>
      <c r="H19" s="15" t="str">
        <f>"                 R=  "&amp;$D$16&amp;" k"</f>
        <v>                 R=  40 k</v>
      </c>
      <c r="I19" s="46"/>
      <c r="K19" s="575">
        <v>26</v>
      </c>
      <c r="L19" s="10"/>
      <c r="M19" s="33" t="s">
        <v>401</v>
      </c>
      <c r="N19" s="43">
        <f>$D$26</f>
        <v>12</v>
      </c>
      <c r="O19" s="31" t="s">
        <v>33</v>
      </c>
      <c r="P19" s="38" t="s">
        <v>661</v>
      </c>
      <c r="AF19" s="405" t="s">
        <v>709</v>
      </c>
      <c r="AG19" s="406">
        <v>73.3</v>
      </c>
      <c r="AH19" s="407">
        <v>39.4</v>
      </c>
      <c r="AI19" s="408">
        <v>0.75</v>
      </c>
      <c r="AJ19" s="407">
        <v>15.8</v>
      </c>
      <c r="AK19" s="409">
        <v>1.42</v>
      </c>
      <c r="AL19" s="410">
        <v>2.6</v>
      </c>
      <c r="AN19" s="35">
        <v>115</v>
      </c>
      <c r="AO19" s="48" t="str">
        <f>IF($B$115&gt;=$D$16,"Rvg &gt;= R,  O.K.","Rvg &lt; R, N.G.")</f>
        <v>Rvg &gt;= R,  O.K.</v>
      </c>
      <c r="AP19" s="29"/>
      <c r="AQ19" s="29"/>
      <c r="AR19" s="43">
        <f>$D$16/$B$115</f>
        <v>0.3129890453834116</v>
      </c>
    </row>
    <row r="20" spans="1:44" ht="12.75">
      <c r="A20" s="19"/>
      <c r="B20" s="10"/>
      <c r="C20" s="58" t="s">
        <v>2</v>
      </c>
      <c r="D20" s="454">
        <f>IF($D$26&gt;=18,4,3)</f>
        <v>3</v>
      </c>
      <c r="E20" s="113" t="s">
        <v>268</v>
      </c>
      <c r="F20" s="119" t="str">
        <f>"Lc="&amp;$D$20&amp;"  "</f>
        <v>Lc=3  </v>
      </c>
      <c r="G20" s="15"/>
      <c r="H20" s="10"/>
      <c r="I20" s="134"/>
      <c r="K20" s="575">
        <v>24</v>
      </c>
      <c r="L20" s="58"/>
      <c r="M20" s="33" t="s">
        <v>413</v>
      </c>
      <c r="N20" s="43">
        <f>$D$21-$D$28</f>
        <v>2.5</v>
      </c>
      <c r="O20" s="31" t="s">
        <v>268</v>
      </c>
      <c r="P20" s="57" t="s">
        <v>415</v>
      </c>
      <c r="AF20" s="405" t="s">
        <v>710</v>
      </c>
      <c r="AG20" s="406">
        <v>63.4</v>
      </c>
      <c r="AH20" s="407">
        <v>39</v>
      </c>
      <c r="AI20" s="408">
        <v>0.65</v>
      </c>
      <c r="AJ20" s="407">
        <v>15.8</v>
      </c>
      <c r="AK20" s="409">
        <v>1.22</v>
      </c>
      <c r="AL20" s="410">
        <v>2.4</v>
      </c>
      <c r="AN20" s="35">
        <v>119</v>
      </c>
      <c r="AO20" s="48" t="str">
        <f>IF($B$119="N.A.","N.A.",IF($B$119&gt;=$D$16,"Rvn &gt;= R,  O.K.","Rvn &lt; R, N.G."))</f>
        <v>N.A.</v>
      </c>
      <c r="AP20" s="29"/>
      <c r="AQ20" s="29"/>
      <c r="AR20" s="43">
        <f>IF($B$119="N.A.","",$D$16/$B$119)</f>
      </c>
    </row>
    <row r="21" spans="1:44" ht="12.75">
      <c r="A21" s="19"/>
      <c r="B21" s="10"/>
      <c r="C21" s="58" t="s">
        <v>366</v>
      </c>
      <c r="D21" s="437">
        <v>3</v>
      </c>
      <c r="E21" s="113" t="s">
        <v>268</v>
      </c>
      <c r="F21" s="10"/>
      <c r="G21" s="13"/>
      <c r="H21" s="119" t="str">
        <f>"       s="&amp;$D$28</f>
        <v>       s=0.5</v>
      </c>
      <c r="I21" s="102"/>
      <c r="K21" s="575">
        <v>22</v>
      </c>
      <c r="L21" s="58"/>
      <c r="M21" s="33" t="s">
        <v>519</v>
      </c>
      <c r="N21" s="39">
        <f>$AD$69</f>
        <v>0.03125</v>
      </c>
      <c r="O21" s="31"/>
      <c r="P21" s="48" t="s">
        <v>543</v>
      </c>
      <c r="T21" s="61"/>
      <c r="AF21" s="405" t="s">
        <v>711</v>
      </c>
      <c r="AG21" s="406">
        <v>58.5</v>
      </c>
      <c r="AH21" s="407">
        <v>38.7</v>
      </c>
      <c r="AI21" s="408">
        <v>0.65</v>
      </c>
      <c r="AJ21" s="407">
        <v>15.8</v>
      </c>
      <c r="AK21" s="409">
        <v>1.07</v>
      </c>
      <c r="AL21" s="410">
        <v>2.25</v>
      </c>
      <c r="AN21" s="16">
        <v>123</v>
      </c>
      <c r="AO21" s="48" t="str">
        <f>IF($D$17&gt;0,IF($B$123&gt;=$D$17,"Rtg &gt;= P,  O.K.","Rtg &lt; P, N.G."),"N.A.")</f>
        <v>Rtg &gt;= P,  O.K.</v>
      </c>
      <c r="AR21" s="43">
        <f>IF($D$17&gt;0,$D$17/$B$123,"")</f>
        <v>0.012569171445338081</v>
      </c>
    </row>
    <row r="22" spans="1:44" ht="12.75">
      <c r="A22" s="19"/>
      <c r="B22" s="10"/>
      <c r="C22" s="44" t="s">
        <v>336</v>
      </c>
      <c r="D22" s="172">
        <v>0.375</v>
      </c>
      <c r="E22" s="113" t="s">
        <v>268</v>
      </c>
      <c r="F22" s="55"/>
      <c r="G22" s="10"/>
      <c r="H22" s="28" t="str">
        <f>"             Lb="&amp;$D$21</f>
        <v>             Lb=3</v>
      </c>
      <c r="I22" s="54"/>
      <c r="K22" s="575">
        <v>20</v>
      </c>
      <c r="L22" s="44"/>
      <c r="M22" s="33" t="s">
        <v>469</v>
      </c>
      <c r="N22" s="39">
        <f>$D$21-$N$21*$N$19</f>
        <v>2.625</v>
      </c>
      <c r="O22" s="31" t="s">
        <v>268</v>
      </c>
      <c r="P22" s="48" t="s">
        <v>520</v>
      </c>
      <c r="T22" s="43"/>
      <c r="AF22" s="405" t="s">
        <v>712</v>
      </c>
      <c r="AG22" s="411">
        <v>115</v>
      </c>
      <c r="AH22" s="407">
        <v>41.6</v>
      </c>
      <c r="AI22" s="409">
        <v>1.42</v>
      </c>
      <c r="AJ22" s="407">
        <v>12.4</v>
      </c>
      <c r="AK22" s="409">
        <v>2.52</v>
      </c>
      <c r="AL22" s="410">
        <v>3.7</v>
      </c>
      <c r="AN22" s="16">
        <v>128</v>
      </c>
      <c r="AO22" s="48" t="str">
        <f>IF(AND($D$29=0,$D$30=0,$D$31=0),"N.A.",IF($B$128&gt;=$D$16,"Rbs &gt;= R,  O.K.","Rbs &lt; R, N.G."))</f>
        <v>N.A.</v>
      </c>
      <c r="AR22" s="43">
        <f>IF(AND($D$29=0,$D$30=0,$D$31=0),"",$D$16/$B$128)</f>
      </c>
    </row>
    <row r="23" spans="1:44" ht="12.75">
      <c r="A23" s="19"/>
      <c r="B23" s="10"/>
      <c r="C23" s="44" t="s">
        <v>1082</v>
      </c>
      <c r="D23" s="165">
        <v>36</v>
      </c>
      <c r="E23" s="110" t="s">
        <v>245</v>
      </c>
      <c r="F23" s="55"/>
      <c r="G23" s="10"/>
      <c r="H23" s="10"/>
      <c r="I23" s="54"/>
      <c r="K23" s="575">
        <v>18</v>
      </c>
      <c r="L23" s="44"/>
      <c r="M23" s="33" t="s">
        <v>1032</v>
      </c>
      <c r="N23" s="43">
        <f>$N$22/$N$19</f>
        <v>0.21875</v>
      </c>
      <c r="O23" s="31"/>
      <c r="P23" s="48" t="s">
        <v>470</v>
      </c>
      <c r="R23" s="146"/>
      <c r="S23" s="50"/>
      <c r="AF23" s="405" t="s">
        <v>713</v>
      </c>
      <c r="AG23" s="406">
        <v>97.5</v>
      </c>
      <c r="AH23" s="407">
        <v>40.8</v>
      </c>
      <c r="AI23" s="409">
        <v>1.22</v>
      </c>
      <c r="AJ23" s="407">
        <v>12.2</v>
      </c>
      <c r="AK23" s="409">
        <v>2.13</v>
      </c>
      <c r="AL23" s="410">
        <v>3.31</v>
      </c>
      <c r="AN23" s="16">
        <v>133</v>
      </c>
      <c r="AO23" s="48" t="str">
        <f>IF(AND($D$29=0,$D$30=0,$D$31=0),"N.A.",IF($D$17&gt;0,IF($B$133&gt;=$D$17,"Rto &gt;= P,  O.K.","Rto &lt; P, N.G."),"N.A."))</f>
        <v>N.A.</v>
      </c>
      <c r="AR23" s="43">
        <f>IF(AND($D$29=0,$D$30=0,$D$31=0),"",IF($D$17&gt;0,$D$17/$B$133,""))</f>
      </c>
    </row>
    <row r="24" spans="1:44" ht="12.75">
      <c r="A24" s="19"/>
      <c r="B24" s="10"/>
      <c r="C24" s="44" t="s">
        <v>657</v>
      </c>
      <c r="D24" s="437">
        <f>MIN(5/16,$D$22-1/8)</f>
        <v>0.25</v>
      </c>
      <c r="E24" s="112" t="s">
        <v>268</v>
      </c>
      <c r="F24" s="101" t="s">
        <v>233</v>
      </c>
      <c r="G24" s="22"/>
      <c r="H24" s="1"/>
      <c r="I24" s="12"/>
      <c r="J24" s="37"/>
      <c r="K24" s="575">
        <v>16</v>
      </c>
      <c r="L24" s="44"/>
      <c r="M24" s="33" t="s">
        <v>460</v>
      </c>
      <c r="N24" s="43">
        <f>$N$20/$N$19</f>
        <v>0.20833333333333334</v>
      </c>
      <c r="O24" s="31"/>
      <c r="P24" s="48" t="s">
        <v>402</v>
      </c>
      <c r="S24" s="50"/>
      <c r="AE24" s="37"/>
      <c r="AF24" s="405" t="s">
        <v>714</v>
      </c>
      <c r="AG24" s="406">
        <v>96</v>
      </c>
      <c r="AH24" s="407">
        <v>40.8</v>
      </c>
      <c r="AI24" s="409">
        <v>1.18</v>
      </c>
      <c r="AJ24" s="407">
        <v>12.1</v>
      </c>
      <c r="AK24" s="409">
        <v>2.13</v>
      </c>
      <c r="AL24" s="410">
        <v>3.31</v>
      </c>
      <c r="AM24" s="37"/>
      <c r="AN24" s="16">
        <v>138</v>
      </c>
      <c r="AO24" s="48" t="str">
        <f>IF(D17&gt;0,IF($B$138&gt;=$D$17,"Rto &gt;= P,  O.K.","Rto &lt; P, N.G."),"N.A.")</f>
        <v>Rto &gt;= P,  O.K.</v>
      </c>
      <c r="AR24" s="43">
        <f>IF($D$17&gt;0,$D$17/$B$138,"")</f>
        <v>0.030289262456459187</v>
      </c>
    </row>
    <row r="25" spans="1:44" ht="12.75">
      <c r="A25" s="19"/>
      <c r="B25" s="10"/>
      <c r="C25" s="44" t="s">
        <v>660</v>
      </c>
      <c r="D25" s="437">
        <f>MIN(3/8,$D$22-1/16)</f>
        <v>0.3125</v>
      </c>
      <c r="E25" s="112" t="s">
        <v>268</v>
      </c>
      <c r="F25" s="10"/>
      <c r="G25" s="10"/>
      <c r="H25" s="10"/>
      <c r="I25" s="14"/>
      <c r="J25" s="37"/>
      <c r="K25" s="575">
        <v>14</v>
      </c>
      <c r="L25" s="44"/>
      <c r="M25" s="33" t="s">
        <v>381</v>
      </c>
      <c r="N25" s="114">
        <v>1</v>
      </c>
      <c r="O25" s="31"/>
      <c r="P25" s="48" t="s">
        <v>382</v>
      </c>
      <c r="AE25" s="37"/>
      <c r="AF25" s="405" t="s">
        <v>715</v>
      </c>
      <c r="AG25" s="406">
        <v>86.3</v>
      </c>
      <c r="AH25" s="407">
        <v>40.4</v>
      </c>
      <c r="AI25" s="409">
        <v>1.06</v>
      </c>
      <c r="AJ25" s="407">
        <v>12</v>
      </c>
      <c r="AK25" s="409">
        <v>1.93</v>
      </c>
      <c r="AL25" s="410">
        <v>3.11</v>
      </c>
      <c r="AM25" s="37"/>
      <c r="AN25" s="16">
        <v>147</v>
      </c>
      <c r="AO25" s="48" t="str">
        <f>IF(AND($D$29=0,$D$30=0,$D$31=0),"N.A.",IF($B$147&gt;=$D$16,"Rwb &gt;= R,  O.K.","Rwb &lt; R, N.G."))</f>
        <v>N.A.</v>
      </c>
      <c r="AR25" s="43">
        <f>IF(AND($D$29=0,$D$30=0,$D$31=0),"",$D$16/$B$147)</f>
      </c>
    </row>
    <row r="26" spans="1:44" ht="12.75">
      <c r="A26" s="19"/>
      <c r="B26" s="10"/>
      <c r="C26" s="44" t="s">
        <v>659</v>
      </c>
      <c r="D26" s="185">
        <v>12</v>
      </c>
      <c r="E26" s="112" t="s">
        <v>268</v>
      </c>
      <c r="F26" s="24"/>
      <c r="G26" s="137" t="str">
        <f>"tw="&amp;$B$46</f>
        <v>tw=0.355</v>
      </c>
      <c r="H26" s="15" t="str">
        <f>"      c="&amp;$D$29</f>
        <v>      c=0</v>
      </c>
      <c r="I26" s="135"/>
      <c r="J26" s="37"/>
      <c r="K26" s="84">
        <v>12</v>
      </c>
      <c r="L26" s="44"/>
      <c r="M26" s="33" t="s">
        <v>19</v>
      </c>
      <c r="N26" s="43">
        <f>$AD$72</f>
        <v>2.6240625</v>
      </c>
      <c r="O26" s="31"/>
      <c r="P26" s="48" t="s">
        <v>528</v>
      </c>
      <c r="AE26" s="37"/>
      <c r="AF26" s="405" t="s">
        <v>716</v>
      </c>
      <c r="AG26" s="406">
        <v>82</v>
      </c>
      <c r="AH26" s="407">
        <v>40.2</v>
      </c>
      <c r="AI26" s="409">
        <v>1.03</v>
      </c>
      <c r="AJ26" s="407">
        <v>12</v>
      </c>
      <c r="AK26" s="409">
        <v>1.81</v>
      </c>
      <c r="AL26" s="410">
        <v>2.99</v>
      </c>
      <c r="AM26" s="37"/>
      <c r="AN26" s="16">
        <v>163</v>
      </c>
      <c r="AO26" s="48" t="str">
        <f>IF(AND($D$29=0,$D$30=0,$D$31=0),"N.A.",IF($B$163&gt;=$D$16,"Rwb &gt;= R,  O.K.","Rwb &lt; R, N.G."))</f>
        <v>N.A.</v>
      </c>
      <c r="AR26" s="43">
        <f>IF(AND($D$29=0,$D$30=0,$D$31=0),"",$D$16/$B$163)</f>
      </c>
    </row>
    <row r="27" spans="1:44" ht="12.75">
      <c r="A27" s="19"/>
      <c r="B27" s="10"/>
      <c r="C27" s="93" t="s">
        <v>658</v>
      </c>
      <c r="D27" s="171">
        <v>3.625</v>
      </c>
      <c r="E27" s="113" t="s">
        <v>268</v>
      </c>
      <c r="F27" s="15" t="str">
        <f>"tf="&amp;$B$48</f>
        <v>tf=0.57</v>
      </c>
      <c r="G27" s="28"/>
      <c r="H27" s="15"/>
      <c r="I27" s="135" t="str">
        <f>"        dc1="&amp;$D$30</f>
        <v>        dc1=0</v>
      </c>
      <c r="J27" s="37"/>
      <c r="K27" s="84">
        <v>10</v>
      </c>
      <c r="L27" s="93"/>
      <c r="M27" s="33" t="s">
        <v>32</v>
      </c>
      <c r="N27" s="61">
        <f>SQRT($D$16^2+$D$17^2)</f>
        <v>40.311288741492746</v>
      </c>
      <c r="O27" s="31" t="s">
        <v>237</v>
      </c>
      <c r="P27" s="37" t="s">
        <v>539</v>
      </c>
      <c r="AE27" s="37"/>
      <c r="AF27" s="405" t="s">
        <v>717</v>
      </c>
      <c r="AG27" s="406">
        <v>77.6</v>
      </c>
      <c r="AH27" s="407">
        <v>40</v>
      </c>
      <c r="AI27" s="408">
        <v>0.96</v>
      </c>
      <c r="AJ27" s="407">
        <v>11.9</v>
      </c>
      <c r="AK27" s="409">
        <v>1.73</v>
      </c>
      <c r="AL27" s="410">
        <v>2.91</v>
      </c>
      <c r="AM27" s="37"/>
      <c r="AN27" s="32" t="s">
        <v>161</v>
      </c>
      <c r="AO27" s="38"/>
      <c r="AR27" s="6"/>
    </row>
    <row r="28" spans="1:44" ht="12.75">
      <c r="A28" s="19"/>
      <c r="B28" s="10"/>
      <c r="C28" s="44" t="s">
        <v>285</v>
      </c>
      <c r="D28" s="171">
        <v>0.5</v>
      </c>
      <c r="E28" s="113" t="s">
        <v>268</v>
      </c>
      <c r="F28" s="15"/>
      <c r="G28" s="37"/>
      <c r="H28" s="10"/>
      <c r="I28" s="133"/>
      <c r="J28" s="37"/>
      <c r="K28" s="84">
        <v>9</v>
      </c>
      <c r="L28" s="44"/>
      <c r="M28" s="74" t="s">
        <v>51</v>
      </c>
      <c r="N28" s="43">
        <f>IF($D$17&gt;0,90-(ATAN($D$16/$D$17)*(180/PI())),0)</f>
        <v>7.125016348901795</v>
      </c>
      <c r="O28" s="31" t="s">
        <v>269</v>
      </c>
      <c r="P28" s="115" t="s">
        <v>53</v>
      </c>
      <c r="AE28" s="37"/>
      <c r="AF28" s="405" t="s">
        <v>718</v>
      </c>
      <c r="AG28" s="406">
        <v>69</v>
      </c>
      <c r="AH28" s="407">
        <v>39.7</v>
      </c>
      <c r="AI28" s="408">
        <v>0.83</v>
      </c>
      <c r="AJ28" s="407">
        <v>11.9</v>
      </c>
      <c r="AK28" s="409">
        <v>1.58</v>
      </c>
      <c r="AL28" s="410">
        <v>2.76</v>
      </c>
      <c r="AM28" s="37"/>
      <c r="AN28" s="16">
        <v>172</v>
      </c>
      <c r="AO28" s="38" t="str">
        <f>IF($D$16&gt;0,IF($B$172&gt;=$D$16,"Rwv &gt;= R,  O.K.","Rwv &lt; R, N.G."),"N.A.")</f>
        <v>Rwv &gt;= R,  O.K.</v>
      </c>
      <c r="AR28" s="6">
        <f>IF($D$16&gt;0,$D$16/$B$172,"")</f>
        <v>0.4870087316640433</v>
      </c>
    </row>
    <row r="29" spans="1:44" ht="12.75">
      <c r="A29" s="19"/>
      <c r="B29" s="10"/>
      <c r="C29" s="58" t="s">
        <v>5</v>
      </c>
      <c r="D29" s="171">
        <v>0</v>
      </c>
      <c r="E29" s="113" t="s">
        <v>268</v>
      </c>
      <c r="F29" s="119"/>
      <c r="G29" s="15"/>
      <c r="H29" s="28"/>
      <c r="I29" s="139"/>
      <c r="J29" s="37"/>
      <c r="K29" s="84">
        <v>8</v>
      </c>
      <c r="L29" s="44"/>
      <c r="M29" s="74" t="s">
        <v>540</v>
      </c>
      <c r="N29" s="40">
        <f>FLOOR($N$28,15)</f>
        <v>0</v>
      </c>
      <c r="O29" s="31" t="s">
        <v>269</v>
      </c>
      <c r="P29" s="75" t="s">
        <v>518</v>
      </c>
      <c r="AE29" s="37"/>
      <c r="AF29" s="405" t="s">
        <v>719</v>
      </c>
      <c r="AG29" s="406">
        <v>62</v>
      </c>
      <c r="AH29" s="407">
        <v>39.4</v>
      </c>
      <c r="AI29" s="408">
        <v>0.75</v>
      </c>
      <c r="AJ29" s="407">
        <v>11.8</v>
      </c>
      <c r="AK29" s="409">
        <v>1.42</v>
      </c>
      <c r="AL29" s="410">
        <v>2.6</v>
      </c>
      <c r="AM29" s="37"/>
      <c r="AN29" s="16">
        <v>173</v>
      </c>
      <c r="AO29" s="38" t="str">
        <f>IF($D$17&gt;0,IF($B$173&gt;=$D$17,"Rwa &gt;= P,  O.K.","Rwa &lt; P, N.G."),"N.A.")</f>
        <v>Rwa &gt;= P,  O.K.</v>
      </c>
      <c r="AR29" s="6">
        <f>IF($D$17&gt;0,$D$17/$B$173,"")</f>
        <v>0.48700873166404346</v>
      </c>
    </row>
    <row r="30" spans="1:44" ht="12.75">
      <c r="A30" s="19"/>
      <c r="B30" s="10"/>
      <c r="C30" s="58" t="s">
        <v>1098</v>
      </c>
      <c r="D30" s="171">
        <v>0</v>
      </c>
      <c r="E30" s="113" t="s">
        <v>268</v>
      </c>
      <c r="F30" s="119" t="str">
        <f>"d="&amp;$B$45&amp;"       "</f>
        <v>d=18       </v>
      </c>
      <c r="G30" s="117"/>
      <c r="H30" s="28"/>
      <c r="I30" s="149"/>
      <c r="J30" s="37"/>
      <c r="K30" s="84">
        <v>7</v>
      </c>
      <c r="L30" s="44"/>
      <c r="M30" s="74" t="s">
        <v>279</v>
      </c>
      <c r="N30" s="70">
        <f>((2*$N$27/2)/($N$26*$N$25*$N$19))/16</f>
        <v>0.08001129121807937</v>
      </c>
      <c r="O30" s="38" t="s">
        <v>393</v>
      </c>
      <c r="P30" s="75" t="s">
        <v>279</v>
      </c>
      <c r="Q30" s="31" t="s">
        <v>534</v>
      </c>
      <c r="AE30" s="37"/>
      <c r="AF30" s="405" t="s">
        <v>720</v>
      </c>
      <c r="AG30" s="406">
        <v>53.3</v>
      </c>
      <c r="AH30" s="407">
        <v>39</v>
      </c>
      <c r="AI30" s="408">
        <v>0.65</v>
      </c>
      <c r="AJ30" s="407">
        <v>11.8</v>
      </c>
      <c r="AK30" s="409">
        <v>1.2</v>
      </c>
      <c r="AL30" s="410">
        <v>2.38</v>
      </c>
      <c r="AM30" s="37"/>
      <c r="AN30" s="16">
        <v>185</v>
      </c>
      <c r="AO30" s="38" t="str">
        <f>IF($D$17&gt;0,IF($D$34="Yes",IF($B$185&gt;=$D$17,"Pa &gt;= P,  O.K.","Pa &lt; P, N.G."),"N.A."),"N.A.")</f>
        <v>N.A.</v>
      </c>
      <c r="AR30" s="6">
        <f>IF($D$17&gt;0,IF($D$34="Yes",$D$17/$B$185,""),"")</f>
      </c>
    </row>
    <row r="31" spans="1:44" ht="12.75">
      <c r="A31" s="19"/>
      <c r="B31" s="10"/>
      <c r="C31" s="58" t="s">
        <v>1099</v>
      </c>
      <c r="D31" s="171">
        <v>0</v>
      </c>
      <c r="E31" s="113" t="s">
        <v>268</v>
      </c>
      <c r="F31" s="24"/>
      <c r="G31" s="121"/>
      <c r="H31" s="28"/>
      <c r="I31" s="46"/>
      <c r="J31" s="37"/>
      <c r="K31" s="84">
        <v>6</v>
      </c>
      <c r="L31" s="44"/>
      <c r="M31" s="74" t="s">
        <v>430</v>
      </c>
      <c r="N31" s="116">
        <f>IF(MIN($D$22,$B$46)&lt;=0.25,0.125,IF(MIN($D$22,$B$46)&lt;=0.5,0.1875,IF(MIN($D$22,$B$46)&lt;=0.75,0.25,IF(MIN($D$22,$B$46)&gt;0.75,0.3125))))</f>
        <v>0.1875</v>
      </c>
      <c r="O31" s="31" t="s">
        <v>268</v>
      </c>
      <c r="P31" s="75" t="s">
        <v>535</v>
      </c>
      <c r="AE31" s="37"/>
      <c r="AF31" s="405" t="s">
        <v>721</v>
      </c>
      <c r="AG31" s="406">
        <v>49.2</v>
      </c>
      <c r="AH31" s="407">
        <v>38.6</v>
      </c>
      <c r="AI31" s="408">
        <v>0.65</v>
      </c>
      <c r="AJ31" s="407">
        <v>11.8</v>
      </c>
      <c r="AK31" s="409">
        <v>1.03</v>
      </c>
      <c r="AL31" s="410">
        <v>2.21</v>
      </c>
      <c r="AM31" s="37"/>
      <c r="AN31" s="16">
        <v>191</v>
      </c>
      <c r="AO31" s="38" t="str">
        <f>IF($D$17&gt;0,IF($D$34="Yes",IF($B$192&gt;=$B$191,"Fv &gt;= fv,  O.K.","Fv &lt; fv, N.G."),"N.A."),"N.A.")</f>
        <v>N.A.</v>
      </c>
      <c r="AR31" s="6">
        <f>IF($D$17&gt;0,IF($D$34="Yes",$B$191/$B$192,""),"")</f>
      </c>
    </row>
    <row r="32" spans="1:44" ht="12.75">
      <c r="A32" s="19"/>
      <c r="B32" s="10"/>
      <c r="C32" s="44" t="s">
        <v>42</v>
      </c>
      <c r="D32" s="171">
        <v>0</v>
      </c>
      <c r="E32" s="112" t="s">
        <v>268</v>
      </c>
      <c r="F32" s="15"/>
      <c r="G32" s="15"/>
      <c r="H32" s="10"/>
      <c r="I32" s="134"/>
      <c r="J32" s="37"/>
      <c r="K32" s="84">
        <v>5</v>
      </c>
      <c r="L32" s="44"/>
      <c r="M32" s="33" t="s">
        <v>427</v>
      </c>
      <c r="N32" s="41">
        <f>2*$D$24*16*$N$26*$N$25*$N$19/2</f>
        <v>125.955</v>
      </c>
      <c r="O32" s="31" t="s">
        <v>237</v>
      </c>
      <c r="P32" s="92" t="s">
        <v>536</v>
      </c>
      <c r="AE32" s="37"/>
      <c r="AF32" s="405" t="s">
        <v>722</v>
      </c>
      <c r="AG32" s="406">
        <v>43.8</v>
      </c>
      <c r="AH32" s="407">
        <v>38.2</v>
      </c>
      <c r="AI32" s="408">
        <v>0.63</v>
      </c>
      <c r="AJ32" s="407">
        <v>11.8</v>
      </c>
      <c r="AK32" s="408">
        <v>0.83</v>
      </c>
      <c r="AL32" s="410">
        <v>2.01</v>
      </c>
      <c r="AM32" s="37"/>
      <c r="AN32" s="16">
        <v>198</v>
      </c>
      <c r="AO32" s="38" t="str">
        <f>IF($D$17&gt;0,IF($D$34="Yes",IF($D$32&gt;0,IF($B$197&lt;=$B$198,"Weld size &lt;= weld max., O.K.","Weld size &gt; weld max."),"N.A."),"N.A."),"N.A.")</f>
        <v>N.A.</v>
      </c>
      <c r="AR32" s="6">
        <f>IF($D$17&gt;0,IF($D$34="Yes",IF($D$32&gt;0,$B$198/$B$199,""),""),"")</f>
      </c>
    </row>
    <row r="33" spans="1:42" ht="12.75">
      <c r="A33" s="19"/>
      <c r="B33" s="10"/>
      <c r="C33" s="44" t="s">
        <v>43</v>
      </c>
      <c r="D33" s="185">
        <v>36</v>
      </c>
      <c r="E33" s="112" t="s">
        <v>268</v>
      </c>
      <c r="F33" s="10"/>
      <c r="G33" s="13" t="str">
        <f>"  bf="&amp;$B$47</f>
        <v>  bf=7.5</v>
      </c>
      <c r="H33" s="13"/>
      <c r="I33" s="122" t="str">
        <f>"        dc2="&amp;$D$31</f>
        <v>        dc2=0</v>
      </c>
      <c r="J33" s="37"/>
      <c r="K33" s="84">
        <v>4</v>
      </c>
      <c r="L33" s="44"/>
      <c r="M33" s="33" t="s">
        <v>625</v>
      </c>
      <c r="N33" s="43">
        <f>6.19*16*$D$24/$N$7</f>
        <v>0.3809230769230769</v>
      </c>
      <c r="O33" s="29" t="s">
        <v>268</v>
      </c>
      <c r="P33" s="29" t="s">
        <v>1180</v>
      </c>
      <c r="AE33" s="37"/>
      <c r="AF33" s="405" t="s">
        <v>723</v>
      </c>
      <c r="AG33" s="411">
        <v>236</v>
      </c>
      <c r="AH33" s="407">
        <v>42.6</v>
      </c>
      <c r="AI33" s="409">
        <v>2.38</v>
      </c>
      <c r="AJ33" s="407">
        <v>18</v>
      </c>
      <c r="AK33" s="409">
        <v>4.29</v>
      </c>
      <c r="AL33" s="410">
        <v>5.24</v>
      </c>
      <c r="AM33" s="37"/>
      <c r="AO33" s="61" t="str">
        <f>$B$197</f>
        <v>N.A.</v>
      </c>
      <c r="AP33" s="61" t="str">
        <f>$B$198</f>
        <v>N.A.</v>
      </c>
    </row>
    <row r="34" spans="1:39" ht="12.75">
      <c r="A34" s="19"/>
      <c r="B34" s="10"/>
      <c r="C34" s="44" t="s">
        <v>44</v>
      </c>
      <c r="D34" s="458" t="s">
        <v>45</v>
      </c>
      <c r="E34" s="10"/>
      <c r="F34" s="55"/>
      <c r="G34" s="10"/>
      <c r="H34" s="28" t="str">
        <f>"      c="&amp;IF($D$31&gt;0,$D$29,0)</f>
        <v>      c=0</v>
      </c>
      <c r="I34" s="54"/>
      <c r="J34" s="37"/>
      <c r="K34" s="84" t="s">
        <v>365</v>
      </c>
      <c r="L34" s="44"/>
      <c r="M34" s="33" t="s">
        <v>648</v>
      </c>
      <c r="N34" s="34" t="str">
        <f>IF($N$33&gt;$B$46,"Yes","No")</f>
        <v>Yes</v>
      </c>
      <c r="P34" s="29" t="s">
        <v>538</v>
      </c>
      <c r="AE34" s="37"/>
      <c r="AF34" s="405" t="s">
        <v>724</v>
      </c>
      <c r="AG34" s="411">
        <v>192</v>
      </c>
      <c r="AH34" s="407">
        <v>41.1</v>
      </c>
      <c r="AI34" s="409">
        <v>1.97</v>
      </c>
      <c r="AJ34" s="407">
        <v>17.6</v>
      </c>
      <c r="AK34" s="409">
        <v>3.54</v>
      </c>
      <c r="AL34" s="410">
        <v>4.49</v>
      </c>
      <c r="AM34" s="37"/>
    </row>
    <row r="35" spans="1:39" ht="12.75">
      <c r="A35" s="19"/>
      <c r="B35" s="10"/>
      <c r="C35" s="10"/>
      <c r="D35" s="10"/>
      <c r="E35" s="10"/>
      <c r="F35" s="101" t="s">
        <v>234</v>
      </c>
      <c r="G35" s="22"/>
      <c r="H35" s="1"/>
      <c r="I35" s="12"/>
      <c r="J35" s="37"/>
      <c r="K35" s="84" t="s">
        <v>45</v>
      </c>
      <c r="L35" s="44"/>
      <c r="M35" s="33" t="s">
        <v>624</v>
      </c>
      <c r="N35" s="61">
        <f>IF($N$34="No",$N$32,$N$32*$B$46/$N$33)</f>
        <v>117.38334511308562</v>
      </c>
      <c r="O35" s="31" t="s">
        <v>237</v>
      </c>
      <c r="P35" s="155" t="str">
        <f>IF($N$34="No","Rwr' = Rwr, tmin &lt; twb, no reduction in strength is needed","Rwr' = Rwr*twb/tmin")</f>
        <v>Rwr' = Rwr*twb/tmin</v>
      </c>
      <c r="Q35" s="38"/>
      <c r="AD35" s="460" t="s">
        <v>521</v>
      </c>
      <c r="AE35" s="37"/>
      <c r="AF35" s="405" t="s">
        <v>725</v>
      </c>
      <c r="AG35" s="411">
        <v>156</v>
      </c>
      <c r="AH35" s="407">
        <v>39.8</v>
      </c>
      <c r="AI35" s="409">
        <v>1.61</v>
      </c>
      <c r="AJ35" s="407">
        <v>17.2</v>
      </c>
      <c r="AK35" s="409">
        <v>2.91</v>
      </c>
      <c r="AL35" s="410">
        <v>3.86</v>
      </c>
      <c r="AM35" s="37"/>
    </row>
    <row r="36" spans="1:39" ht="12.75">
      <c r="A36" s="19"/>
      <c r="B36" s="10"/>
      <c r="C36" s="10"/>
      <c r="D36" s="10"/>
      <c r="E36" s="10"/>
      <c r="F36" s="10"/>
      <c r="G36" s="10"/>
      <c r="H36" s="10"/>
      <c r="I36" s="14"/>
      <c r="J36" s="37"/>
      <c r="K36" s="34"/>
      <c r="L36" s="44"/>
      <c r="M36" s="33" t="s">
        <v>428</v>
      </c>
      <c r="N36" s="41">
        <f>$N$35*COS($N$28*PI()/180)</f>
        <v>116.47689645036027</v>
      </c>
      <c r="O36" s="31" t="s">
        <v>237</v>
      </c>
      <c r="P36" s="92" t="s">
        <v>635</v>
      </c>
      <c r="R36" s="9"/>
      <c r="AD36" s="460" t="s">
        <v>522</v>
      </c>
      <c r="AE36" s="37"/>
      <c r="AF36" s="405" t="s">
        <v>726</v>
      </c>
      <c r="AG36" s="411">
        <v>143</v>
      </c>
      <c r="AH36" s="407">
        <v>39.3</v>
      </c>
      <c r="AI36" s="409">
        <v>1.5</v>
      </c>
      <c r="AJ36" s="407">
        <v>17.1</v>
      </c>
      <c r="AK36" s="409">
        <v>2.68</v>
      </c>
      <c r="AL36" s="410">
        <v>3.63</v>
      </c>
      <c r="AM36" s="37"/>
    </row>
    <row r="37" spans="1:39" ht="12.75">
      <c r="A37" s="19"/>
      <c r="B37" s="10"/>
      <c r="C37" s="10"/>
      <c r="D37" s="10"/>
      <c r="E37" s="10"/>
      <c r="F37" s="530" t="s">
        <v>311</v>
      </c>
      <c r="G37" s="10"/>
      <c r="H37" s="10"/>
      <c r="I37" s="14"/>
      <c r="J37" s="37"/>
      <c r="K37" s="34"/>
      <c r="L37" s="44"/>
      <c r="M37" s="33" t="s">
        <v>429</v>
      </c>
      <c r="N37" s="61">
        <f>$N$35*SIN($N$28*PI()/180)</f>
        <v>14.55961205629503</v>
      </c>
      <c r="O37" s="31" t="s">
        <v>237</v>
      </c>
      <c r="P37" s="92" t="s">
        <v>636</v>
      </c>
      <c r="AD37" s="461">
        <f>IF(AD45&lt;0.1,1,MATCH(AD45,N45:AC45))</f>
        <v>3</v>
      </c>
      <c r="AE37" s="37"/>
      <c r="AF37" s="405" t="s">
        <v>727</v>
      </c>
      <c r="AG37" s="411">
        <v>130</v>
      </c>
      <c r="AH37" s="407">
        <v>38.9</v>
      </c>
      <c r="AI37" s="409">
        <v>1.36</v>
      </c>
      <c r="AJ37" s="407">
        <v>17</v>
      </c>
      <c r="AK37" s="409">
        <v>2.44</v>
      </c>
      <c r="AL37" s="410">
        <v>3.39</v>
      </c>
      <c r="AM37" s="37"/>
    </row>
    <row r="38" spans="1:38" ht="12.75">
      <c r="A38" s="19"/>
      <c r="B38" s="10"/>
      <c r="C38" s="10"/>
      <c r="D38" s="10"/>
      <c r="E38" s="10"/>
      <c r="F38" s="58" t="s">
        <v>312</v>
      </c>
      <c r="G38" s="158">
        <f>MIN($B$63,$B$89,$B$94,$B$98,$B$115,$B$119,$B$128,$B$147,$B$163,$B$172)</f>
        <v>82.13405099191012</v>
      </c>
      <c r="H38" s="121" t="s">
        <v>237</v>
      </c>
      <c r="I38" s="531"/>
      <c r="K38" s="34"/>
      <c r="L38" s="44"/>
      <c r="AD38" s="462"/>
      <c r="AF38" s="405" t="s">
        <v>728</v>
      </c>
      <c r="AG38" s="411">
        <v>116</v>
      </c>
      <c r="AH38" s="407">
        <v>38.4</v>
      </c>
      <c r="AI38" s="409">
        <v>1.22</v>
      </c>
      <c r="AJ38" s="407">
        <v>16.8</v>
      </c>
      <c r="AK38" s="409">
        <v>2.2</v>
      </c>
      <c r="AL38" s="410">
        <v>3.15</v>
      </c>
    </row>
    <row r="39" spans="1:38" ht="12.75">
      <c r="A39" s="19"/>
      <c r="B39" s="10"/>
      <c r="C39" s="10"/>
      <c r="D39" s="10"/>
      <c r="E39" s="10"/>
      <c r="F39" s="58" t="s">
        <v>313</v>
      </c>
      <c r="G39" s="179">
        <f>$D$16</f>
        <v>40</v>
      </c>
      <c r="H39" s="121" t="s">
        <v>237</v>
      </c>
      <c r="I39" s="531"/>
      <c r="K39" s="34"/>
      <c r="L39" s="44"/>
      <c r="AD39" s="460" t="s">
        <v>523</v>
      </c>
      <c r="AF39" s="405" t="s">
        <v>729</v>
      </c>
      <c r="AG39" s="411">
        <v>106</v>
      </c>
      <c r="AH39" s="407">
        <v>38</v>
      </c>
      <c r="AI39" s="409">
        <v>1.12</v>
      </c>
      <c r="AJ39" s="407">
        <v>16.7</v>
      </c>
      <c r="AK39" s="409">
        <v>2.01</v>
      </c>
      <c r="AL39" s="410">
        <v>2.96</v>
      </c>
    </row>
    <row r="40" spans="1:38" ht="12.75">
      <c r="A40" s="19"/>
      <c r="B40" s="10"/>
      <c r="C40" s="10"/>
      <c r="D40" s="10"/>
      <c r="E40" s="10"/>
      <c r="F40" s="58" t="s">
        <v>314</v>
      </c>
      <c r="G40" s="158">
        <f>$G$39/$G$38</f>
        <v>0.4870087316640433</v>
      </c>
      <c r="H40" s="87"/>
      <c r="I40" s="389" t="str">
        <f>IF($G$40&lt;=1,"S.R. &lt;= 1.0,  O.K.","S.R. &gt; 1.0, N.G.")</f>
        <v>S.R. &lt;= 1.0,  O.K.</v>
      </c>
      <c r="K40" s="34"/>
      <c r="L40" s="44"/>
      <c r="AD40" s="460" t="s">
        <v>524</v>
      </c>
      <c r="AF40" s="405" t="s">
        <v>730</v>
      </c>
      <c r="AG40" s="406">
        <v>97</v>
      </c>
      <c r="AH40" s="407">
        <v>37.7</v>
      </c>
      <c r="AI40" s="409">
        <v>1.02</v>
      </c>
      <c r="AJ40" s="407">
        <v>16.6</v>
      </c>
      <c r="AK40" s="409">
        <v>1.85</v>
      </c>
      <c r="AL40" s="410">
        <v>2.8</v>
      </c>
    </row>
    <row r="41" spans="1:38" ht="12.75">
      <c r="A41" s="19"/>
      <c r="B41" s="10"/>
      <c r="C41" s="10"/>
      <c r="D41" s="10"/>
      <c r="E41" s="10"/>
      <c r="F41" s="80">
        <f>IF($D$26&lt;($B$45-2*$B$49)/2,"Connection Length &lt; (d-2*k)/2","")</f>
      </c>
      <c r="G41" s="10"/>
      <c r="H41" s="10"/>
      <c r="I41" s="54"/>
      <c r="K41" s="34"/>
      <c r="L41" s="44"/>
      <c r="AD41" s="461">
        <f>MATCH($N$23,$M$46:$M$68)</f>
        <v>4</v>
      </c>
      <c r="AF41" s="405" t="s">
        <v>731</v>
      </c>
      <c r="AG41" s="406">
        <v>88.8</v>
      </c>
      <c r="AH41" s="407">
        <v>37.3</v>
      </c>
      <c r="AI41" s="408">
        <v>0.945</v>
      </c>
      <c r="AJ41" s="407">
        <v>16.7</v>
      </c>
      <c r="AK41" s="409">
        <v>1.68</v>
      </c>
      <c r="AL41" s="410">
        <v>2.63</v>
      </c>
    </row>
    <row r="42" spans="1:39" ht="12.75">
      <c r="A42" s="64" t="s">
        <v>56</v>
      </c>
      <c r="B42" s="10"/>
      <c r="C42" s="10"/>
      <c r="D42" s="10"/>
      <c r="E42" s="10"/>
      <c r="F42" s="98">
        <f>IF(AND($D$29=0,$D$30=0,$D$31=0),IF($B$45&lt;$D$26+2*$D$24+2*$B$49,"Connection too long, reduce L!",""),IF(AND($D$29&gt;0,$D$30&gt;0,$D$31=0),IF($B$45-$D$30&lt;$D$26+2*$D$24+1*$B$49,"Connection too long, reduce L!",""),IF(AND($D$29&gt;0,$D$30&gt;0,$D$31&gt;0),IF($B$45-($D$30+$D$31)&lt;$D$26+2*$D$24,"Connection too long, reduce L!",""))))</f>
      </c>
      <c r="G42" s="10"/>
      <c r="H42" s="10"/>
      <c r="I42" s="54"/>
      <c r="J42" s="37"/>
      <c r="K42" s="34"/>
      <c r="L42" s="37"/>
      <c r="AD42" s="446"/>
      <c r="AE42" s="37"/>
      <c r="AF42" s="405" t="s">
        <v>732</v>
      </c>
      <c r="AG42" s="406">
        <v>82.9</v>
      </c>
      <c r="AH42" s="407">
        <v>37.1</v>
      </c>
      <c r="AI42" s="408">
        <v>0.885</v>
      </c>
      <c r="AJ42" s="407">
        <v>16.6</v>
      </c>
      <c r="AK42" s="409">
        <v>1.57</v>
      </c>
      <c r="AL42" s="410">
        <v>2.52</v>
      </c>
      <c r="AM42" s="37"/>
    </row>
    <row r="43" spans="1:39" ht="12.75">
      <c r="A43" s="19"/>
      <c r="B43" s="89" t="s">
        <v>57</v>
      </c>
      <c r="C43" s="10"/>
      <c r="D43" s="89" t="s">
        <v>118</v>
      </c>
      <c r="E43" s="10"/>
      <c r="F43" s="80">
        <f>IF(AND($D$29&gt;0,$D$29&gt;2*$B$45),"c MUST BE &lt;= 2*d = "&amp;2*$B$45&amp;" in.!","")</f>
      </c>
      <c r="G43" s="97"/>
      <c r="H43" s="10"/>
      <c r="I43" s="54"/>
      <c r="J43" s="37"/>
      <c r="K43" s="84"/>
      <c r="L43" s="37"/>
      <c r="M43" s="141" t="str">
        <f>IF($N$29=0,M74,IF($N$29=15,M102,IF($N$29=30,M130,IF($N$29=45,M158,IF($N$29=60,M186,IF($N$29=75,M214,"ERROR"))))))</f>
        <v>TABLE 8-8 Coefficients, "C" (AISC Manual - page 8-90), Angle = 0°</v>
      </c>
      <c r="N43" s="463"/>
      <c r="O43" s="107"/>
      <c r="P43" s="463"/>
      <c r="Q43" s="463"/>
      <c r="R43" s="143"/>
      <c r="S43" s="143"/>
      <c r="T43" s="143"/>
      <c r="U43" s="142"/>
      <c r="V43" s="143"/>
      <c r="W43" s="143"/>
      <c r="X43" s="143"/>
      <c r="Y43" s="143"/>
      <c r="Z43" s="144"/>
      <c r="AA43" s="143"/>
      <c r="AB43" s="143"/>
      <c r="AC43" s="144"/>
      <c r="AD43" s="446"/>
      <c r="AE43" s="37"/>
      <c r="AF43" s="405" t="s">
        <v>733</v>
      </c>
      <c r="AG43" s="406">
        <v>77</v>
      </c>
      <c r="AH43" s="407">
        <v>36.9</v>
      </c>
      <c r="AI43" s="408">
        <v>0.84</v>
      </c>
      <c r="AJ43" s="407">
        <v>16.6</v>
      </c>
      <c r="AK43" s="409">
        <v>1.44</v>
      </c>
      <c r="AL43" s="410">
        <v>2.39</v>
      </c>
      <c r="AM43" s="37"/>
    </row>
    <row r="44" spans="1:39" ht="12.75">
      <c r="A44" s="62" t="s">
        <v>229</v>
      </c>
      <c r="B44" s="174">
        <f>VLOOKUP($D$10,$AF$6:$AL$406,ROWS(B$44:B44)+1,FALSE)</f>
        <v>14.7</v>
      </c>
      <c r="C44" s="58" t="s">
        <v>229</v>
      </c>
      <c r="D44" s="174">
        <f>VLOOKUP($D$11,$AF$6:$AL$336,ROWS(D$44:D44)+1,FALSE)</f>
        <v>26.5</v>
      </c>
      <c r="E44" s="113" t="s">
        <v>243</v>
      </c>
      <c r="F44" s="80">
        <f>IF(AND($D$30&gt;0,$D$31=0,$D$30&gt;$B$45/2),"dc1 MUST BE &lt;= d/2 = "&amp;$B$45/2&amp;" in.!",IF(AND($D$30&gt;0,$D$31&gt;0,$D$30&gt;0.2*$B$45),"dc1 MUST BE &lt;= 0.2*d = "&amp;0.2*$B$45&amp;" in.!",""))</f>
      </c>
      <c r="G44" s="10"/>
      <c r="H44" s="10"/>
      <c r="I44" s="65"/>
      <c r="J44" s="37"/>
      <c r="K44" s="84"/>
      <c r="L44" s="37"/>
      <c r="M44" s="464"/>
      <c r="N44" s="141" t="s">
        <v>323</v>
      </c>
      <c r="O44" s="107"/>
      <c r="P44" s="143"/>
      <c r="Q44" s="143"/>
      <c r="R44" s="143"/>
      <c r="S44" s="143"/>
      <c r="T44" s="465"/>
      <c r="U44" s="143"/>
      <c r="V44" s="143"/>
      <c r="W44" s="143"/>
      <c r="X44" s="143"/>
      <c r="Y44" s="156"/>
      <c r="Z44" s="144"/>
      <c r="AA44" s="143"/>
      <c r="AB44" s="156"/>
      <c r="AC44" s="144"/>
      <c r="AD44" s="466"/>
      <c r="AE44" s="37"/>
      <c r="AF44" s="405" t="s">
        <v>734</v>
      </c>
      <c r="AG44" s="406">
        <v>72.5</v>
      </c>
      <c r="AH44" s="407">
        <v>36.7</v>
      </c>
      <c r="AI44" s="408">
        <v>0.8</v>
      </c>
      <c r="AJ44" s="407">
        <v>16.5</v>
      </c>
      <c r="AK44" s="409">
        <v>1.35</v>
      </c>
      <c r="AL44" s="410">
        <v>2.3</v>
      </c>
      <c r="AM44" s="37"/>
    </row>
    <row r="45" spans="1:39" ht="12.75">
      <c r="A45" s="69" t="s">
        <v>58</v>
      </c>
      <c r="B45" s="435">
        <f>VLOOKUP($D$10,$AF$6:$AL$406,ROWS(B$44:B45)+1,FALSE)</f>
        <v>18</v>
      </c>
      <c r="C45" s="58" t="s">
        <v>58</v>
      </c>
      <c r="D45" s="435">
        <f>VLOOKUP($D$11,$AF$6:$AL$336,ROWS(D$44:D45)+1,FALSE)</f>
        <v>14</v>
      </c>
      <c r="E45" s="113" t="s">
        <v>268</v>
      </c>
      <c r="F45" s="80">
        <f>IF(AND($D$31&gt;0,$D$31&gt;0.2*$B$45),"dc2 MUST BE &lt;= 0.2*d = "&amp;0.2*$B$45&amp;" in.!","")</f>
      </c>
      <c r="G45" s="10"/>
      <c r="H45" s="10"/>
      <c r="I45" s="54"/>
      <c r="J45" s="37"/>
      <c r="K45" s="84"/>
      <c r="L45" s="37"/>
      <c r="M45" s="467" t="s">
        <v>18</v>
      </c>
      <c r="N45" s="468">
        <v>0</v>
      </c>
      <c r="O45" s="140">
        <v>0.1</v>
      </c>
      <c r="P45" s="140">
        <v>0.2</v>
      </c>
      <c r="Q45" s="469">
        <v>0.3</v>
      </c>
      <c r="R45" s="140">
        <v>0.4</v>
      </c>
      <c r="S45" s="469">
        <v>0.5</v>
      </c>
      <c r="T45" s="140">
        <v>0.6</v>
      </c>
      <c r="U45" s="469">
        <v>0.7</v>
      </c>
      <c r="V45" s="140">
        <v>0.8</v>
      </c>
      <c r="W45" s="469">
        <v>0.9</v>
      </c>
      <c r="X45" s="140">
        <v>1</v>
      </c>
      <c r="Y45" s="469">
        <v>1.2</v>
      </c>
      <c r="Z45" s="140">
        <v>1.4</v>
      </c>
      <c r="AA45" s="140">
        <v>1.6</v>
      </c>
      <c r="AB45" s="469">
        <v>1.8</v>
      </c>
      <c r="AC45" s="140">
        <v>2</v>
      </c>
      <c r="AD45" s="470">
        <f>$N$24</f>
        <v>0.20833333333333334</v>
      </c>
      <c r="AE45" s="37"/>
      <c r="AF45" s="405" t="s">
        <v>735</v>
      </c>
      <c r="AG45" s="406">
        <v>68.1</v>
      </c>
      <c r="AH45" s="407">
        <v>36.5</v>
      </c>
      <c r="AI45" s="408">
        <v>0.76</v>
      </c>
      <c r="AJ45" s="407">
        <v>16.5</v>
      </c>
      <c r="AK45" s="409">
        <v>1.26</v>
      </c>
      <c r="AL45" s="410">
        <v>2.21</v>
      </c>
      <c r="AM45" s="37"/>
    </row>
    <row r="46" spans="1:39" ht="12.75">
      <c r="A46" s="69" t="s">
        <v>507</v>
      </c>
      <c r="B46" s="175">
        <f>VLOOKUP($D$10,$AF$6:$AL$406,ROWS(B$44:B46)+1,FALSE)</f>
        <v>0.355</v>
      </c>
      <c r="C46" s="58" t="s">
        <v>507</v>
      </c>
      <c r="D46" s="175">
        <f>VLOOKUP($D$11,$AF$6:$AL$336,ROWS(D$44:D46)+1,FALSE)</f>
        <v>0.44</v>
      </c>
      <c r="E46" s="113" t="s">
        <v>268</v>
      </c>
      <c r="F46" s="80">
        <f>IF(AND($D$30&gt;0,$D$30&lt;$B$49),"dc1 MUST BE &gt;= k = "&amp;$B$49&amp;" in.!","")</f>
      </c>
      <c r="G46" s="10"/>
      <c r="H46" s="10"/>
      <c r="I46" s="66"/>
      <c r="J46" s="37"/>
      <c r="K46" s="84"/>
      <c r="L46" s="37"/>
      <c r="M46" s="471">
        <v>0</v>
      </c>
      <c r="N46" s="515">
        <f aca="true" t="shared" si="0" ref="N46:AC46">IF($N$29=0,N77,IF($N$29=15,N105,IF($N$29=30,N133,IF($N$29=45,N161,IF($N$29=60,N189,IF($N$29=75,N217,"ERROR"))))))</f>
        <v>1.53</v>
      </c>
      <c r="O46" s="318">
        <f t="shared" si="0"/>
        <v>2.09</v>
      </c>
      <c r="P46" s="318">
        <f t="shared" si="0"/>
        <v>2.64</v>
      </c>
      <c r="Q46" s="318">
        <f t="shared" si="0"/>
        <v>3.2</v>
      </c>
      <c r="R46" s="318">
        <f t="shared" si="0"/>
        <v>3.76</v>
      </c>
      <c r="S46" s="318">
        <f t="shared" si="0"/>
        <v>4.32</v>
      </c>
      <c r="T46" s="318">
        <f t="shared" si="0"/>
        <v>4.87</v>
      </c>
      <c r="U46" s="318">
        <f t="shared" si="0"/>
        <v>5.43</v>
      </c>
      <c r="V46" s="318">
        <f t="shared" si="0"/>
        <v>5.99</v>
      </c>
      <c r="W46" s="318">
        <f t="shared" si="0"/>
        <v>6.54</v>
      </c>
      <c r="X46" s="318">
        <f t="shared" si="0"/>
        <v>7.1</v>
      </c>
      <c r="Y46" s="318">
        <f t="shared" si="0"/>
        <v>8.21</v>
      </c>
      <c r="Z46" s="318">
        <f t="shared" si="0"/>
        <v>9.33</v>
      </c>
      <c r="AA46" s="474">
        <f t="shared" si="0"/>
        <v>10.4</v>
      </c>
      <c r="AB46" s="474">
        <f t="shared" si="0"/>
        <v>11.6</v>
      </c>
      <c r="AC46" s="476">
        <f t="shared" si="0"/>
        <v>12.7</v>
      </c>
      <c r="AD46" s="512">
        <f ca="1">IF($AD$45=2,$AC46,IF($AD$45&gt;2,"ERROR",FORECAST($AD$45,OFFSET($M46,0,$AD$37):OFFSET($M46,0,$AD$37+1),OFFSET($M$45,0,$AD$37):OFFSET($M$45,0,$AD$37+1))))</f>
        <v>2.6866666666666665</v>
      </c>
      <c r="AE46" s="37"/>
      <c r="AF46" s="405" t="s">
        <v>736</v>
      </c>
      <c r="AG46" s="406">
        <v>75.4</v>
      </c>
      <c r="AH46" s="407">
        <v>37.4</v>
      </c>
      <c r="AI46" s="408">
        <v>0.96</v>
      </c>
      <c r="AJ46" s="407">
        <v>12.2</v>
      </c>
      <c r="AK46" s="409">
        <v>1.73</v>
      </c>
      <c r="AL46" s="410">
        <v>2.48</v>
      </c>
      <c r="AM46" s="37"/>
    </row>
    <row r="47" spans="1:39" ht="12.75">
      <c r="A47" s="69" t="s">
        <v>338</v>
      </c>
      <c r="B47" s="175">
        <f>VLOOKUP($D$10,$AF$6:$AL$406,ROWS(B$44:B47)+1,FALSE)</f>
        <v>7.5</v>
      </c>
      <c r="C47" s="58" t="s">
        <v>338</v>
      </c>
      <c r="D47" s="175">
        <f>VLOOKUP($D$11,$AF$6:$AL$336,ROWS(D$44:D47)+1,FALSE)</f>
        <v>14.5</v>
      </c>
      <c r="E47" s="113" t="s">
        <v>268</v>
      </c>
      <c r="F47" s="80">
        <f>IF(AND($D$31&gt;0,$D$31&lt;$B$49),"dc2 MUST BE &gt;= k = "&amp;$B$49&amp;" in.!","")</f>
      </c>
      <c r="G47" s="10"/>
      <c r="H47" s="10"/>
      <c r="I47" s="66"/>
      <c r="J47" s="37"/>
      <c r="L47" s="37"/>
      <c r="M47" s="477">
        <v>0.1</v>
      </c>
      <c r="N47" s="517">
        <f aca="true" t="shared" si="1" ref="N47:AC47">IF($N$29=0,N78,IF($N$29=15,N106,IF($N$29=30,N134,IF($N$29=45,N162,IF($N$29=60,N190,IF($N$29=75,N218,"ERROR"))))))</f>
        <v>1.86</v>
      </c>
      <c r="O47" s="495">
        <f t="shared" si="1"/>
        <v>2.28</v>
      </c>
      <c r="P47" s="495">
        <f t="shared" si="1"/>
        <v>2.78</v>
      </c>
      <c r="Q47" s="495">
        <f t="shared" si="1"/>
        <v>3.3</v>
      </c>
      <c r="R47" s="495">
        <f t="shared" si="1"/>
        <v>3.84</v>
      </c>
      <c r="S47" s="495">
        <f t="shared" si="1"/>
        <v>4.37</v>
      </c>
      <c r="T47" s="495">
        <f t="shared" si="1"/>
        <v>4.92</v>
      </c>
      <c r="U47" s="495">
        <f t="shared" si="1"/>
        <v>5.46</v>
      </c>
      <c r="V47" s="495">
        <f t="shared" si="1"/>
        <v>6.01</v>
      </c>
      <c r="W47" s="495">
        <f t="shared" si="1"/>
        <v>6.56</v>
      </c>
      <c r="X47" s="495">
        <f t="shared" si="1"/>
        <v>7.11</v>
      </c>
      <c r="Y47" s="495">
        <f t="shared" si="1"/>
        <v>8.21</v>
      </c>
      <c r="Z47" s="495">
        <f t="shared" si="1"/>
        <v>9.32</v>
      </c>
      <c r="AA47" s="480">
        <f t="shared" si="1"/>
        <v>10.4</v>
      </c>
      <c r="AB47" s="480">
        <f t="shared" si="1"/>
        <v>11.5</v>
      </c>
      <c r="AC47" s="482">
        <f t="shared" si="1"/>
        <v>12.6</v>
      </c>
      <c r="AD47" s="513">
        <f ca="1">IF($AD$45=2,$AC47,IF($AD$45&gt;2,"ERROR",FORECAST($AD$45,OFFSET($M47,0,$AD$37):OFFSET($M47,0,$AD$37+1),OFFSET($M$45,0,$AD$37):OFFSET($M$45,0,$AD$37+1))))</f>
        <v>2.8233333333333333</v>
      </c>
      <c r="AE47" s="37"/>
      <c r="AF47" s="405" t="s">
        <v>737</v>
      </c>
      <c r="AG47" s="406">
        <v>68.1</v>
      </c>
      <c r="AH47" s="407">
        <v>37.1</v>
      </c>
      <c r="AI47" s="408">
        <v>0.87</v>
      </c>
      <c r="AJ47" s="407">
        <v>12.1</v>
      </c>
      <c r="AK47" s="409">
        <v>1.57</v>
      </c>
      <c r="AL47" s="410">
        <v>2.32</v>
      </c>
      <c r="AM47" s="37"/>
    </row>
    <row r="48" spans="1:39" ht="12.75">
      <c r="A48" s="69" t="s">
        <v>177</v>
      </c>
      <c r="B48" s="175">
        <f>VLOOKUP($D$10,$AF$6:$AL$406,ROWS(B$44:B48)+1,FALSE)</f>
        <v>0.57</v>
      </c>
      <c r="C48" s="58" t="s">
        <v>177</v>
      </c>
      <c r="D48" s="175">
        <f>VLOOKUP($D$11,$AF$6:$AL$336,ROWS(D$44:D48)+1,FALSE)</f>
        <v>0.71</v>
      </c>
      <c r="E48" s="113" t="s">
        <v>268</v>
      </c>
      <c r="F48" s="80">
        <f>IF($D$24&lt;$N$31,"Fillet weld size &lt; "&amp;$N$31&amp;" in. (min.)!","")</f>
      </c>
      <c r="G48" s="10"/>
      <c r="H48" s="10"/>
      <c r="I48" s="14"/>
      <c r="J48" s="37"/>
      <c r="L48" s="37"/>
      <c r="M48" s="483">
        <v>0.15</v>
      </c>
      <c r="N48" s="516">
        <f aca="true" t="shared" si="2" ref="N48:AC48">IF($N$29=0,N79,IF($N$29=15,N107,IF($N$29=30,N135,IF($N$29=45,N163,IF($N$29=60,N191,IF($N$29=75,N219,"ERROR"))))))</f>
        <v>1.83</v>
      </c>
      <c r="O48" s="495">
        <f t="shared" si="2"/>
        <v>2.25</v>
      </c>
      <c r="P48" s="495">
        <f t="shared" si="2"/>
        <v>2.73</v>
      </c>
      <c r="Q48" s="495">
        <f t="shared" si="2"/>
        <v>3.23</v>
      </c>
      <c r="R48" s="495">
        <f t="shared" si="2"/>
        <v>3.75</v>
      </c>
      <c r="S48" s="495">
        <f t="shared" si="2"/>
        <v>4.27</v>
      </c>
      <c r="T48" s="495">
        <f t="shared" si="2"/>
        <v>4.8</v>
      </c>
      <c r="U48" s="495">
        <f t="shared" si="2"/>
        <v>5.33</v>
      </c>
      <c r="V48" s="495">
        <f t="shared" si="2"/>
        <v>5.87</v>
      </c>
      <c r="W48" s="495">
        <f t="shared" si="2"/>
        <v>6.4</v>
      </c>
      <c r="X48" s="495">
        <f t="shared" si="2"/>
        <v>6.94</v>
      </c>
      <c r="Y48" s="495">
        <f t="shared" si="2"/>
        <v>8.02</v>
      </c>
      <c r="Z48" s="495">
        <f t="shared" si="2"/>
        <v>9.12</v>
      </c>
      <c r="AA48" s="480">
        <f t="shared" si="2"/>
        <v>10.2</v>
      </c>
      <c r="AB48" s="480">
        <f t="shared" si="2"/>
        <v>11.3</v>
      </c>
      <c r="AC48" s="482">
        <f t="shared" si="2"/>
        <v>12.4</v>
      </c>
      <c r="AD48" s="513">
        <f ca="1">IF($AD$45=2,$AC48,IF($AD$45&gt;2,"ERROR",FORECAST($AD$45,OFFSET($M48,0,$AD$37):OFFSET($M48,0,$AD$37+1),OFFSET($M$45,0,$AD$37):OFFSET($M$45,0,$AD$37+1))))</f>
        <v>2.7716666666666665</v>
      </c>
      <c r="AE48" s="37"/>
      <c r="AF48" s="405" t="s">
        <v>738</v>
      </c>
      <c r="AG48" s="406">
        <v>61.8</v>
      </c>
      <c r="AH48" s="407">
        <v>36.7</v>
      </c>
      <c r="AI48" s="408">
        <v>0.83</v>
      </c>
      <c r="AJ48" s="407">
        <v>12.2</v>
      </c>
      <c r="AK48" s="409">
        <v>1.36</v>
      </c>
      <c r="AL48" s="410">
        <v>2.11</v>
      </c>
      <c r="AM48" s="37"/>
    </row>
    <row r="49" spans="1:38" ht="12.75">
      <c r="A49" s="88" t="s">
        <v>460</v>
      </c>
      <c r="B49" s="436">
        <f>VLOOKUP($D$10,$AF$6:$AL$406,ROWS(B$44:B49)+1,FALSE)</f>
        <v>0.972</v>
      </c>
      <c r="C49" s="58" t="s">
        <v>460</v>
      </c>
      <c r="D49" s="436">
        <f>VLOOKUP($D$11,$AF$6:$AL$336,ROWS(D$44:D49)+1,FALSE)</f>
        <v>1.31</v>
      </c>
      <c r="E49" s="113" t="s">
        <v>268</v>
      </c>
      <c r="F49" s="10"/>
      <c r="G49" s="10"/>
      <c r="H49" s="10"/>
      <c r="I49" s="14"/>
      <c r="M49" s="483">
        <v>0.2</v>
      </c>
      <c r="N49" s="516">
        <f aca="true" t="shared" si="3" ref="N49:AC49">IF($N$29=0,N80,IF($N$29=15,N108,IF($N$29=30,N136,IF($N$29=45,N164,IF($N$29=60,N192,IF($N$29=75,N220,"ERROR"))))))</f>
        <v>1.76</v>
      </c>
      <c r="O49" s="495">
        <f t="shared" si="3"/>
        <v>2.18</v>
      </c>
      <c r="P49" s="495">
        <f t="shared" si="3"/>
        <v>2.63</v>
      </c>
      <c r="Q49" s="495">
        <f t="shared" si="3"/>
        <v>3.11</v>
      </c>
      <c r="R49" s="495">
        <f t="shared" si="3"/>
        <v>3.6</v>
      </c>
      <c r="S49" s="495">
        <f t="shared" si="3"/>
        <v>4.1</v>
      </c>
      <c r="T49" s="495">
        <f t="shared" si="3"/>
        <v>4.61</v>
      </c>
      <c r="U49" s="495">
        <f t="shared" si="3"/>
        <v>5.13</v>
      </c>
      <c r="V49" s="495">
        <f t="shared" si="3"/>
        <v>5.64</v>
      </c>
      <c r="W49" s="495">
        <f t="shared" si="3"/>
        <v>6.16</v>
      </c>
      <c r="X49" s="495">
        <f t="shared" si="3"/>
        <v>6.65</v>
      </c>
      <c r="Y49" s="495">
        <f t="shared" si="3"/>
        <v>7.73</v>
      </c>
      <c r="Z49" s="495">
        <f t="shared" si="3"/>
        <v>8.78</v>
      </c>
      <c r="AA49" s="495">
        <f t="shared" si="3"/>
        <v>9.83</v>
      </c>
      <c r="AB49" s="480">
        <f t="shared" si="3"/>
        <v>10.9</v>
      </c>
      <c r="AC49" s="484">
        <f t="shared" si="3"/>
        <v>12</v>
      </c>
      <c r="AD49" s="513">
        <f ca="1">IF($AD$45=2,$AC49,IF($AD$45&gt;2,"ERROR",FORECAST($AD$45,OFFSET($M49,0,$AD$37):OFFSET($M49,0,$AD$37+1),OFFSET($M$45,0,$AD$37):OFFSET($M$45,0,$AD$37+1))))</f>
        <v>2.67</v>
      </c>
      <c r="AF49" s="405" t="s">
        <v>739</v>
      </c>
      <c r="AG49" s="406">
        <v>57</v>
      </c>
      <c r="AH49" s="407">
        <v>36.5</v>
      </c>
      <c r="AI49" s="408">
        <v>0.765</v>
      </c>
      <c r="AJ49" s="407">
        <v>12.1</v>
      </c>
      <c r="AK49" s="409">
        <v>1.26</v>
      </c>
      <c r="AL49" s="410">
        <v>2.01</v>
      </c>
    </row>
    <row r="50" spans="1:38" ht="12.75">
      <c r="A50" s="161"/>
      <c r="B50" s="164"/>
      <c r="C50" s="162"/>
      <c r="D50" s="164"/>
      <c r="E50" s="163"/>
      <c r="F50" s="21"/>
      <c r="G50" s="21"/>
      <c r="H50" s="21"/>
      <c r="I50" s="128" t="s">
        <v>105</v>
      </c>
      <c r="M50" s="483">
        <v>0.25</v>
      </c>
      <c r="N50" s="516">
        <f aca="true" t="shared" si="4" ref="N50:AC50">IF($N$29=0,N81,IF($N$29=15,N109,IF($N$29=30,N137,IF($N$29=45,N165,IF($N$29=60,N193,IF($N$29=75,N221,"ERROR"))))))</f>
        <v>1.66</v>
      </c>
      <c r="O50" s="495">
        <f t="shared" si="4"/>
        <v>2.07</v>
      </c>
      <c r="P50" s="495">
        <f t="shared" si="4"/>
        <v>2.51</v>
      </c>
      <c r="Q50" s="495">
        <f t="shared" si="4"/>
        <v>2.96</v>
      </c>
      <c r="R50" s="495">
        <f t="shared" si="4"/>
        <v>3.42</v>
      </c>
      <c r="S50" s="495">
        <f t="shared" si="4"/>
        <v>3.9</v>
      </c>
      <c r="T50" s="495">
        <f t="shared" si="4"/>
        <v>4.38</v>
      </c>
      <c r="U50" s="495">
        <f t="shared" si="4"/>
        <v>4.87</v>
      </c>
      <c r="V50" s="495">
        <f t="shared" si="4"/>
        <v>5.37</v>
      </c>
      <c r="W50" s="495">
        <f t="shared" si="4"/>
        <v>5.86</v>
      </c>
      <c r="X50" s="495">
        <f t="shared" si="4"/>
        <v>6.36</v>
      </c>
      <c r="Y50" s="495">
        <f t="shared" si="4"/>
        <v>7.37</v>
      </c>
      <c r="Z50" s="495">
        <f t="shared" si="4"/>
        <v>8.39</v>
      </c>
      <c r="AA50" s="495">
        <f t="shared" si="4"/>
        <v>9.42</v>
      </c>
      <c r="AB50" s="480">
        <f t="shared" si="4"/>
        <v>10.5</v>
      </c>
      <c r="AC50" s="482">
        <f t="shared" si="4"/>
        <v>11.5</v>
      </c>
      <c r="AD50" s="513">
        <f ca="1">IF($AD$45=2,$AC50,IF($AD$45&gt;2,"ERROR",FORECAST($AD$45,OFFSET($M50,0,$AD$37):OFFSET($M50,0,$AD$37+1),OFFSET($M$45,0,$AD$37):OFFSET($M$45,0,$AD$37+1))))</f>
        <v>2.5475</v>
      </c>
      <c r="AF50" s="405" t="s">
        <v>740</v>
      </c>
      <c r="AG50" s="406">
        <v>53.6</v>
      </c>
      <c r="AH50" s="407">
        <v>36.3</v>
      </c>
      <c r="AI50" s="408">
        <v>0.725</v>
      </c>
      <c r="AJ50" s="407">
        <v>12.1</v>
      </c>
      <c r="AK50" s="409">
        <v>1.18</v>
      </c>
      <c r="AL50" s="410">
        <v>1.93</v>
      </c>
    </row>
    <row r="51" spans="1:38" ht="12.75">
      <c r="A51" s="17"/>
      <c r="B51" s="18"/>
      <c r="C51" s="18"/>
      <c r="D51" s="18"/>
      <c r="E51" s="18"/>
      <c r="F51" s="18"/>
      <c r="G51" s="18"/>
      <c r="H51" s="195"/>
      <c r="I51" s="189"/>
      <c r="M51" s="483">
        <v>0.3</v>
      </c>
      <c r="N51" s="516">
        <f aca="true" t="shared" si="5" ref="N51:AC51">IF($N$29=0,N82,IF($N$29=15,N110,IF($N$29=30,N138,IF($N$29=45,N166,IF($N$29=60,N194,IF($N$29=75,N222,"ERROR"))))))</f>
        <v>1.55</v>
      </c>
      <c r="O51" s="495">
        <f t="shared" si="5"/>
        <v>1.95</v>
      </c>
      <c r="P51" s="495">
        <f t="shared" si="5"/>
        <v>2.36</v>
      </c>
      <c r="Q51" s="495">
        <f t="shared" si="5"/>
        <v>2.79</v>
      </c>
      <c r="R51" s="495">
        <f t="shared" si="5"/>
        <v>3.23</v>
      </c>
      <c r="S51" s="495">
        <f t="shared" si="5"/>
        <v>3.68</v>
      </c>
      <c r="T51" s="495">
        <f t="shared" si="5"/>
        <v>4.14</v>
      </c>
      <c r="U51" s="495">
        <f t="shared" si="5"/>
        <v>4.6</v>
      </c>
      <c r="V51" s="495">
        <f t="shared" si="5"/>
        <v>5.07</v>
      </c>
      <c r="W51" s="495">
        <f t="shared" si="5"/>
        <v>5.55</v>
      </c>
      <c r="X51" s="495">
        <f t="shared" si="5"/>
        <v>6.03</v>
      </c>
      <c r="Y51" s="495">
        <f t="shared" si="5"/>
        <v>7.01</v>
      </c>
      <c r="Z51" s="495">
        <f t="shared" si="5"/>
        <v>8</v>
      </c>
      <c r="AA51" s="495">
        <f t="shared" si="5"/>
        <v>9</v>
      </c>
      <c r="AB51" s="486">
        <f t="shared" si="5"/>
        <v>10</v>
      </c>
      <c r="AC51" s="484">
        <f t="shared" si="5"/>
        <v>11</v>
      </c>
      <c r="AD51" s="513">
        <f ca="1">IF($AD$45=2,$AC51,IF($AD$45&gt;2,"ERROR",FORECAST($AD$45,OFFSET($M51,0,$AD$37):OFFSET($M51,0,$AD$37+1),OFFSET($M$45,0,$AD$37):OFFSET($M$45,0,$AD$37+1))))</f>
        <v>2.3958333333333335</v>
      </c>
      <c r="AF51" s="405" t="s">
        <v>741</v>
      </c>
      <c r="AG51" s="406">
        <v>50.1</v>
      </c>
      <c r="AH51" s="407">
        <v>36.2</v>
      </c>
      <c r="AI51" s="408">
        <v>0.68</v>
      </c>
      <c r="AJ51" s="407">
        <v>12</v>
      </c>
      <c r="AK51" s="409">
        <v>1.1</v>
      </c>
      <c r="AL51" s="410">
        <v>1.85</v>
      </c>
    </row>
    <row r="52" spans="1:38" ht="12.75">
      <c r="A52" s="11" t="s">
        <v>236</v>
      </c>
      <c r="B52" s="10"/>
      <c r="C52" s="112"/>
      <c r="D52" s="10"/>
      <c r="E52" s="10"/>
      <c r="F52" s="10"/>
      <c r="G52" s="10"/>
      <c r="H52" s="89"/>
      <c r="I52" s="190"/>
      <c r="M52" s="483">
        <v>0.4</v>
      </c>
      <c r="N52" s="516">
        <f aca="true" t="shared" si="6" ref="N52:AC52">IF($N$29=0,N83,IF($N$29=15,N111,IF($N$29=30,N139,IF($N$29=45,N167,IF($N$29=60,N195,IF($N$29=75,N223,"ERROR"))))))</f>
        <v>1.33</v>
      </c>
      <c r="O52" s="495">
        <f t="shared" si="6"/>
        <v>1.69</v>
      </c>
      <c r="P52" s="495">
        <f t="shared" si="6"/>
        <v>2.07</v>
      </c>
      <c r="Q52" s="495">
        <f t="shared" si="6"/>
        <v>2.45</v>
      </c>
      <c r="R52" s="495">
        <f t="shared" si="6"/>
        <v>2.84</v>
      </c>
      <c r="S52" s="495">
        <f t="shared" si="6"/>
        <v>3.24</v>
      </c>
      <c r="T52" s="495">
        <f t="shared" si="6"/>
        <v>3.65</v>
      </c>
      <c r="U52" s="495">
        <f t="shared" si="6"/>
        <v>4.07</v>
      </c>
      <c r="V52" s="495">
        <f t="shared" si="6"/>
        <v>4.5</v>
      </c>
      <c r="W52" s="495">
        <f t="shared" si="6"/>
        <v>4.94</v>
      </c>
      <c r="X52" s="495">
        <f t="shared" si="6"/>
        <v>5.39</v>
      </c>
      <c r="Y52" s="495">
        <f t="shared" si="6"/>
        <v>6.3</v>
      </c>
      <c r="Z52" s="495">
        <f t="shared" si="6"/>
        <v>7.24</v>
      </c>
      <c r="AA52" s="495">
        <f t="shared" si="6"/>
        <v>8.19</v>
      </c>
      <c r="AB52" s="495">
        <f t="shared" si="6"/>
        <v>9.16</v>
      </c>
      <c r="AC52" s="484">
        <f t="shared" si="6"/>
        <v>10.1</v>
      </c>
      <c r="AD52" s="513">
        <f ca="1">IF($AD$45=2,$AC52,IF($AD$45&gt;2,"ERROR",FORECAST($AD$45,OFFSET($M52,0,$AD$37):OFFSET($M52,0,$AD$37+1),OFFSET($M$45,0,$AD$37):OFFSET($M$45,0,$AD$37+1))))</f>
        <v>2.101666666666666</v>
      </c>
      <c r="AF52" s="405" t="s">
        <v>742</v>
      </c>
      <c r="AG52" s="406">
        <v>47</v>
      </c>
      <c r="AH52" s="407">
        <v>36</v>
      </c>
      <c r="AI52" s="408">
        <v>0.65</v>
      </c>
      <c r="AJ52" s="407">
        <v>12</v>
      </c>
      <c r="AK52" s="409">
        <v>1.02</v>
      </c>
      <c r="AL52" s="410">
        <v>1.77</v>
      </c>
    </row>
    <row r="53" spans="1:38" ht="12.75">
      <c r="A53" s="11" t="s">
        <v>219</v>
      </c>
      <c r="B53" s="10"/>
      <c r="C53" s="10"/>
      <c r="D53" s="10"/>
      <c r="E53" s="37"/>
      <c r="F53" s="37"/>
      <c r="G53" s="45"/>
      <c r="H53" s="89"/>
      <c r="I53" s="194"/>
      <c r="M53" s="483">
        <v>0.5</v>
      </c>
      <c r="N53" s="516">
        <f aca="true" t="shared" si="7" ref="N53:AC53">IF($N$29=0,N84,IF($N$29=15,N112,IF($N$29=30,N140,IF($N$29=45,N168,IF($N$29=60,N196,IF($N$29=75,N224,"ERROR"))))))</f>
        <v>1.15</v>
      </c>
      <c r="O53" s="495">
        <f t="shared" si="7"/>
        <v>1.46</v>
      </c>
      <c r="P53" s="495">
        <f t="shared" si="7"/>
        <v>1.79</v>
      </c>
      <c r="Q53" s="495">
        <f t="shared" si="7"/>
        <v>2.14</v>
      </c>
      <c r="R53" s="495">
        <f t="shared" si="7"/>
        <v>2.49</v>
      </c>
      <c r="S53" s="495">
        <f t="shared" si="7"/>
        <v>2.85</v>
      </c>
      <c r="T53" s="495">
        <f t="shared" si="7"/>
        <v>3.22</v>
      </c>
      <c r="U53" s="495">
        <f t="shared" si="7"/>
        <v>3.6</v>
      </c>
      <c r="V53" s="495">
        <f t="shared" si="7"/>
        <v>4</v>
      </c>
      <c r="W53" s="495">
        <f t="shared" si="7"/>
        <v>4.4</v>
      </c>
      <c r="X53" s="495">
        <f t="shared" si="7"/>
        <v>4.81</v>
      </c>
      <c r="Y53" s="495">
        <f t="shared" si="7"/>
        <v>5.67</v>
      </c>
      <c r="Z53" s="495">
        <f t="shared" si="7"/>
        <v>6.56</v>
      </c>
      <c r="AA53" s="495">
        <f t="shared" si="7"/>
        <v>7.47</v>
      </c>
      <c r="AB53" s="495">
        <f t="shared" si="7"/>
        <v>8.4</v>
      </c>
      <c r="AC53" s="495">
        <f t="shared" si="7"/>
        <v>9.35</v>
      </c>
      <c r="AD53" s="513">
        <f ca="1">IF($AD$45=2,$AC53,IF($AD$45&gt;2,"ERROR",FORECAST($AD$45,OFFSET($M53,0,$AD$37):OFFSET($M53,0,$AD$37+1),OFFSET($M$45,0,$AD$37):OFFSET($M$45,0,$AD$37+1))))</f>
        <v>1.8191666666666666</v>
      </c>
      <c r="AF53" s="405" t="s">
        <v>743</v>
      </c>
      <c r="AG53" s="406">
        <v>44.2</v>
      </c>
      <c r="AH53" s="407">
        <v>35.9</v>
      </c>
      <c r="AI53" s="408">
        <v>0.625</v>
      </c>
      <c r="AJ53" s="407">
        <v>12</v>
      </c>
      <c r="AK53" s="408">
        <v>0.94</v>
      </c>
      <c r="AL53" s="410">
        <v>1.69</v>
      </c>
    </row>
    <row r="54" spans="1:38" ht="12.75">
      <c r="A54" s="73" t="s">
        <v>490</v>
      </c>
      <c r="B54" s="10"/>
      <c r="C54" s="10"/>
      <c r="D54" s="10"/>
      <c r="E54" s="10"/>
      <c r="F54" s="10"/>
      <c r="G54" s="37"/>
      <c r="H54" s="10"/>
      <c r="I54" s="14"/>
      <c r="M54" s="483">
        <v>0.6</v>
      </c>
      <c r="N54" s="518">
        <f aca="true" t="shared" si="8" ref="N54:AC54">IF($N$29=0,N85,IF($N$29=15,N113,IF($N$29=30,N141,IF($N$29=45,N169,IF($N$29=60,N197,IF($N$29=75,N225,"ERROR"))))))</f>
        <v>0.997</v>
      </c>
      <c r="O54" s="495">
        <f t="shared" si="8"/>
        <v>1.27</v>
      </c>
      <c r="P54" s="495">
        <f t="shared" si="8"/>
        <v>1.57</v>
      </c>
      <c r="Q54" s="495">
        <f t="shared" si="8"/>
        <v>1.88</v>
      </c>
      <c r="R54" s="495">
        <f t="shared" si="8"/>
        <v>2.19</v>
      </c>
      <c r="S54" s="495">
        <f t="shared" si="8"/>
        <v>2.52</v>
      </c>
      <c r="T54" s="495">
        <f t="shared" si="8"/>
        <v>2.85</v>
      </c>
      <c r="U54" s="495">
        <f t="shared" si="8"/>
        <v>3.2</v>
      </c>
      <c r="V54" s="495">
        <f t="shared" si="8"/>
        <v>3.56</v>
      </c>
      <c r="W54" s="495">
        <f t="shared" si="8"/>
        <v>3.94</v>
      </c>
      <c r="X54" s="495">
        <f t="shared" si="8"/>
        <v>4.32</v>
      </c>
      <c r="Y54" s="495">
        <f t="shared" si="8"/>
        <v>5.13</v>
      </c>
      <c r="Z54" s="495">
        <f t="shared" si="8"/>
        <v>5.97</v>
      </c>
      <c r="AA54" s="495">
        <f t="shared" si="8"/>
        <v>6.84</v>
      </c>
      <c r="AB54" s="495">
        <f t="shared" si="8"/>
        <v>7.73</v>
      </c>
      <c r="AC54" s="495">
        <f t="shared" si="8"/>
        <v>8.65</v>
      </c>
      <c r="AD54" s="513">
        <f ca="1">IF($AD$45=2,$AC54,IF($AD$45&gt;2,"ERROR",FORECAST($AD$45,OFFSET($M54,0,$AD$37):OFFSET($M54,0,$AD$37+1),OFFSET($M$45,0,$AD$37):OFFSET($M$45,0,$AD$37+1))))</f>
        <v>1.5958333333333334</v>
      </c>
      <c r="AF54" s="405" t="s">
        <v>744</v>
      </c>
      <c r="AG54" s="406">
        <v>39.7</v>
      </c>
      <c r="AH54" s="407">
        <v>35.6</v>
      </c>
      <c r="AI54" s="408">
        <v>0.6</v>
      </c>
      <c r="AJ54" s="407">
        <v>12</v>
      </c>
      <c r="AK54" s="408">
        <v>0.79</v>
      </c>
      <c r="AL54" s="410">
        <v>1.54</v>
      </c>
    </row>
    <row r="55" spans="1:38" ht="12.75">
      <c r="A55" s="69" t="s">
        <v>335</v>
      </c>
      <c r="B55" s="581">
        <f>$N$5</f>
        <v>58</v>
      </c>
      <c r="C55" s="113" t="s">
        <v>245</v>
      </c>
      <c r="D55" s="52" t="str">
        <f>$P$5</f>
        <v>Fua = 58 for Fya = 36 (for angles)</v>
      </c>
      <c r="E55" s="10"/>
      <c r="F55" s="10"/>
      <c r="G55" s="10"/>
      <c r="H55" s="10"/>
      <c r="I55" s="14"/>
      <c r="K55" s="34"/>
      <c r="M55" s="483">
        <v>0.7</v>
      </c>
      <c r="N55" s="518">
        <f aca="true" t="shared" si="9" ref="N55:AC55">IF($N$29=0,N86,IF($N$29=15,N114,IF($N$29=30,N142,IF($N$29=45,N170,IF($N$29=60,N198,IF($N$29=75,N226,"ERROR"))))))</f>
        <v>0.879</v>
      </c>
      <c r="O55" s="495">
        <f t="shared" si="9"/>
        <v>1.12</v>
      </c>
      <c r="P55" s="495">
        <f t="shared" si="9"/>
        <v>1.38</v>
      </c>
      <c r="Q55" s="495">
        <f t="shared" si="9"/>
        <v>1.66</v>
      </c>
      <c r="R55" s="495">
        <f t="shared" si="9"/>
        <v>1.95</v>
      </c>
      <c r="S55" s="495">
        <f t="shared" si="9"/>
        <v>2.24</v>
      </c>
      <c r="T55" s="495">
        <f t="shared" si="9"/>
        <v>2.55</v>
      </c>
      <c r="U55" s="495">
        <f t="shared" si="9"/>
        <v>2.87</v>
      </c>
      <c r="V55" s="495">
        <f t="shared" si="9"/>
        <v>3.2</v>
      </c>
      <c r="W55" s="495">
        <f t="shared" si="9"/>
        <v>3.55</v>
      </c>
      <c r="X55" s="495">
        <f t="shared" si="9"/>
        <v>3.91</v>
      </c>
      <c r="Y55" s="495">
        <f t="shared" si="9"/>
        <v>4.66</v>
      </c>
      <c r="Z55" s="495">
        <f t="shared" si="9"/>
        <v>5.46</v>
      </c>
      <c r="AA55" s="495">
        <f t="shared" si="9"/>
        <v>6.29</v>
      </c>
      <c r="AB55" s="495">
        <f t="shared" si="9"/>
        <v>7.15</v>
      </c>
      <c r="AC55" s="495">
        <f t="shared" si="9"/>
        <v>8.04</v>
      </c>
      <c r="AD55" s="513">
        <f ca="1">IF($AD$45=2,$AC55,IF($AD$45&gt;2,"ERROR",FORECAST($AD$45,OFFSET($M55,0,$AD$37):OFFSET($M55,0,$AD$37+1),OFFSET($M$45,0,$AD$37):OFFSET($M$45,0,$AD$37+1))))</f>
        <v>1.4033333333333333</v>
      </c>
      <c r="AF55" s="405" t="s">
        <v>745</v>
      </c>
      <c r="AG55" s="411">
        <v>114</v>
      </c>
      <c r="AH55" s="407">
        <v>36</v>
      </c>
      <c r="AI55" s="409">
        <v>1.26</v>
      </c>
      <c r="AJ55" s="407">
        <v>16.2</v>
      </c>
      <c r="AK55" s="409">
        <v>2.28</v>
      </c>
      <c r="AL55" s="410">
        <v>3.07</v>
      </c>
    </row>
    <row r="56" spans="1:38" ht="12.75">
      <c r="A56" s="69" t="s">
        <v>192</v>
      </c>
      <c r="B56" s="177">
        <f>$N$6</f>
        <v>65</v>
      </c>
      <c r="C56" s="113" t="s">
        <v>245</v>
      </c>
      <c r="D56" s="52" t="str">
        <f>$P$6</f>
        <v>Fub = 65 for Fyb = 50 (for beam)</v>
      </c>
      <c r="E56" s="10"/>
      <c r="F56" s="10"/>
      <c r="G56" s="10"/>
      <c r="H56" s="10"/>
      <c r="I56" s="14"/>
      <c r="K56" s="34"/>
      <c r="M56" s="483">
        <v>0.8</v>
      </c>
      <c r="N56" s="483">
        <f aca="true" t="shared" si="10" ref="N56:AC56">IF($N$29=0,N87,IF($N$29=15,N115,IF($N$29=30,N143,IF($N$29=45,N171,IF($N$29=60,N199,IF($N$29=75,N227,"ERROR"))))))</f>
        <v>0.781</v>
      </c>
      <c r="O56" s="319">
        <f t="shared" si="10"/>
        <v>0.995</v>
      </c>
      <c r="P56" s="495">
        <f t="shared" si="10"/>
        <v>1.23</v>
      </c>
      <c r="Q56" s="495">
        <f t="shared" si="10"/>
        <v>1.48</v>
      </c>
      <c r="R56" s="495">
        <f t="shared" si="10"/>
        <v>1.75</v>
      </c>
      <c r="S56" s="495">
        <f t="shared" si="10"/>
        <v>2.02</v>
      </c>
      <c r="T56" s="495">
        <f t="shared" si="10"/>
        <v>2.3</v>
      </c>
      <c r="U56" s="495">
        <f t="shared" si="10"/>
        <v>2.59</v>
      </c>
      <c r="V56" s="495">
        <f t="shared" si="10"/>
        <v>2.9</v>
      </c>
      <c r="W56" s="495">
        <f t="shared" si="10"/>
        <v>3.22</v>
      </c>
      <c r="X56" s="495">
        <f t="shared" si="10"/>
        <v>3.56</v>
      </c>
      <c r="Y56" s="495">
        <f t="shared" si="10"/>
        <v>4.27</v>
      </c>
      <c r="Z56" s="495">
        <f t="shared" si="10"/>
        <v>5.02</v>
      </c>
      <c r="AA56" s="495">
        <f t="shared" si="10"/>
        <v>5.81</v>
      </c>
      <c r="AB56" s="495">
        <f t="shared" si="10"/>
        <v>6.64</v>
      </c>
      <c r="AC56" s="495">
        <f t="shared" si="10"/>
        <v>7.5</v>
      </c>
      <c r="AD56" s="513">
        <f ca="1">IF($AD$45=2,$AC56,IF($AD$45&gt;2,"ERROR",FORECAST($AD$45,OFFSET($M56,0,$AD$37):OFFSET($M56,0,$AD$37+1),OFFSET($M$45,0,$AD$37):OFFSET($M$45,0,$AD$37+1))))</f>
        <v>1.2508333333333335</v>
      </c>
      <c r="AF56" s="405" t="s">
        <v>746</v>
      </c>
      <c r="AG56" s="411">
        <v>104</v>
      </c>
      <c r="AH56" s="407">
        <v>35.6</v>
      </c>
      <c r="AI56" s="409">
        <v>1.16</v>
      </c>
      <c r="AJ56" s="407">
        <v>16.1</v>
      </c>
      <c r="AK56" s="409">
        <v>2.09</v>
      </c>
      <c r="AL56" s="410">
        <v>2.88</v>
      </c>
    </row>
    <row r="57" spans="1:38" ht="12.75">
      <c r="A57" s="62" t="s">
        <v>3</v>
      </c>
      <c r="B57" s="178">
        <f>$N$7</f>
        <v>65</v>
      </c>
      <c r="C57" s="113" t="s">
        <v>245</v>
      </c>
      <c r="D57" s="52" t="str">
        <f>$P$7</f>
        <v>Fuc = 65 for Fyc = 50 (for column)</v>
      </c>
      <c r="E57" s="10"/>
      <c r="F57" s="10"/>
      <c r="G57" s="10"/>
      <c r="H57" s="10"/>
      <c r="I57" s="14"/>
      <c r="M57" s="483">
        <v>0.9</v>
      </c>
      <c r="N57" s="483">
        <f aca="true" t="shared" si="11" ref="N57:AC57">IF($N$29=0,N88,IF($N$29=15,N116,IF($N$29=30,N144,IF($N$29=45,N172,IF($N$29=60,N200,IF($N$29=75,N228,"ERROR"))))))</f>
        <v>0.709</v>
      </c>
      <c r="O57" s="319">
        <f t="shared" si="11"/>
        <v>0.895</v>
      </c>
      <c r="P57" s="495">
        <f t="shared" si="11"/>
        <v>1.11</v>
      </c>
      <c r="Q57" s="495">
        <f t="shared" si="11"/>
        <v>1.33</v>
      </c>
      <c r="R57" s="495">
        <f t="shared" si="11"/>
        <v>1.58</v>
      </c>
      <c r="S57" s="495">
        <f t="shared" si="11"/>
        <v>1.83</v>
      </c>
      <c r="T57" s="495">
        <f t="shared" si="11"/>
        <v>2.09</v>
      </c>
      <c r="U57" s="495">
        <f t="shared" si="11"/>
        <v>2.36</v>
      </c>
      <c r="V57" s="495">
        <f t="shared" si="11"/>
        <v>2.64</v>
      </c>
      <c r="W57" s="495">
        <f t="shared" si="11"/>
        <v>2.94</v>
      </c>
      <c r="X57" s="495">
        <f t="shared" si="11"/>
        <v>3.26</v>
      </c>
      <c r="Y57" s="495">
        <f t="shared" si="11"/>
        <v>3.93</v>
      </c>
      <c r="Z57" s="495">
        <f t="shared" si="11"/>
        <v>4.64</v>
      </c>
      <c r="AA57" s="495">
        <f t="shared" si="11"/>
        <v>5.4</v>
      </c>
      <c r="AB57" s="495">
        <f t="shared" si="11"/>
        <v>6.18</v>
      </c>
      <c r="AC57" s="495">
        <f t="shared" si="11"/>
        <v>7</v>
      </c>
      <c r="AD57" s="513">
        <f ca="1">IF($AD$45=2,$AC57,IF($AD$45&gt;2,"ERROR",FORECAST($AD$45,OFFSET($M57,0,$AD$37):OFFSET($M57,0,$AD$37+1),OFFSET($M$45,0,$AD$37):OFFSET($M$45,0,$AD$37+1))))</f>
        <v>1.1283333333333334</v>
      </c>
      <c r="AF57" s="405" t="s">
        <v>747</v>
      </c>
      <c r="AG57" s="406">
        <v>93.6</v>
      </c>
      <c r="AH57" s="407">
        <v>35.2</v>
      </c>
      <c r="AI57" s="409">
        <v>1.04</v>
      </c>
      <c r="AJ57" s="407">
        <v>16</v>
      </c>
      <c r="AK57" s="409">
        <v>1.89</v>
      </c>
      <c r="AL57" s="410">
        <v>2.68</v>
      </c>
    </row>
    <row r="58" spans="1:38" ht="12.75">
      <c r="A58" s="19"/>
      <c r="B58" s="10"/>
      <c r="C58" s="10"/>
      <c r="D58" s="10"/>
      <c r="E58" s="10"/>
      <c r="F58" s="10"/>
      <c r="G58" s="10"/>
      <c r="H58" s="10"/>
      <c r="I58" s="14"/>
      <c r="M58" s="487">
        <v>1</v>
      </c>
      <c r="N58" s="483">
        <f aca="true" t="shared" si="12" ref="N58:AC58">IF($N$29=0,N89,IF($N$29=15,N117,IF($N$29=30,N145,IF($N$29=45,N173,IF($N$29=60,N201,IF($N$29=75,N229,"ERROR"))))))</f>
        <v>0.637</v>
      </c>
      <c r="O58" s="319">
        <f t="shared" si="12"/>
        <v>0.712</v>
      </c>
      <c r="P58" s="495">
        <f t="shared" si="12"/>
        <v>1</v>
      </c>
      <c r="Q58" s="495">
        <f t="shared" si="12"/>
        <v>1.21</v>
      </c>
      <c r="R58" s="495">
        <f t="shared" si="12"/>
        <v>1.44</v>
      </c>
      <c r="S58" s="495">
        <f t="shared" si="12"/>
        <v>1.67</v>
      </c>
      <c r="T58" s="495">
        <f t="shared" si="12"/>
        <v>1.91</v>
      </c>
      <c r="U58" s="495">
        <f t="shared" si="12"/>
        <v>2.16</v>
      </c>
      <c r="V58" s="495">
        <f t="shared" si="12"/>
        <v>2.43</v>
      </c>
      <c r="W58" s="495">
        <f t="shared" si="12"/>
        <v>2.71</v>
      </c>
      <c r="X58" s="495">
        <f t="shared" si="12"/>
        <v>3.01</v>
      </c>
      <c r="Y58" s="495">
        <f t="shared" si="12"/>
        <v>3.63</v>
      </c>
      <c r="Z58" s="495">
        <f t="shared" si="12"/>
        <v>4.31</v>
      </c>
      <c r="AA58" s="495">
        <f t="shared" si="12"/>
        <v>5.02</v>
      </c>
      <c r="AB58" s="495">
        <f t="shared" si="12"/>
        <v>5.77</v>
      </c>
      <c r="AC58" s="495">
        <f t="shared" si="12"/>
        <v>6.56</v>
      </c>
      <c r="AD58" s="513">
        <f ca="1">IF($AD$45=2,$AC58,IF($AD$45&gt;2,"ERROR",FORECAST($AD$45,OFFSET($M58,0,$AD$37):OFFSET($M58,0,$AD$37+1),OFFSET($M$45,0,$AD$37):OFFSET($M$45,0,$AD$37+1))))</f>
        <v>1.0175</v>
      </c>
      <c r="AF58" s="405" t="s">
        <v>748</v>
      </c>
      <c r="AG58" s="406">
        <v>85.7</v>
      </c>
      <c r="AH58" s="407">
        <v>34.8</v>
      </c>
      <c r="AI58" s="408">
        <v>0.96</v>
      </c>
      <c r="AJ58" s="407">
        <v>15.9</v>
      </c>
      <c r="AK58" s="409">
        <v>1.73</v>
      </c>
      <c r="AL58" s="410">
        <v>2.52</v>
      </c>
    </row>
    <row r="59" spans="1:38" ht="12.75">
      <c r="A59" s="86" t="s">
        <v>55</v>
      </c>
      <c r="B59" s="10"/>
      <c r="C59" s="10"/>
      <c r="D59" s="10"/>
      <c r="E59" s="10"/>
      <c r="F59" s="10"/>
      <c r="G59" s="10"/>
      <c r="H59" s="10"/>
      <c r="I59" s="14"/>
      <c r="M59" s="487">
        <v>1.2</v>
      </c>
      <c r="N59" s="483">
        <f aca="true" t="shared" si="13" ref="N59:AC59">IF($N$29=0,N90,IF($N$29=15,N118,IF($N$29=30,N146,IF($N$29=45,N174,IF($N$29=60,N202,IF($N$29=75,N230,"ERROR"))))))</f>
        <v>0.537</v>
      </c>
      <c r="O59" s="522">
        <f t="shared" si="13"/>
        <v>0.683</v>
      </c>
      <c r="P59" s="319">
        <f t="shared" si="13"/>
        <v>0.844</v>
      </c>
      <c r="Q59" s="320">
        <f t="shared" si="13"/>
        <v>1.02</v>
      </c>
      <c r="R59" s="320">
        <f t="shared" si="13"/>
        <v>1.21</v>
      </c>
      <c r="S59" s="320">
        <f t="shared" si="13"/>
        <v>1.42</v>
      </c>
      <c r="T59" s="320">
        <f t="shared" si="13"/>
        <v>1.63</v>
      </c>
      <c r="U59" s="320">
        <f t="shared" si="13"/>
        <v>1.85</v>
      </c>
      <c r="V59" s="523">
        <f t="shared" si="13"/>
        <v>2.08</v>
      </c>
      <c r="W59" s="495">
        <f t="shared" si="13"/>
        <v>2.33</v>
      </c>
      <c r="X59" s="495">
        <f t="shared" si="13"/>
        <v>2.59</v>
      </c>
      <c r="Y59" s="495">
        <f t="shared" si="13"/>
        <v>3.15</v>
      </c>
      <c r="Z59" s="495">
        <f t="shared" si="13"/>
        <v>3.75</v>
      </c>
      <c r="AA59" s="495">
        <f t="shared" si="13"/>
        <v>4.39</v>
      </c>
      <c r="AB59" s="495">
        <f t="shared" si="13"/>
        <v>5.07</v>
      </c>
      <c r="AC59" s="495">
        <f t="shared" si="13"/>
        <v>5.78</v>
      </c>
      <c r="AD59" s="513">
        <f ca="1">IF($AD$45=2,$AC59,IF($AD$45&gt;2,"ERROR",FORECAST($AD$45,OFFSET($M59,0,$AD$37):OFFSET($M59,0,$AD$37+1),OFFSET($M$45,0,$AD$37):OFFSET($M$45,0,$AD$37+1))))</f>
        <v>0.8586666666666666</v>
      </c>
      <c r="AF59" s="405" t="s">
        <v>749</v>
      </c>
      <c r="AG59" s="406">
        <v>77.5</v>
      </c>
      <c r="AH59" s="407">
        <v>34.5</v>
      </c>
      <c r="AI59" s="408">
        <v>0.87</v>
      </c>
      <c r="AJ59" s="407">
        <v>15.8</v>
      </c>
      <c r="AK59" s="409">
        <v>1.57</v>
      </c>
      <c r="AL59" s="410">
        <v>2.36</v>
      </c>
    </row>
    <row r="60" spans="1:38" ht="12.75">
      <c r="A60" s="73" t="s">
        <v>623</v>
      </c>
      <c r="B60" s="21"/>
      <c r="C60" s="112"/>
      <c r="D60" s="52" t="str">
        <f>$P$9</f>
        <v>(Note: eccentricity between C.L.'s  of beam and connection is included)</v>
      </c>
      <c r="E60" s="55"/>
      <c r="F60" s="55"/>
      <c r="G60" s="10"/>
      <c r="H60" s="10"/>
      <c r="I60" s="14"/>
      <c r="M60" s="487">
        <v>1.4</v>
      </c>
      <c r="N60" s="483">
        <f aca="true" t="shared" si="14" ref="N60:AC60">IF($N$29=0,N91,IF($N$29=15,N119,IF($N$29=30,N147,IF($N$29=45,N175,IF($N$29=60,N203,IF($N$29=75,N231,"ERROR"))))))</f>
        <v>0.464</v>
      </c>
      <c r="O60" s="522">
        <f t="shared" si="14"/>
        <v>0.588</v>
      </c>
      <c r="P60" s="319">
        <f t="shared" si="14"/>
        <v>0.728</v>
      </c>
      <c r="Q60" s="319">
        <f t="shared" si="14"/>
        <v>0.881</v>
      </c>
      <c r="R60" s="320">
        <f t="shared" si="14"/>
        <v>1.05</v>
      </c>
      <c r="S60" s="320">
        <f t="shared" si="14"/>
        <v>1.23</v>
      </c>
      <c r="T60" s="320">
        <f t="shared" si="14"/>
        <v>1.41</v>
      </c>
      <c r="U60" s="495">
        <f t="shared" si="14"/>
        <v>1.61</v>
      </c>
      <c r="V60" s="523">
        <f t="shared" si="14"/>
        <v>1.82</v>
      </c>
      <c r="W60" s="495">
        <f t="shared" si="14"/>
        <v>2.04</v>
      </c>
      <c r="X60" s="495">
        <f t="shared" si="14"/>
        <v>2.27</v>
      </c>
      <c r="Y60" s="495">
        <f t="shared" si="14"/>
        <v>2.77</v>
      </c>
      <c r="Z60" s="495">
        <f t="shared" si="14"/>
        <v>3.31</v>
      </c>
      <c r="AA60" s="495">
        <f t="shared" si="14"/>
        <v>3.89</v>
      </c>
      <c r="AB60" s="495">
        <f t="shared" si="14"/>
        <v>4.5</v>
      </c>
      <c r="AC60" s="495">
        <f t="shared" si="14"/>
        <v>5.15</v>
      </c>
      <c r="AD60" s="513">
        <f ca="1">IF($AD$45=2,$AC60,IF($AD$45&gt;2,"ERROR",FORECAST($AD$45,OFFSET($M60,0,$AD$37):OFFSET($M60,0,$AD$37+1),OFFSET($M$45,0,$AD$37):OFFSET($M$45,0,$AD$37+1))))</f>
        <v>0.74075</v>
      </c>
      <c r="AF60" s="405" t="s">
        <v>750</v>
      </c>
      <c r="AG60" s="406">
        <v>71</v>
      </c>
      <c r="AH60" s="407">
        <v>34.2</v>
      </c>
      <c r="AI60" s="408">
        <v>0.83</v>
      </c>
      <c r="AJ60" s="407">
        <v>15.9</v>
      </c>
      <c r="AK60" s="409">
        <v>1.4</v>
      </c>
      <c r="AL60" s="410">
        <v>2.19</v>
      </c>
    </row>
    <row r="61" spans="1:38" ht="12.75">
      <c r="A61" s="439" t="s">
        <v>631</v>
      </c>
      <c r="B61" s="175">
        <f>$N$10</f>
        <v>7.125016348901795</v>
      </c>
      <c r="C61" s="121" t="s">
        <v>425</v>
      </c>
      <c r="D61" s="438" t="s">
        <v>630</v>
      </c>
      <c r="E61" s="37"/>
      <c r="F61" s="37"/>
      <c r="G61" s="10"/>
      <c r="H61" s="10"/>
      <c r="I61" s="46"/>
      <c r="M61" s="487">
        <v>1.6</v>
      </c>
      <c r="N61" s="483">
        <f aca="true" t="shared" si="15" ref="N61:AC61">IF($N$29=0,N92,IF($N$29=15,N120,IF($N$29=30,N148,IF($N$29=45,N176,IF($N$29=60,N204,IF($N$29=75,N232,"ERROR"))))))</f>
        <v>0.407</v>
      </c>
      <c r="O61" s="522">
        <f t="shared" si="15"/>
        <v>0.516</v>
      </c>
      <c r="P61" s="319">
        <f t="shared" si="15"/>
        <v>0.639</v>
      </c>
      <c r="Q61" s="319">
        <f t="shared" si="15"/>
        <v>0.775</v>
      </c>
      <c r="R61" s="319">
        <f t="shared" si="15"/>
        <v>0.923</v>
      </c>
      <c r="S61" s="320">
        <f t="shared" si="15"/>
        <v>1.08</v>
      </c>
      <c r="T61" s="320">
        <f t="shared" si="15"/>
        <v>1.25</v>
      </c>
      <c r="U61" s="495">
        <f t="shared" si="15"/>
        <v>1.43</v>
      </c>
      <c r="V61" s="523">
        <f t="shared" si="15"/>
        <v>1.61</v>
      </c>
      <c r="W61" s="495">
        <f t="shared" si="15"/>
        <v>1.81</v>
      </c>
      <c r="X61" s="495">
        <f t="shared" si="15"/>
        <v>2.02</v>
      </c>
      <c r="Y61" s="495">
        <f t="shared" si="15"/>
        <v>2.46</v>
      </c>
      <c r="Z61" s="495">
        <f t="shared" si="15"/>
        <v>2.95</v>
      </c>
      <c r="AA61" s="495">
        <f t="shared" si="15"/>
        <v>3.47</v>
      </c>
      <c r="AB61" s="495">
        <f t="shared" si="15"/>
        <v>4.04</v>
      </c>
      <c r="AC61" s="495">
        <f t="shared" si="15"/>
        <v>4.63</v>
      </c>
      <c r="AD61" s="513">
        <f ca="1">IF($AD$45=2,$AC61,IF($AD$45&gt;2,"ERROR",FORECAST($AD$45,OFFSET($M61,0,$AD$37):OFFSET($M61,0,$AD$37+1),OFFSET($M$45,0,$AD$37):OFFSET($M$45,0,$AD$37+1))))</f>
        <v>0.6503333333333334</v>
      </c>
      <c r="AF61" s="405" t="s">
        <v>751</v>
      </c>
      <c r="AG61" s="406">
        <v>65.2</v>
      </c>
      <c r="AH61" s="407">
        <v>33.9</v>
      </c>
      <c r="AI61" s="408">
        <v>0.775</v>
      </c>
      <c r="AJ61" s="407">
        <v>15.8</v>
      </c>
      <c r="AK61" s="409">
        <v>1.28</v>
      </c>
      <c r="AL61" s="410">
        <v>2.06</v>
      </c>
    </row>
    <row r="62" spans="1:38" ht="12.75">
      <c r="A62" s="51" t="s">
        <v>427</v>
      </c>
      <c r="B62" s="179">
        <f>$N$11</f>
        <v>82.77323612608444</v>
      </c>
      <c r="C62" s="113" t="s">
        <v>244</v>
      </c>
      <c r="D62" s="447" t="s">
        <v>643</v>
      </c>
      <c r="E62" s="37"/>
      <c r="F62" s="37"/>
      <c r="G62" s="37"/>
      <c r="H62" s="80"/>
      <c r="I62" s="14"/>
      <c r="M62" s="487">
        <v>1.8</v>
      </c>
      <c r="N62" s="483">
        <f aca="true" t="shared" si="16" ref="N62:AC62">IF($N$29=0,N93,IF($N$29=15,N121,IF($N$29=30,N149,IF($N$29=45,N177,IF($N$29=60,N205,IF($N$29=75,N233,"ERROR"))))))</f>
        <v>0.363</v>
      </c>
      <c r="O62" s="522">
        <f t="shared" si="16"/>
        <v>0.46</v>
      </c>
      <c r="P62" s="319">
        <f t="shared" si="16"/>
        <v>0.569</v>
      </c>
      <c r="Q62" s="319">
        <f t="shared" si="16"/>
        <v>0.691</v>
      </c>
      <c r="R62" s="319">
        <f t="shared" si="16"/>
        <v>0.824</v>
      </c>
      <c r="S62" s="319">
        <f t="shared" si="16"/>
        <v>0.969</v>
      </c>
      <c r="T62" s="320">
        <f t="shared" si="16"/>
        <v>1.12</v>
      </c>
      <c r="U62" s="495">
        <f t="shared" si="16"/>
        <v>1.28</v>
      </c>
      <c r="V62" s="523">
        <f t="shared" si="16"/>
        <v>1.45</v>
      </c>
      <c r="W62" s="495">
        <f t="shared" si="16"/>
        <v>1.62</v>
      </c>
      <c r="X62" s="495">
        <f t="shared" si="16"/>
        <v>1.81</v>
      </c>
      <c r="Y62" s="495">
        <f t="shared" si="16"/>
        <v>2.22</v>
      </c>
      <c r="Z62" s="495">
        <f t="shared" si="16"/>
        <v>2.66</v>
      </c>
      <c r="AA62" s="495">
        <f t="shared" si="16"/>
        <v>3.14</v>
      </c>
      <c r="AB62" s="495">
        <f t="shared" si="16"/>
        <v>3.65</v>
      </c>
      <c r="AC62" s="495">
        <f t="shared" si="16"/>
        <v>4.2</v>
      </c>
      <c r="AD62" s="513">
        <f ca="1">IF($AD$45=2,$AC62,IF($AD$45&gt;2,"ERROR",FORECAST($AD$45,OFFSET($M62,0,$AD$37):OFFSET($M62,0,$AD$37+1),OFFSET($M$45,0,$AD$37):OFFSET($M$45,0,$AD$37+1))))</f>
        <v>0.5791666666666666</v>
      </c>
      <c r="AF62" s="405" t="s">
        <v>752</v>
      </c>
      <c r="AG62" s="406">
        <v>59.2</v>
      </c>
      <c r="AH62" s="407">
        <v>33.7</v>
      </c>
      <c r="AI62" s="408">
        <v>0.715</v>
      </c>
      <c r="AJ62" s="407">
        <v>15.7</v>
      </c>
      <c r="AK62" s="409">
        <v>1.15</v>
      </c>
      <c r="AL62" s="410">
        <v>1.94</v>
      </c>
    </row>
    <row r="63" spans="1:41" ht="12.75">
      <c r="A63" s="51" t="s">
        <v>428</v>
      </c>
      <c r="B63" s="179">
        <f>$N$12</f>
        <v>82.13405099191012</v>
      </c>
      <c r="C63" s="113" t="s">
        <v>425</v>
      </c>
      <c r="D63" s="455" t="s">
        <v>640</v>
      </c>
      <c r="E63" s="10"/>
      <c r="F63" s="10"/>
      <c r="G63" s="10"/>
      <c r="H63" s="80"/>
      <c r="I63" s="389" t="str">
        <f>IF($B$63&gt;=$D$16,"Rwv &gt;= R,  O.K.  ","Rwv &lt; R, N.G.  ")</f>
        <v>Rwv &gt;= R,  O.K.  </v>
      </c>
      <c r="M63" s="487">
        <v>2</v>
      </c>
      <c r="N63" s="483">
        <f aca="true" t="shared" si="17" ref="N63:AC63">IF($N$29=0,N94,IF($N$29=15,N122,IF($N$29=30,N150,IF($N$29=45,N178,IF($N$29=60,N206,IF($N$29=75,N234,"ERROR"))))))</f>
        <v>0.327</v>
      </c>
      <c r="O63" s="522">
        <f t="shared" si="17"/>
        <v>0.415</v>
      </c>
      <c r="P63" s="319">
        <f t="shared" si="17"/>
        <v>0.513</v>
      </c>
      <c r="Q63" s="319">
        <f t="shared" si="17"/>
        <v>0.623</v>
      </c>
      <c r="R63" s="319">
        <f t="shared" si="17"/>
        <v>0.744</v>
      </c>
      <c r="S63" s="319">
        <f t="shared" si="17"/>
        <v>0.876</v>
      </c>
      <c r="T63" s="320">
        <f t="shared" si="17"/>
        <v>1.01</v>
      </c>
      <c r="U63" s="495">
        <f t="shared" si="17"/>
        <v>1.16</v>
      </c>
      <c r="V63" s="523">
        <f t="shared" si="17"/>
        <v>1.31</v>
      </c>
      <c r="W63" s="495">
        <f t="shared" si="17"/>
        <v>1.47</v>
      </c>
      <c r="X63" s="495">
        <f t="shared" si="17"/>
        <v>1.64</v>
      </c>
      <c r="Y63" s="495">
        <f t="shared" si="17"/>
        <v>2.01</v>
      </c>
      <c r="Z63" s="495">
        <f t="shared" si="17"/>
        <v>2.42</v>
      </c>
      <c r="AA63" s="495">
        <f t="shared" si="17"/>
        <v>2.86</v>
      </c>
      <c r="AB63" s="495">
        <f t="shared" si="17"/>
        <v>3.33</v>
      </c>
      <c r="AC63" s="495">
        <f t="shared" si="17"/>
        <v>3.85</v>
      </c>
      <c r="AD63" s="513">
        <f ca="1">IF($AD$45=2,$AC63,IF($AD$45&gt;2,"ERROR",FORECAST($AD$45,OFFSET($M63,0,$AD$37):OFFSET($M63,0,$AD$37+1),OFFSET($M$45,0,$AD$37):OFFSET($M$45,0,$AD$37+1))))</f>
        <v>0.5221666666666667</v>
      </c>
      <c r="AF63" s="405" t="s">
        <v>753</v>
      </c>
      <c r="AG63" s="406">
        <v>49.5</v>
      </c>
      <c r="AH63" s="407">
        <v>33.8</v>
      </c>
      <c r="AI63" s="408">
        <v>0.67</v>
      </c>
      <c r="AJ63" s="407">
        <v>11.5</v>
      </c>
      <c r="AK63" s="409">
        <v>1.22</v>
      </c>
      <c r="AL63" s="410">
        <v>1.92</v>
      </c>
      <c r="AN63" s="50" t="s">
        <v>388</v>
      </c>
      <c r="AO63" s="100">
        <f>IF($D$16&gt;0,$D$16/$B$63,"")</f>
        <v>0.4870087316640433</v>
      </c>
    </row>
    <row r="64" spans="1:41" ht="12.75">
      <c r="A64" s="51" t="s">
        <v>429</v>
      </c>
      <c r="B64" s="183">
        <f>$N$13</f>
        <v>10.26675637398876</v>
      </c>
      <c r="C64" s="113" t="s">
        <v>425</v>
      </c>
      <c r="D64" s="455" t="s">
        <v>641</v>
      </c>
      <c r="E64" s="10"/>
      <c r="F64" s="10"/>
      <c r="G64" s="10"/>
      <c r="H64" s="10"/>
      <c r="I64" s="389" t="str">
        <f>IF($D$17&gt;0,IF($B$64&gt;=$D$17,"Rwa &gt;= P,  O.K.  ","Rwa &lt; P, N.G.  "),"")</f>
        <v>Rwa &gt;= P,  O.K.  </v>
      </c>
      <c r="M64" s="487">
        <v>2.2</v>
      </c>
      <c r="N64" s="483">
        <f aca="true" t="shared" si="18" ref="N64:AC64">IF($N$29=0,N95,IF($N$29=15,N123,IF($N$29=30,N151,IF($N$29=45,N179,IF($N$29=60,N207,IF($N$29=75,N235,"ERROR"))))))</f>
        <v>0.297</v>
      </c>
      <c r="O64" s="522">
        <f t="shared" si="18"/>
        <v>0.377</v>
      </c>
      <c r="P64" s="319">
        <f t="shared" si="18"/>
        <v>0.467</v>
      </c>
      <c r="Q64" s="319">
        <f t="shared" si="18"/>
        <v>0.567</v>
      </c>
      <c r="R64" s="319">
        <f t="shared" si="18"/>
        <v>0.677</v>
      </c>
      <c r="S64" s="319">
        <f t="shared" si="18"/>
        <v>0.799</v>
      </c>
      <c r="T64" s="319">
        <f t="shared" si="18"/>
        <v>0.925</v>
      </c>
      <c r="U64" s="495">
        <f t="shared" si="18"/>
        <v>1.06</v>
      </c>
      <c r="V64" s="495">
        <f t="shared" si="18"/>
        <v>1.2</v>
      </c>
      <c r="W64" s="495">
        <f t="shared" si="18"/>
        <v>1.35</v>
      </c>
      <c r="X64" s="495">
        <f t="shared" si="18"/>
        <v>1.5</v>
      </c>
      <c r="Y64" s="495">
        <f t="shared" si="18"/>
        <v>1.84</v>
      </c>
      <c r="Z64" s="495">
        <f t="shared" si="18"/>
        <v>2.21</v>
      </c>
      <c r="AA64" s="495">
        <f t="shared" si="18"/>
        <v>2.62</v>
      </c>
      <c r="AB64" s="495">
        <f t="shared" si="18"/>
        <v>3.07</v>
      </c>
      <c r="AC64" s="495">
        <f t="shared" si="18"/>
        <v>3.54</v>
      </c>
      <c r="AD64" s="513">
        <f ca="1">IF($AD$45=2,$AC64,IF($AD$45&gt;2,"ERROR",FORECAST($AD$45,OFFSET($M64,0,$AD$37):OFFSET($M64,0,$AD$37+1),OFFSET($M$45,0,$AD$37):OFFSET($M$45,0,$AD$37+1))))</f>
        <v>0.4753333333333334</v>
      </c>
      <c r="AF64" s="405" t="s">
        <v>754</v>
      </c>
      <c r="AG64" s="406">
        <v>44.8</v>
      </c>
      <c r="AH64" s="407">
        <v>33.5</v>
      </c>
      <c r="AI64" s="408">
        <v>0.635</v>
      </c>
      <c r="AJ64" s="407">
        <v>11.6</v>
      </c>
      <c r="AK64" s="409">
        <v>1.06</v>
      </c>
      <c r="AL64" s="410">
        <v>1.76</v>
      </c>
      <c r="AN64" s="50" t="str">
        <f>IF(AO64="","N.A.","SR =")</f>
        <v>SR =</v>
      </c>
      <c r="AO64" s="100">
        <f>IF($D$17&gt;0,$D$17/$B$64,"")</f>
        <v>0.48700873166404346</v>
      </c>
    </row>
    <row r="65" spans="1:38" ht="12.75">
      <c r="A65" s="19"/>
      <c r="B65" s="10"/>
      <c r="C65" s="10"/>
      <c r="D65" s="10"/>
      <c r="E65" s="10"/>
      <c r="F65" s="10"/>
      <c r="G65" s="10"/>
      <c r="H65" s="10"/>
      <c r="I65" s="389"/>
      <c r="M65" s="487">
        <v>2.4</v>
      </c>
      <c r="N65" s="483">
        <f aca="true" t="shared" si="19" ref="N65:AC65">IF($N$29=0,N96,IF($N$29=15,N124,IF($N$29=30,N152,IF($N$29=45,N180,IF($N$29=60,N208,IF($N$29=75,N236,"ERROR"))))))</f>
        <v>0.273</v>
      </c>
      <c r="O65" s="522">
        <f t="shared" si="19"/>
        <v>0.347</v>
      </c>
      <c r="P65" s="319">
        <f t="shared" si="19"/>
        <v>0.428</v>
      </c>
      <c r="Q65" s="319">
        <f t="shared" si="19"/>
        <v>0.52</v>
      </c>
      <c r="R65" s="319">
        <f t="shared" si="19"/>
        <v>0.623</v>
      </c>
      <c r="S65" s="319">
        <f t="shared" si="19"/>
        <v>0.735</v>
      </c>
      <c r="T65" s="319">
        <f t="shared" si="19"/>
        <v>0.852</v>
      </c>
      <c r="U65" s="319">
        <f t="shared" si="19"/>
        <v>0.972</v>
      </c>
      <c r="V65" s="495">
        <f t="shared" si="19"/>
        <v>1.1</v>
      </c>
      <c r="W65" s="495">
        <f t="shared" si="19"/>
        <v>1.24</v>
      </c>
      <c r="X65" s="495">
        <f t="shared" si="19"/>
        <v>1.38</v>
      </c>
      <c r="Y65" s="495">
        <f t="shared" si="19"/>
        <v>1.7</v>
      </c>
      <c r="Z65" s="495">
        <f t="shared" si="19"/>
        <v>2.04</v>
      </c>
      <c r="AA65" s="495">
        <f t="shared" si="19"/>
        <v>2.42</v>
      </c>
      <c r="AB65" s="495">
        <f t="shared" si="19"/>
        <v>2.83</v>
      </c>
      <c r="AC65" s="495">
        <f t="shared" si="19"/>
        <v>3.27</v>
      </c>
      <c r="AD65" s="513">
        <f ca="1">IF($AD$45=2,$AC65,IF($AD$45&gt;2,"ERROR",FORECAST($AD$45,OFFSET($M65,0,$AD$37):OFFSET($M65,0,$AD$37+1),OFFSET($M$45,0,$AD$37):OFFSET($M$45,0,$AD$37+1))))</f>
        <v>0.43566666666666665</v>
      </c>
      <c r="AF65" s="405" t="s">
        <v>755</v>
      </c>
      <c r="AG65" s="406">
        <v>41.6</v>
      </c>
      <c r="AH65" s="407">
        <v>33.3</v>
      </c>
      <c r="AI65" s="408">
        <v>0.605</v>
      </c>
      <c r="AJ65" s="407">
        <v>11.5</v>
      </c>
      <c r="AK65" s="408">
        <v>0.96</v>
      </c>
      <c r="AL65" s="410">
        <v>1.66</v>
      </c>
    </row>
    <row r="66" spans="1:38" ht="12.75">
      <c r="A66" s="73" t="s">
        <v>1173</v>
      </c>
      <c r="B66" s="10"/>
      <c r="C66" s="10"/>
      <c r="D66" s="10"/>
      <c r="E66" s="10"/>
      <c r="F66" s="10"/>
      <c r="G66" s="10"/>
      <c r="H66" s="10"/>
      <c r="I66" s="14"/>
      <c r="M66" s="487">
        <v>2.6</v>
      </c>
      <c r="N66" s="483">
        <f aca="true" t="shared" si="20" ref="N66:AC66">IF($N$29=0,N97,IF($N$29=15,N125,IF($N$29=30,N153,IF($N$29=45,N181,IF($N$29=60,N209,IF($N$29=75,N237,"ERROR"))))))</f>
        <v>0.252</v>
      </c>
      <c r="O66" s="522">
        <f t="shared" si="20"/>
        <v>0.32</v>
      </c>
      <c r="P66" s="319">
        <f t="shared" si="20"/>
        <v>0.396</v>
      </c>
      <c r="Q66" s="319">
        <f t="shared" si="20"/>
        <v>0.48</v>
      </c>
      <c r="R66" s="319">
        <f t="shared" si="20"/>
        <v>0.575</v>
      </c>
      <c r="S66" s="319">
        <f t="shared" si="20"/>
        <v>0.679</v>
      </c>
      <c r="T66" s="319">
        <f t="shared" si="20"/>
        <v>0.788</v>
      </c>
      <c r="U66" s="319">
        <f t="shared" si="20"/>
        <v>0.9</v>
      </c>
      <c r="V66" s="495">
        <f t="shared" si="20"/>
        <v>1.02</v>
      </c>
      <c r="W66" s="495">
        <f t="shared" si="20"/>
        <v>1.15</v>
      </c>
      <c r="X66" s="495">
        <f t="shared" si="20"/>
        <v>1.28</v>
      </c>
      <c r="Y66" s="495">
        <f t="shared" si="20"/>
        <v>1.57</v>
      </c>
      <c r="Z66" s="495">
        <f t="shared" si="20"/>
        <v>1.9</v>
      </c>
      <c r="AA66" s="495">
        <f t="shared" si="20"/>
        <v>2.25</v>
      </c>
      <c r="AB66" s="495">
        <f t="shared" si="20"/>
        <v>2.63</v>
      </c>
      <c r="AC66" s="495">
        <f t="shared" si="20"/>
        <v>3.05</v>
      </c>
      <c r="AD66" s="513">
        <f ca="1">IF($AD$45=2,$AC66,IF($AD$45&gt;2,"ERROR",FORECAST($AD$45,OFFSET($M66,0,$AD$37):OFFSET($M66,0,$AD$37+1),OFFSET($M$45,0,$AD$37):OFFSET($M$45,0,$AD$37+1))))</f>
        <v>0.403</v>
      </c>
      <c r="AF66" s="405" t="s">
        <v>756</v>
      </c>
      <c r="AG66" s="406">
        <v>38.3</v>
      </c>
      <c r="AH66" s="407">
        <v>33.1</v>
      </c>
      <c r="AI66" s="408">
        <v>0.58</v>
      </c>
      <c r="AJ66" s="407">
        <v>11.5</v>
      </c>
      <c r="AK66" s="408">
        <v>0.855</v>
      </c>
      <c r="AL66" s="410">
        <v>1.56</v>
      </c>
    </row>
    <row r="67" spans="1:38" ht="12.75">
      <c r="A67" s="443" t="s">
        <v>124</v>
      </c>
      <c r="B67" s="607">
        <f>$N$15</f>
        <v>28.244444444444447</v>
      </c>
      <c r="C67" s="113" t="s">
        <v>245</v>
      </c>
      <c r="D67" s="10" t="str">
        <f>$P$15</f>
        <v>fb = (P*(2*Lc+tw)/4) / (L*ta^2 / 6)</v>
      </c>
      <c r="E67" s="10"/>
      <c r="F67" s="10"/>
      <c r="G67" s="10"/>
      <c r="H67" s="10"/>
      <c r="I67" s="14"/>
      <c r="M67" s="487">
        <v>2.8</v>
      </c>
      <c r="N67" s="483">
        <f aca="true" t="shared" si="21" ref="N67:AC67">IF($N$29=0,N98,IF($N$29=15,N126,IF($N$29=30,N154,IF($N$29=45,N182,IF($N$29=60,N210,IF($N$29=75,N238,"ERROR"))))))</f>
        <v>0.235</v>
      </c>
      <c r="O67" s="522">
        <f t="shared" si="21"/>
        <v>0.297</v>
      </c>
      <c r="P67" s="319">
        <f t="shared" si="21"/>
        <v>0.368</v>
      </c>
      <c r="Q67" s="319">
        <f t="shared" si="21"/>
        <v>0.447</v>
      </c>
      <c r="R67" s="319">
        <f t="shared" si="21"/>
        <v>0.535</v>
      </c>
      <c r="S67" s="319">
        <f t="shared" si="21"/>
        <v>0.632</v>
      </c>
      <c r="T67" s="319">
        <f t="shared" si="21"/>
        <v>0.733</v>
      </c>
      <c r="U67" s="319">
        <f t="shared" si="21"/>
        <v>0.837</v>
      </c>
      <c r="V67" s="324">
        <f t="shared" si="21"/>
        <v>0.949</v>
      </c>
      <c r="W67" s="495">
        <f t="shared" si="21"/>
        <v>1.07</v>
      </c>
      <c r="X67" s="495">
        <f t="shared" si="21"/>
        <v>1.19</v>
      </c>
      <c r="Y67" s="495">
        <f t="shared" si="21"/>
        <v>1.47</v>
      </c>
      <c r="Z67" s="495">
        <f t="shared" si="21"/>
        <v>1.77</v>
      </c>
      <c r="AA67" s="495">
        <f t="shared" si="21"/>
        <v>2.1</v>
      </c>
      <c r="AB67" s="495">
        <f t="shared" si="21"/>
        <v>2.46</v>
      </c>
      <c r="AC67" s="495">
        <f t="shared" si="21"/>
        <v>2.85</v>
      </c>
      <c r="AD67" s="513">
        <f ca="1">IF($AD$45=2,$AC67,IF($AD$45&gt;2,"ERROR",FORECAST($AD$45,OFFSET($M67,0,$AD$37):OFFSET($M67,0,$AD$37+1),OFFSET($M$45,0,$AD$37):OFFSET($M$45,0,$AD$37+1))))</f>
        <v>0.37458333333333327</v>
      </c>
      <c r="AF67" s="405" t="s">
        <v>757</v>
      </c>
      <c r="AG67" s="406">
        <v>34.7</v>
      </c>
      <c r="AH67" s="407">
        <v>32.9</v>
      </c>
      <c r="AI67" s="408">
        <v>0.55</v>
      </c>
      <c r="AJ67" s="407">
        <v>11.5</v>
      </c>
      <c r="AK67" s="408">
        <v>0.74</v>
      </c>
      <c r="AL67" s="410">
        <v>1.44</v>
      </c>
    </row>
    <row r="68" spans="1:41" ht="12.75">
      <c r="A68" s="443" t="s">
        <v>159</v>
      </c>
      <c r="B68" s="183">
        <f>$N$16</f>
        <v>32.33532934131737</v>
      </c>
      <c r="C68" s="113" t="s">
        <v>245</v>
      </c>
      <c r="D68" s="10" t="str">
        <f>$P$16</f>
        <v>Fb = (1.5/1.67)*Fya</v>
      </c>
      <c r="E68" s="10"/>
      <c r="F68" s="10"/>
      <c r="G68" s="10"/>
      <c r="H68" s="10"/>
      <c r="I68" s="389" t="str">
        <f>IF($D$17&gt;0,IF($B$68&gt;=$B$67,"Fb &gt;= fb,  O.K.  ","Fb &lt; fb, N.G.  "),"")</f>
        <v>Fb &gt;= fb,  O.K.  </v>
      </c>
      <c r="M68" s="498">
        <v>3</v>
      </c>
      <c r="N68" s="505">
        <f aca="true" t="shared" si="22" ref="N68:AC68">IF($N$29=0,N99,IF($N$29=15,N127,IF($N$29=30,N155,IF($N$29=45,N183,IF($N$29=60,N211,IF($N$29=75,N239,"ERROR"))))))</f>
        <v>0.219</v>
      </c>
      <c r="O68" s="322">
        <f t="shared" si="22"/>
        <v>0.277</v>
      </c>
      <c r="P68" s="322">
        <f t="shared" si="22"/>
        <v>0.343</v>
      </c>
      <c r="Q68" s="322">
        <f t="shared" si="22"/>
        <v>0.417</v>
      </c>
      <c r="R68" s="322">
        <f t="shared" si="22"/>
        <v>0.5</v>
      </c>
      <c r="S68" s="322">
        <f t="shared" si="22"/>
        <v>0.591</v>
      </c>
      <c r="T68" s="322">
        <f t="shared" si="22"/>
        <v>0.685</v>
      </c>
      <c r="U68" s="322">
        <f t="shared" si="22"/>
        <v>0.784</v>
      </c>
      <c r="V68" s="322">
        <f t="shared" si="22"/>
        <v>0.888</v>
      </c>
      <c r="W68" s="322">
        <f t="shared" si="22"/>
        <v>0.999</v>
      </c>
      <c r="X68" s="495">
        <f t="shared" si="22"/>
        <v>1.12</v>
      </c>
      <c r="Y68" s="495">
        <f t="shared" si="22"/>
        <v>1.37</v>
      </c>
      <c r="Z68" s="495">
        <f t="shared" si="22"/>
        <v>1.65</v>
      </c>
      <c r="AA68" s="495">
        <f t="shared" si="22"/>
        <v>1.97</v>
      </c>
      <c r="AB68" s="495">
        <f t="shared" si="22"/>
        <v>2.31</v>
      </c>
      <c r="AC68" s="495">
        <f t="shared" si="22"/>
        <v>2.67</v>
      </c>
      <c r="AD68" s="514">
        <f ca="1">IF($AD$45=2,$AC68,IF($AD$45&gt;2,"ERROR",FORECAST($AD$45,OFFSET($M68,0,$AD$37):OFFSET($M68,0,$AD$37+1),OFFSET($M$45,0,$AD$37):OFFSET($M$45,0,$AD$37+1))))</f>
        <v>0.3491666666666667</v>
      </c>
      <c r="AF68" s="405" t="s">
        <v>758</v>
      </c>
      <c r="AG68" s="411">
        <v>115</v>
      </c>
      <c r="AH68" s="407">
        <v>33.2</v>
      </c>
      <c r="AI68" s="409">
        <v>1.36</v>
      </c>
      <c r="AJ68" s="407">
        <v>15.6</v>
      </c>
      <c r="AK68" s="409">
        <v>2.44</v>
      </c>
      <c r="AL68" s="410">
        <v>3.23</v>
      </c>
      <c r="AN68" s="50" t="s">
        <v>388</v>
      </c>
      <c r="AO68" s="100">
        <f>IF($D$17&gt;0,$B$67/$B$68,"")</f>
        <v>0.8734855967078189</v>
      </c>
    </row>
    <row r="69" spans="1:38" ht="12.75">
      <c r="A69" s="19"/>
      <c r="B69" s="10"/>
      <c r="C69" s="10"/>
      <c r="D69" s="10"/>
      <c r="E69" s="10"/>
      <c r="F69" s="10"/>
      <c r="G69" s="10"/>
      <c r="H69" s="10"/>
      <c r="I69" s="14"/>
      <c r="M69" s="504" t="s">
        <v>526</v>
      </c>
      <c r="N69" s="519">
        <f aca="true" t="shared" si="23" ref="N69:AC69">IF($N$29=0,N100,IF($N$29=15,N128,IF($N$29=30,N156,IF($N$29=45,N184,IF($N$29=60,N212,IF($N$29=75,N240,"ERROR"))))))</f>
        <v>0</v>
      </c>
      <c r="O69" s="520">
        <f t="shared" si="23"/>
        <v>0.008</v>
      </c>
      <c r="P69" s="520">
        <f t="shared" si="23"/>
        <v>0.029</v>
      </c>
      <c r="Q69" s="520">
        <f t="shared" si="23"/>
        <v>0.056</v>
      </c>
      <c r="R69" s="520">
        <f t="shared" si="23"/>
        <v>0.089</v>
      </c>
      <c r="S69" s="520">
        <f t="shared" si="23"/>
        <v>0.125</v>
      </c>
      <c r="T69" s="520">
        <f t="shared" si="23"/>
        <v>0.164</v>
      </c>
      <c r="U69" s="520">
        <f t="shared" si="23"/>
        <v>0.204</v>
      </c>
      <c r="V69" s="520">
        <f t="shared" si="23"/>
        <v>0.246</v>
      </c>
      <c r="W69" s="520">
        <f t="shared" si="23"/>
        <v>0.289</v>
      </c>
      <c r="X69" s="520">
        <f t="shared" si="23"/>
        <v>0.333</v>
      </c>
      <c r="Y69" s="520">
        <f t="shared" si="23"/>
        <v>0.424</v>
      </c>
      <c r="Z69" s="520">
        <f t="shared" si="23"/>
        <v>0.516</v>
      </c>
      <c r="AA69" s="520">
        <f t="shared" si="23"/>
        <v>0.61</v>
      </c>
      <c r="AB69" s="520">
        <f t="shared" si="23"/>
        <v>0.704</v>
      </c>
      <c r="AC69" s="521">
        <f t="shared" si="23"/>
        <v>0.8</v>
      </c>
      <c r="AD69" s="507">
        <f ca="1">IF($AD$45=2,$AC69,IF($AD$45&gt;2,"ERROR",FORECAST($AD$45,OFFSET($M69,0,$AD$37):OFFSET($M69,0,$AD$37+1),OFFSET($M$45,0,$AD$37):OFFSET($M$45,0,$AD$37+1))))</f>
        <v>0.03125</v>
      </c>
      <c r="AF69" s="405" t="s">
        <v>759</v>
      </c>
      <c r="AG69" s="411">
        <v>105</v>
      </c>
      <c r="AH69" s="407">
        <v>32.8</v>
      </c>
      <c r="AI69" s="409">
        <v>1.24</v>
      </c>
      <c r="AJ69" s="407">
        <v>15.5</v>
      </c>
      <c r="AK69" s="409">
        <v>2.24</v>
      </c>
      <c r="AL69" s="410">
        <v>3.03</v>
      </c>
    </row>
    <row r="70" spans="1:38" ht="12.75">
      <c r="A70" s="86" t="s">
        <v>463</v>
      </c>
      <c r="B70" s="10"/>
      <c r="C70" s="10"/>
      <c r="D70" s="10"/>
      <c r="E70" s="10"/>
      <c r="F70" s="10"/>
      <c r="G70" s="10"/>
      <c r="H70" s="10"/>
      <c r="I70" s="389"/>
      <c r="M70" s="153"/>
      <c r="N70" s="148"/>
      <c r="O70" s="147"/>
      <c r="P70" s="147"/>
      <c r="Q70" s="147"/>
      <c r="R70" s="147"/>
      <c r="S70" s="147"/>
      <c r="T70" s="147"/>
      <c r="U70" s="148"/>
      <c r="V70" s="148"/>
      <c r="W70" s="148"/>
      <c r="X70" s="148"/>
      <c r="Y70" s="148"/>
      <c r="Z70" s="148"/>
      <c r="AB70" s="148"/>
      <c r="AC70" s="508"/>
      <c r="AD70" s="37"/>
      <c r="AF70" s="405" t="s">
        <v>760</v>
      </c>
      <c r="AG70" s="406">
        <v>95.8</v>
      </c>
      <c r="AH70" s="407">
        <v>32.4</v>
      </c>
      <c r="AI70" s="409">
        <v>1.14</v>
      </c>
      <c r="AJ70" s="407">
        <v>15.4</v>
      </c>
      <c r="AK70" s="409">
        <v>2.05</v>
      </c>
      <c r="AL70" s="410">
        <v>2.84</v>
      </c>
    </row>
    <row r="71" spans="1:41" ht="12.75">
      <c r="A71" s="19" t="str">
        <f>$M$18</f>
        <v>  "C-shaped" Welding:  (using AISC Table 8-8, pages 8-90 through 8-95)</v>
      </c>
      <c r="B71" s="10"/>
      <c r="C71" s="10"/>
      <c r="D71" s="10"/>
      <c r="E71" s="10"/>
      <c r="F71" s="10"/>
      <c r="G71" s="10"/>
      <c r="H71" s="10"/>
      <c r="I71" s="389"/>
      <c r="M71" s="153"/>
      <c r="N71" s="148"/>
      <c r="O71" s="147"/>
      <c r="P71" s="147"/>
      <c r="Q71" s="147"/>
      <c r="R71" s="147"/>
      <c r="S71" s="147"/>
      <c r="T71" s="147"/>
      <c r="U71" s="148"/>
      <c r="V71" s="148"/>
      <c r="W71" s="148"/>
      <c r="X71" s="148"/>
      <c r="Y71" s="148"/>
      <c r="Z71" s="148"/>
      <c r="AB71" s="148"/>
      <c r="AC71" s="186" t="s">
        <v>18</v>
      </c>
      <c r="AD71" s="509">
        <f>$N$24</f>
        <v>0.20833333333333334</v>
      </c>
      <c r="AF71" s="405" t="s">
        <v>761</v>
      </c>
      <c r="AG71" s="406">
        <v>85.9</v>
      </c>
      <c r="AH71" s="407">
        <v>32</v>
      </c>
      <c r="AI71" s="409">
        <v>1.02</v>
      </c>
      <c r="AJ71" s="407">
        <v>15.3</v>
      </c>
      <c r="AK71" s="409">
        <v>1.85</v>
      </c>
      <c r="AL71" s="410">
        <v>2.64</v>
      </c>
      <c r="AN71" s="50"/>
      <c r="AO71" s="100"/>
    </row>
    <row r="72" spans="1:41" ht="12.75">
      <c r="A72" s="443" t="s">
        <v>401</v>
      </c>
      <c r="B72" s="174">
        <f aca="true" t="shared" si="24" ref="B72:B80">N19</f>
        <v>12</v>
      </c>
      <c r="C72" s="113" t="s">
        <v>268</v>
      </c>
      <c r="D72" s="441" t="str">
        <f aca="true" t="shared" si="25" ref="D72:D80">P19</f>
        <v>L = vertical height of "C-shaped" weld</v>
      </c>
      <c r="E72" s="10"/>
      <c r="F72" s="10"/>
      <c r="G72" s="10"/>
      <c r="H72" s="10"/>
      <c r="I72" s="389"/>
      <c r="M72" s="510"/>
      <c r="N72" s="148"/>
      <c r="O72" s="147"/>
      <c r="P72" s="147"/>
      <c r="Q72" s="147"/>
      <c r="R72" s="147"/>
      <c r="S72" s="147"/>
      <c r="T72" s="147"/>
      <c r="U72" s="148"/>
      <c r="V72" s="148"/>
      <c r="W72" s="148"/>
      <c r="X72" s="148"/>
      <c r="Y72" s="148"/>
      <c r="Z72" s="148"/>
      <c r="AB72" s="148"/>
      <c r="AC72" s="511">
        <f>$N$23</f>
        <v>0.21875</v>
      </c>
      <c r="AD72" s="511">
        <f ca="1">IF($AC$72&lt;=$M$68,IF($AD$45&gt;2,"ERROR",IF($AC$72&gt;3,"ERROR",FORECAST($AC$72,OFFSET($AD$45,$AD$41,0):OFFSET($AD$45,$AD$41+1,0),OFFSET($M$45,$AD$41,0):OFFSET($M$45,$AD$41+1,0)))),$AD$68)</f>
        <v>2.6240625</v>
      </c>
      <c r="AF72" s="405" t="s">
        <v>762</v>
      </c>
      <c r="AG72" s="406">
        <v>76.9</v>
      </c>
      <c r="AH72" s="407">
        <v>31.6</v>
      </c>
      <c r="AI72" s="408">
        <v>0.93</v>
      </c>
      <c r="AJ72" s="407">
        <v>15.2</v>
      </c>
      <c r="AK72" s="409">
        <v>1.65</v>
      </c>
      <c r="AL72" s="410">
        <v>2.44</v>
      </c>
      <c r="AN72" s="50"/>
      <c r="AO72" s="100"/>
    </row>
    <row r="73" spans="1:41" ht="12.75">
      <c r="A73" s="443" t="s">
        <v>413</v>
      </c>
      <c r="B73" s="179">
        <f t="shared" si="24"/>
        <v>2.5</v>
      </c>
      <c r="C73" s="113" t="s">
        <v>268</v>
      </c>
      <c r="D73" s="441" t="str">
        <f t="shared" si="25"/>
        <v>kL = Lb-s  (horizontal width of "C-shaped" weld)</v>
      </c>
      <c r="E73" s="10"/>
      <c r="F73" s="10"/>
      <c r="G73" s="10"/>
      <c r="H73" s="10"/>
      <c r="I73" s="389"/>
      <c r="AF73" s="405" t="s">
        <v>763</v>
      </c>
      <c r="AG73" s="406">
        <v>69.2</v>
      </c>
      <c r="AH73" s="407">
        <v>31.3</v>
      </c>
      <c r="AI73" s="408">
        <v>0.83</v>
      </c>
      <c r="AJ73" s="407">
        <v>15.1</v>
      </c>
      <c r="AK73" s="409">
        <v>1.5</v>
      </c>
      <c r="AL73" s="410">
        <v>2.29</v>
      </c>
      <c r="AN73" s="50"/>
      <c r="AO73" s="100"/>
    </row>
    <row r="74" spans="1:41" ht="12.75">
      <c r="A74" s="443" t="s">
        <v>519</v>
      </c>
      <c r="B74" s="175">
        <f t="shared" si="24"/>
        <v>0.03125</v>
      </c>
      <c r="C74" s="10"/>
      <c r="D74" s="449" t="str">
        <f t="shared" si="25"/>
        <v>x = "x" coefficient interpolated from AISC Table 8-8, pages 8-90 through 8-95)</v>
      </c>
      <c r="E74" s="10"/>
      <c r="F74" s="10"/>
      <c r="G74" s="10"/>
      <c r="H74" s="10"/>
      <c r="I74" s="389"/>
      <c r="M74" s="141" t="s">
        <v>525</v>
      </c>
      <c r="N74" s="463"/>
      <c r="O74" s="107"/>
      <c r="P74" s="463"/>
      <c r="Q74" s="463"/>
      <c r="R74" s="143"/>
      <c r="S74" s="143"/>
      <c r="T74" s="143"/>
      <c r="U74" s="142"/>
      <c r="V74" s="143"/>
      <c r="W74" s="143"/>
      <c r="X74" s="143"/>
      <c r="Y74" s="143"/>
      <c r="Z74" s="144"/>
      <c r="AA74" s="143"/>
      <c r="AB74" s="143"/>
      <c r="AC74" s="144"/>
      <c r="AF74" s="405" t="s">
        <v>764</v>
      </c>
      <c r="AG74" s="406">
        <v>62.2</v>
      </c>
      <c r="AH74" s="407">
        <v>30.9</v>
      </c>
      <c r="AI74" s="408">
        <v>0.775</v>
      </c>
      <c r="AJ74" s="407">
        <v>15.1</v>
      </c>
      <c r="AK74" s="409">
        <v>1.32</v>
      </c>
      <c r="AL74" s="410">
        <v>2.1</v>
      </c>
      <c r="AN74" s="50"/>
      <c r="AO74" s="100"/>
    </row>
    <row r="75" spans="1:41" ht="12.75">
      <c r="A75" s="443" t="s">
        <v>469</v>
      </c>
      <c r="B75" s="179">
        <f t="shared" si="24"/>
        <v>2.625</v>
      </c>
      <c r="C75" s="113" t="s">
        <v>268</v>
      </c>
      <c r="D75" s="441" t="str">
        <f t="shared" si="25"/>
        <v>aL = Lb-(x*L)  (eccentricity of shear reaction, R, to C.G. of weld)</v>
      </c>
      <c r="E75" s="10"/>
      <c r="F75" s="10"/>
      <c r="G75" s="10"/>
      <c r="H75" s="10"/>
      <c r="I75" s="389"/>
      <c r="M75" s="464"/>
      <c r="N75" s="141" t="s">
        <v>323</v>
      </c>
      <c r="O75" s="107"/>
      <c r="P75" s="143"/>
      <c r="Q75" s="143"/>
      <c r="R75" s="143"/>
      <c r="S75" s="143"/>
      <c r="T75" s="465"/>
      <c r="U75" s="143"/>
      <c r="V75" s="143"/>
      <c r="W75" s="143"/>
      <c r="X75" s="143"/>
      <c r="Y75" s="156"/>
      <c r="Z75" s="144"/>
      <c r="AA75" s="143"/>
      <c r="AB75" s="156"/>
      <c r="AC75" s="144"/>
      <c r="AF75" s="405" t="s">
        <v>765</v>
      </c>
      <c r="AG75" s="406">
        <v>56.3</v>
      </c>
      <c r="AH75" s="407">
        <v>30.7</v>
      </c>
      <c r="AI75" s="408">
        <v>0.71</v>
      </c>
      <c r="AJ75" s="407">
        <v>15</v>
      </c>
      <c r="AK75" s="409">
        <v>1.19</v>
      </c>
      <c r="AL75" s="410">
        <v>1.97</v>
      </c>
      <c r="AN75" s="50"/>
      <c r="AO75" s="100"/>
    </row>
    <row r="76" spans="1:38" ht="12.75">
      <c r="A76" s="443" t="s">
        <v>1032</v>
      </c>
      <c r="B76" s="179">
        <f t="shared" si="24"/>
        <v>0.21875</v>
      </c>
      <c r="C76" s="10"/>
      <c r="D76" s="441" t="str">
        <f t="shared" si="25"/>
        <v>a = (aL)/L</v>
      </c>
      <c r="E76" s="10"/>
      <c r="F76" s="10"/>
      <c r="G76" s="10"/>
      <c r="H76" s="10"/>
      <c r="I76" s="389"/>
      <c r="M76" s="467" t="s">
        <v>18</v>
      </c>
      <c r="N76" s="468">
        <v>0</v>
      </c>
      <c r="O76" s="140">
        <v>0.1</v>
      </c>
      <c r="P76" s="140">
        <v>0.2</v>
      </c>
      <c r="Q76" s="469">
        <v>0.3</v>
      </c>
      <c r="R76" s="140">
        <v>0.4</v>
      </c>
      <c r="S76" s="469">
        <v>0.5</v>
      </c>
      <c r="T76" s="140">
        <v>0.6</v>
      </c>
      <c r="U76" s="469">
        <v>0.7</v>
      </c>
      <c r="V76" s="140">
        <v>0.8</v>
      </c>
      <c r="W76" s="469">
        <v>0.9</v>
      </c>
      <c r="X76" s="140">
        <v>1</v>
      </c>
      <c r="Y76" s="469">
        <v>1.2</v>
      </c>
      <c r="Z76" s="140">
        <v>1.4</v>
      </c>
      <c r="AA76" s="140">
        <v>1.6</v>
      </c>
      <c r="AB76" s="469">
        <v>1.8</v>
      </c>
      <c r="AC76" s="140">
        <v>2</v>
      </c>
      <c r="AF76" s="405" t="s">
        <v>766</v>
      </c>
      <c r="AG76" s="406">
        <v>51</v>
      </c>
      <c r="AH76" s="407">
        <v>30.4</v>
      </c>
      <c r="AI76" s="408">
        <v>0.655</v>
      </c>
      <c r="AJ76" s="407">
        <v>15</v>
      </c>
      <c r="AK76" s="409">
        <v>1.07</v>
      </c>
      <c r="AL76" s="410">
        <v>1.85</v>
      </c>
    </row>
    <row r="77" spans="1:41" ht="12.75">
      <c r="A77" s="443" t="s">
        <v>460</v>
      </c>
      <c r="B77" s="179">
        <f t="shared" si="24"/>
        <v>0.20833333333333334</v>
      </c>
      <c r="C77" s="10"/>
      <c r="D77" s="441" t="str">
        <f t="shared" si="25"/>
        <v>k = (kL)/L</v>
      </c>
      <c r="E77" s="10"/>
      <c r="F77" s="10"/>
      <c r="G77" s="10"/>
      <c r="H77" s="10"/>
      <c r="I77" s="389"/>
      <c r="M77" s="471">
        <v>0</v>
      </c>
      <c r="N77" s="472">
        <v>1.53</v>
      </c>
      <c r="O77" s="473">
        <v>2.09</v>
      </c>
      <c r="P77" s="474">
        <v>2.64</v>
      </c>
      <c r="Q77" s="318">
        <v>3.2</v>
      </c>
      <c r="R77" s="474">
        <v>3.76</v>
      </c>
      <c r="S77" s="474">
        <v>4.32</v>
      </c>
      <c r="T77" s="474">
        <v>4.87</v>
      </c>
      <c r="U77" s="474">
        <v>5.43</v>
      </c>
      <c r="V77" s="474">
        <v>5.99</v>
      </c>
      <c r="W77" s="474">
        <v>6.54</v>
      </c>
      <c r="X77" s="318">
        <v>7.1</v>
      </c>
      <c r="Y77" s="474">
        <v>8.21</v>
      </c>
      <c r="Z77" s="475">
        <v>9.33</v>
      </c>
      <c r="AA77" s="474">
        <v>10.4</v>
      </c>
      <c r="AB77" s="474">
        <v>11.6</v>
      </c>
      <c r="AC77" s="476">
        <v>12.7</v>
      </c>
      <c r="AF77" s="405" t="s">
        <v>767</v>
      </c>
      <c r="AG77" s="406">
        <v>43.5</v>
      </c>
      <c r="AH77" s="407">
        <v>30.7</v>
      </c>
      <c r="AI77" s="408">
        <v>0.65</v>
      </c>
      <c r="AJ77" s="407">
        <v>10.5</v>
      </c>
      <c r="AK77" s="409">
        <v>1.18</v>
      </c>
      <c r="AL77" s="410">
        <v>1.83</v>
      </c>
      <c r="AN77" s="50"/>
      <c r="AO77" s="100"/>
    </row>
    <row r="78" spans="1:41" ht="12.75">
      <c r="A78" s="443" t="s">
        <v>381</v>
      </c>
      <c r="B78" s="179">
        <f t="shared" si="24"/>
        <v>1</v>
      </c>
      <c r="C78" s="10"/>
      <c r="D78" s="441" t="str">
        <f t="shared" si="25"/>
        <v>C1 = 1.0 for E70XX electrode</v>
      </c>
      <c r="E78" s="10"/>
      <c r="F78" s="10"/>
      <c r="G78" s="10"/>
      <c r="H78" s="10"/>
      <c r="I78" s="389"/>
      <c r="M78" s="477">
        <v>0.1</v>
      </c>
      <c r="N78" s="478">
        <v>1.86</v>
      </c>
      <c r="O78" s="479">
        <v>2.28</v>
      </c>
      <c r="P78" s="480">
        <v>2.78</v>
      </c>
      <c r="Q78" s="320">
        <v>3.3</v>
      </c>
      <c r="R78" s="480">
        <v>3.84</v>
      </c>
      <c r="S78" s="480">
        <v>4.37</v>
      </c>
      <c r="T78" s="480">
        <v>4.92</v>
      </c>
      <c r="U78" s="480">
        <v>5.46</v>
      </c>
      <c r="V78" s="480">
        <v>6.01</v>
      </c>
      <c r="W78" s="480">
        <v>6.56</v>
      </c>
      <c r="X78" s="480">
        <v>7.11</v>
      </c>
      <c r="Y78" s="480">
        <v>8.21</v>
      </c>
      <c r="Z78" s="481">
        <v>9.32</v>
      </c>
      <c r="AA78" s="480">
        <v>10.4</v>
      </c>
      <c r="AB78" s="480">
        <v>11.5</v>
      </c>
      <c r="AC78" s="482">
        <v>12.6</v>
      </c>
      <c r="AF78" s="405" t="s">
        <v>768</v>
      </c>
      <c r="AG78" s="406">
        <v>38.9</v>
      </c>
      <c r="AH78" s="407">
        <v>30.3</v>
      </c>
      <c r="AI78" s="408">
        <v>0.615</v>
      </c>
      <c r="AJ78" s="407">
        <v>10.5</v>
      </c>
      <c r="AK78" s="409">
        <v>1</v>
      </c>
      <c r="AL78" s="410">
        <v>1.65</v>
      </c>
      <c r="AN78" s="50"/>
      <c r="AO78" s="100"/>
    </row>
    <row r="79" spans="1:41" ht="12.75">
      <c r="A79" s="443" t="s">
        <v>19</v>
      </c>
      <c r="B79" s="179">
        <f t="shared" si="24"/>
        <v>2.6240625</v>
      </c>
      <c r="C79" s="10"/>
      <c r="D79" s="449" t="str">
        <f t="shared" si="25"/>
        <v>C = "C" coefficient interpolated from AISC Table 8-8, pages 8-90 through 8-95)</v>
      </c>
      <c r="E79" s="10"/>
      <c r="F79" s="10"/>
      <c r="G79" s="10"/>
      <c r="H79" s="10"/>
      <c r="I79" s="389"/>
      <c r="M79" s="483">
        <v>0.15</v>
      </c>
      <c r="N79" s="478">
        <v>1.83</v>
      </c>
      <c r="O79" s="479">
        <v>2.25</v>
      </c>
      <c r="P79" s="480">
        <v>2.73</v>
      </c>
      <c r="Q79" s="480">
        <v>3.23</v>
      </c>
      <c r="R79" s="480">
        <v>3.75</v>
      </c>
      <c r="S79" s="480">
        <v>4.27</v>
      </c>
      <c r="T79" s="320">
        <v>4.8</v>
      </c>
      <c r="U79" s="480">
        <v>5.33</v>
      </c>
      <c r="V79" s="480">
        <v>5.87</v>
      </c>
      <c r="W79" s="320">
        <v>6.4</v>
      </c>
      <c r="X79" s="480">
        <v>6.94</v>
      </c>
      <c r="Y79" s="480">
        <v>8.02</v>
      </c>
      <c r="Z79" s="481">
        <v>9.12</v>
      </c>
      <c r="AA79" s="480">
        <v>10.2</v>
      </c>
      <c r="AB79" s="480">
        <v>11.3</v>
      </c>
      <c r="AC79" s="482">
        <v>12.4</v>
      </c>
      <c r="AF79" s="405" t="s">
        <v>769</v>
      </c>
      <c r="AG79" s="406">
        <v>36.5</v>
      </c>
      <c r="AH79" s="407">
        <v>30.2</v>
      </c>
      <c r="AI79" s="408">
        <v>0.585</v>
      </c>
      <c r="AJ79" s="407">
        <v>10.5</v>
      </c>
      <c r="AK79" s="408">
        <v>0.93</v>
      </c>
      <c r="AL79" s="410">
        <v>1.58</v>
      </c>
      <c r="AN79" s="50"/>
      <c r="AO79" s="100"/>
    </row>
    <row r="80" spans="1:41" ht="12.75">
      <c r="A80" s="77" t="s">
        <v>32</v>
      </c>
      <c r="B80" s="179">
        <f t="shared" si="24"/>
        <v>40.311288741492746</v>
      </c>
      <c r="C80" s="113" t="s">
        <v>237</v>
      </c>
      <c r="D80" s="441" t="str">
        <f t="shared" si="25"/>
        <v>Pr = SQRT(R^2+P^2)  (total resultant load taken by 2 "C" welds)</v>
      </c>
      <c r="E80" s="55"/>
      <c r="F80" s="10"/>
      <c r="G80" s="10"/>
      <c r="H80" s="10"/>
      <c r="I80" s="389"/>
      <c r="M80" s="483">
        <v>0.2</v>
      </c>
      <c r="N80" s="478">
        <v>1.76</v>
      </c>
      <c r="O80" s="479">
        <v>2.18</v>
      </c>
      <c r="P80" s="480">
        <v>2.63</v>
      </c>
      <c r="Q80" s="480">
        <v>3.11</v>
      </c>
      <c r="R80" s="320">
        <v>3.6</v>
      </c>
      <c r="S80" s="480">
        <v>4.1</v>
      </c>
      <c r="T80" s="480">
        <v>4.61</v>
      </c>
      <c r="U80" s="480">
        <v>5.13</v>
      </c>
      <c r="V80" s="480">
        <v>5.64</v>
      </c>
      <c r="W80" s="480">
        <v>6.16</v>
      </c>
      <c r="X80" s="480">
        <v>6.65</v>
      </c>
      <c r="Y80" s="480">
        <v>7.73</v>
      </c>
      <c r="Z80" s="481">
        <v>8.78</v>
      </c>
      <c r="AA80" s="480">
        <v>9.83</v>
      </c>
      <c r="AB80" s="480">
        <v>10.9</v>
      </c>
      <c r="AC80" s="484">
        <v>12</v>
      </c>
      <c r="AF80" s="405" t="s">
        <v>770</v>
      </c>
      <c r="AG80" s="406">
        <v>34.2</v>
      </c>
      <c r="AH80" s="407">
        <v>30</v>
      </c>
      <c r="AI80" s="408">
        <v>0.565</v>
      </c>
      <c r="AJ80" s="407">
        <v>10.5</v>
      </c>
      <c r="AK80" s="408">
        <v>0.85</v>
      </c>
      <c r="AL80" s="410">
        <v>1.5</v>
      </c>
      <c r="AN80" s="50"/>
      <c r="AO80" s="100"/>
    </row>
    <row r="81" spans="1:41" ht="12.75">
      <c r="A81" s="81" t="s">
        <v>50</v>
      </c>
      <c r="B81" s="179">
        <f>$N$28</f>
        <v>7.125016348901795</v>
      </c>
      <c r="C81" s="113" t="s">
        <v>269</v>
      </c>
      <c r="D81" s="96" t="s">
        <v>364</v>
      </c>
      <c r="E81" s="55"/>
      <c r="F81" s="10"/>
      <c r="G81" s="10"/>
      <c r="H81" s="10"/>
      <c r="I81" s="389"/>
      <c r="M81" s="483">
        <v>0.25</v>
      </c>
      <c r="N81" s="478">
        <v>1.66</v>
      </c>
      <c r="O81" s="479">
        <v>2.07</v>
      </c>
      <c r="P81" s="480">
        <v>2.51</v>
      </c>
      <c r="Q81" s="480">
        <v>2.96</v>
      </c>
      <c r="R81" s="480">
        <v>3.42</v>
      </c>
      <c r="S81" s="480">
        <v>3.9</v>
      </c>
      <c r="T81" s="480">
        <v>4.38</v>
      </c>
      <c r="U81" s="480">
        <v>4.87</v>
      </c>
      <c r="V81" s="480">
        <v>5.37</v>
      </c>
      <c r="W81" s="480">
        <v>5.86</v>
      </c>
      <c r="X81" s="480">
        <v>6.36</v>
      </c>
      <c r="Y81" s="480">
        <v>7.37</v>
      </c>
      <c r="Z81" s="481">
        <v>8.39</v>
      </c>
      <c r="AA81" s="480">
        <v>9.42</v>
      </c>
      <c r="AB81" s="480">
        <v>10.5</v>
      </c>
      <c r="AC81" s="482">
        <v>11.5</v>
      </c>
      <c r="AF81" s="405" t="s">
        <v>771</v>
      </c>
      <c r="AG81" s="406">
        <v>31.7</v>
      </c>
      <c r="AH81" s="407">
        <v>29.8</v>
      </c>
      <c r="AI81" s="408">
        <v>0.545</v>
      </c>
      <c r="AJ81" s="407">
        <v>10.5</v>
      </c>
      <c r="AK81" s="408">
        <v>0.76</v>
      </c>
      <c r="AL81" s="410">
        <v>1.41</v>
      </c>
      <c r="AN81" s="50"/>
      <c r="AO81" s="100"/>
    </row>
    <row r="82" spans="1:41" ht="12.75">
      <c r="A82" s="525" t="s">
        <v>517</v>
      </c>
      <c r="B82" s="179">
        <f>$N$29</f>
        <v>0</v>
      </c>
      <c r="C82" s="10"/>
      <c r="D82" s="526" t="s">
        <v>542</v>
      </c>
      <c r="E82" s="10"/>
      <c r="F82" s="10"/>
      <c r="G82" s="10"/>
      <c r="H82" s="10"/>
      <c r="I82" s="389"/>
      <c r="M82" s="483">
        <v>0.3</v>
      </c>
      <c r="N82" s="478">
        <v>1.55</v>
      </c>
      <c r="O82" s="479">
        <v>1.95</v>
      </c>
      <c r="P82" s="480">
        <v>2.36</v>
      </c>
      <c r="Q82" s="480">
        <v>2.79</v>
      </c>
      <c r="R82" s="480">
        <v>3.23</v>
      </c>
      <c r="S82" s="480">
        <v>3.68</v>
      </c>
      <c r="T82" s="480">
        <v>4.14</v>
      </c>
      <c r="U82" s="320">
        <v>4.6</v>
      </c>
      <c r="V82" s="480">
        <v>5.07</v>
      </c>
      <c r="W82" s="480">
        <v>5.55</v>
      </c>
      <c r="X82" s="480">
        <v>6.03</v>
      </c>
      <c r="Y82" s="480">
        <v>7.01</v>
      </c>
      <c r="Z82" s="485">
        <v>8</v>
      </c>
      <c r="AA82" s="320">
        <v>9</v>
      </c>
      <c r="AB82" s="486">
        <v>10</v>
      </c>
      <c r="AC82" s="484">
        <v>11</v>
      </c>
      <c r="AF82" s="405" t="s">
        <v>772</v>
      </c>
      <c r="AG82" s="406">
        <v>29.1</v>
      </c>
      <c r="AH82" s="407">
        <v>29.7</v>
      </c>
      <c r="AI82" s="408">
        <v>0.52</v>
      </c>
      <c r="AJ82" s="407">
        <v>10.5</v>
      </c>
      <c r="AK82" s="408">
        <v>0.67</v>
      </c>
      <c r="AL82" s="410">
        <v>1.32</v>
      </c>
      <c r="AN82" s="50"/>
      <c r="AO82" s="100"/>
    </row>
    <row r="83" spans="1:41" ht="12.75">
      <c r="A83" s="81" t="s">
        <v>362</v>
      </c>
      <c r="B83" s="176">
        <f>$N$30</f>
        <v>0.08001129121807937</v>
      </c>
      <c r="C83" s="113" t="s">
        <v>393</v>
      </c>
      <c r="D83" s="82" t="s">
        <v>362</v>
      </c>
      <c r="E83" s="52" t="s">
        <v>491</v>
      </c>
      <c r="F83" s="10"/>
      <c r="G83" s="10"/>
      <c r="H83" s="10"/>
      <c r="I83" s="389"/>
      <c r="M83" s="483">
        <v>0.4</v>
      </c>
      <c r="N83" s="478">
        <v>1.33</v>
      </c>
      <c r="O83" s="479">
        <v>1.69</v>
      </c>
      <c r="P83" s="480">
        <v>2.07</v>
      </c>
      <c r="Q83" s="480">
        <v>2.45</v>
      </c>
      <c r="R83" s="480">
        <v>2.84</v>
      </c>
      <c r="S83" s="480">
        <v>3.24</v>
      </c>
      <c r="T83" s="480">
        <v>3.65</v>
      </c>
      <c r="U83" s="480">
        <v>4.07</v>
      </c>
      <c r="V83" s="320">
        <v>4.5</v>
      </c>
      <c r="W83" s="480">
        <v>4.94</v>
      </c>
      <c r="X83" s="480">
        <v>5.39</v>
      </c>
      <c r="Y83" s="320">
        <v>6.3</v>
      </c>
      <c r="Z83" s="481">
        <v>7.24</v>
      </c>
      <c r="AA83" s="480">
        <v>8.19</v>
      </c>
      <c r="AB83" s="480">
        <v>9.16</v>
      </c>
      <c r="AC83" s="482">
        <v>10.1</v>
      </c>
      <c r="AF83" s="405" t="s">
        <v>773</v>
      </c>
      <c r="AG83" s="406">
        <v>26.4</v>
      </c>
      <c r="AH83" s="407">
        <v>29.5</v>
      </c>
      <c r="AI83" s="408">
        <v>0.47</v>
      </c>
      <c r="AJ83" s="407">
        <v>10.4</v>
      </c>
      <c r="AK83" s="408">
        <v>0.61</v>
      </c>
      <c r="AL83" s="410">
        <v>1.26</v>
      </c>
      <c r="AN83" s="50"/>
      <c r="AO83" s="100"/>
    </row>
    <row r="84" spans="1:41" ht="12.75">
      <c r="A84" s="81" t="s">
        <v>21</v>
      </c>
      <c r="B84" s="437">
        <f>$N$31</f>
        <v>0.1875</v>
      </c>
      <c r="C84" s="113" t="s">
        <v>268</v>
      </c>
      <c r="D84" s="82" t="s">
        <v>0</v>
      </c>
      <c r="E84" s="10"/>
      <c r="F84" s="10"/>
      <c r="G84" s="10"/>
      <c r="H84" s="10"/>
      <c r="I84" s="389"/>
      <c r="M84" s="483">
        <v>0.5</v>
      </c>
      <c r="N84" s="478">
        <v>1.15</v>
      </c>
      <c r="O84" s="479">
        <v>1.46</v>
      </c>
      <c r="P84" s="480">
        <v>1.79</v>
      </c>
      <c r="Q84" s="480">
        <v>2.14</v>
      </c>
      <c r="R84" s="480">
        <v>2.49</v>
      </c>
      <c r="S84" s="480">
        <v>2.85</v>
      </c>
      <c r="T84" s="480">
        <v>3.22</v>
      </c>
      <c r="U84" s="320">
        <v>3.6</v>
      </c>
      <c r="V84" s="320">
        <v>4</v>
      </c>
      <c r="W84" s="320">
        <v>4.4</v>
      </c>
      <c r="X84" s="480">
        <v>4.81</v>
      </c>
      <c r="Y84" s="480">
        <v>5.67</v>
      </c>
      <c r="Z84" s="481">
        <v>6.56</v>
      </c>
      <c r="AA84" s="480">
        <v>7.47</v>
      </c>
      <c r="AB84" s="320">
        <v>8.4</v>
      </c>
      <c r="AC84" s="482">
        <v>9.35</v>
      </c>
      <c r="AF84" s="405" t="s">
        <v>774</v>
      </c>
      <c r="AG84" s="411">
        <v>159</v>
      </c>
      <c r="AH84" s="407">
        <v>32.5</v>
      </c>
      <c r="AI84" s="409">
        <v>1.97</v>
      </c>
      <c r="AJ84" s="407">
        <v>15.3</v>
      </c>
      <c r="AK84" s="409">
        <v>3.54</v>
      </c>
      <c r="AL84" s="410">
        <v>4.33</v>
      </c>
      <c r="AN84" s="50"/>
      <c r="AO84" s="100"/>
    </row>
    <row r="85" spans="1:38" ht="12.75">
      <c r="A85" s="77" t="s">
        <v>427</v>
      </c>
      <c r="B85" s="179">
        <f>$N$32</f>
        <v>125.955</v>
      </c>
      <c r="C85" s="113" t="s">
        <v>237</v>
      </c>
      <c r="D85" s="63" t="s">
        <v>492</v>
      </c>
      <c r="E85" s="55"/>
      <c r="F85" s="10"/>
      <c r="G85" s="10"/>
      <c r="H85" s="10"/>
      <c r="I85" s="389"/>
      <c r="M85" s="483">
        <v>0.6</v>
      </c>
      <c r="N85" s="478">
        <v>0.997</v>
      </c>
      <c r="O85" s="479">
        <v>1.27</v>
      </c>
      <c r="P85" s="480">
        <v>1.57</v>
      </c>
      <c r="Q85" s="480">
        <v>1.88</v>
      </c>
      <c r="R85" s="480">
        <v>2.19</v>
      </c>
      <c r="S85" s="480">
        <v>2.52</v>
      </c>
      <c r="T85" s="480">
        <v>2.85</v>
      </c>
      <c r="U85" s="320">
        <v>3.2</v>
      </c>
      <c r="V85" s="480">
        <v>3.56</v>
      </c>
      <c r="W85" s="480">
        <v>3.94</v>
      </c>
      <c r="X85" s="480">
        <v>4.32</v>
      </c>
      <c r="Y85" s="480">
        <v>5.13</v>
      </c>
      <c r="Z85" s="481">
        <v>5.97</v>
      </c>
      <c r="AA85" s="480">
        <v>6.84</v>
      </c>
      <c r="AB85" s="480">
        <v>7.73</v>
      </c>
      <c r="AC85" s="482">
        <v>8.65</v>
      </c>
      <c r="AF85" s="405" t="s">
        <v>775</v>
      </c>
      <c r="AG85" s="411">
        <v>108</v>
      </c>
      <c r="AH85" s="407">
        <v>30.4</v>
      </c>
      <c r="AI85" s="409">
        <v>1.38</v>
      </c>
      <c r="AJ85" s="407">
        <v>14.7</v>
      </c>
      <c r="AK85" s="409">
        <v>2.48</v>
      </c>
      <c r="AL85" s="410">
        <v>3.27</v>
      </c>
    </row>
    <row r="86" spans="1:38" ht="12.75">
      <c r="A86" s="443" t="s">
        <v>625</v>
      </c>
      <c r="B86" s="435">
        <f>$N$33</f>
        <v>0.3809230769230769</v>
      </c>
      <c r="C86" s="113" t="s">
        <v>268</v>
      </c>
      <c r="D86" s="459" t="s">
        <v>1179</v>
      </c>
      <c r="E86" s="10"/>
      <c r="F86" s="10"/>
      <c r="G86" s="59"/>
      <c r="H86" s="10"/>
      <c r="I86" s="389"/>
      <c r="M86" s="483">
        <v>0.7</v>
      </c>
      <c r="N86" s="478">
        <v>0.879</v>
      </c>
      <c r="O86" s="479">
        <v>1.12</v>
      </c>
      <c r="P86" s="480">
        <v>1.38</v>
      </c>
      <c r="Q86" s="480">
        <v>1.66</v>
      </c>
      <c r="R86" s="480">
        <v>1.95</v>
      </c>
      <c r="S86" s="480">
        <v>2.24</v>
      </c>
      <c r="T86" s="480">
        <v>2.55</v>
      </c>
      <c r="U86" s="480">
        <v>2.87</v>
      </c>
      <c r="V86" s="320">
        <v>3.2</v>
      </c>
      <c r="W86" s="480">
        <v>3.55</v>
      </c>
      <c r="X86" s="480">
        <v>3.91</v>
      </c>
      <c r="Y86" s="480">
        <v>4.66</v>
      </c>
      <c r="Z86" s="481">
        <v>5.46</v>
      </c>
      <c r="AA86" s="480">
        <v>6.29</v>
      </c>
      <c r="AB86" s="480">
        <v>7.15</v>
      </c>
      <c r="AC86" s="482">
        <v>8.04</v>
      </c>
      <c r="AF86" s="405" t="s">
        <v>776</v>
      </c>
      <c r="AG86" s="406">
        <v>98.9</v>
      </c>
      <c r="AH86" s="407">
        <v>30</v>
      </c>
      <c r="AI86" s="409">
        <v>1.26</v>
      </c>
      <c r="AJ86" s="407">
        <v>14.6</v>
      </c>
      <c r="AK86" s="409">
        <v>2.28</v>
      </c>
      <c r="AL86" s="410">
        <v>3.07</v>
      </c>
    </row>
    <row r="87" spans="1:38" ht="12.75">
      <c r="A87" s="443" t="s">
        <v>648</v>
      </c>
      <c r="B87" s="179" t="str">
        <f>$N$34</f>
        <v>Yes</v>
      </c>
      <c r="C87" s="10"/>
      <c r="D87" s="441" t="str">
        <f>P34</f>
        <v>Is tmin &gt; twb?  If so, Rwr' = Rwr* twb / tmin.  If not, Rwr' = Rwr</v>
      </c>
      <c r="E87" s="10"/>
      <c r="F87" s="10"/>
      <c r="G87" s="10"/>
      <c r="H87" s="10"/>
      <c r="I87" s="389"/>
      <c r="M87" s="483">
        <v>0.8</v>
      </c>
      <c r="N87" s="478">
        <v>0.781</v>
      </c>
      <c r="O87" s="479">
        <v>0.995</v>
      </c>
      <c r="P87" s="480">
        <v>1.23</v>
      </c>
      <c r="Q87" s="480">
        <v>1.48</v>
      </c>
      <c r="R87" s="480">
        <v>1.75</v>
      </c>
      <c r="S87" s="480">
        <v>2.02</v>
      </c>
      <c r="T87" s="320">
        <v>2.3</v>
      </c>
      <c r="U87" s="480">
        <v>2.59</v>
      </c>
      <c r="V87" s="320">
        <v>2.9</v>
      </c>
      <c r="W87" s="480">
        <v>3.22</v>
      </c>
      <c r="X87" s="480">
        <v>3.56</v>
      </c>
      <c r="Y87" s="480">
        <v>4.27</v>
      </c>
      <c r="Z87" s="481">
        <v>5.02</v>
      </c>
      <c r="AA87" s="480">
        <v>5.81</v>
      </c>
      <c r="AB87" s="480">
        <v>6.64</v>
      </c>
      <c r="AC87" s="321">
        <v>7.5</v>
      </c>
      <c r="AF87" s="405" t="s">
        <v>777</v>
      </c>
      <c r="AG87" s="406">
        <v>90.4</v>
      </c>
      <c r="AH87" s="407">
        <v>29.6</v>
      </c>
      <c r="AI87" s="409">
        <v>1.16</v>
      </c>
      <c r="AJ87" s="407">
        <v>14.4</v>
      </c>
      <c r="AK87" s="409">
        <v>2.09</v>
      </c>
      <c r="AL87" s="410">
        <v>2.88</v>
      </c>
    </row>
    <row r="88" spans="1:38" ht="12.75">
      <c r="A88" s="443" t="s">
        <v>624</v>
      </c>
      <c r="B88" s="179">
        <f>$N$35</f>
        <v>117.38334511308562</v>
      </c>
      <c r="C88" s="113" t="s">
        <v>237</v>
      </c>
      <c r="D88" s="441" t="str">
        <f>P35</f>
        <v>Rwr' = Rwr*twb/tmin</v>
      </c>
      <c r="E88" s="10"/>
      <c r="F88" s="10"/>
      <c r="G88" s="10"/>
      <c r="H88" s="10"/>
      <c r="I88" s="389"/>
      <c r="M88" s="483">
        <v>0.9</v>
      </c>
      <c r="N88" s="478">
        <v>0.709</v>
      </c>
      <c r="O88" s="479">
        <v>0.895</v>
      </c>
      <c r="P88" s="480">
        <v>1.11</v>
      </c>
      <c r="Q88" s="480">
        <v>1.33</v>
      </c>
      <c r="R88" s="480">
        <v>1.58</v>
      </c>
      <c r="S88" s="480">
        <v>1.83</v>
      </c>
      <c r="T88" s="480">
        <v>2.09</v>
      </c>
      <c r="U88" s="480">
        <v>2.36</v>
      </c>
      <c r="V88" s="480">
        <v>2.64</v>
      </c>
      <c r="W88" s="480">
        <v>2.94</v>
      </c>
      <c r="X88" s="480">
        <v>3.26</v>
      </c>
      <c r="Y88" s="480">
        <v>3.93</v>
      </c>
      <c r="Z88" s="481">
        <v>4.64</v>
      </c>
      <c r="AA88" s="320">
        <v>5.4</v>
      </c>
      <c r="AB88" s="480">
        <v>6.18</v>
      </c>
      <c r="AC88" s="321">
        <v>7</v>
      </c>
      <c r="AF88" s="405" t="s">
        <v>778</v>
      </c>
      <c r="AG88" s="406">
        <v>82.9</v>
      </c>
      <c r="AH88" s="407">
        <v>29.3</v>
      </c>
      <c r="AI88" s="409">
        <v>1.06</v>
      </c>
      <c r="AJ88" s="407">
        <v>14.4</v>
      </c>
      <c r="AK88" s="409">
        <v>1.93</v>
      </c>
      <c r="AL88" s="410">
        <v>2.72</v>
      </c>
    </row>
    <row r="89" spans="1:41" ht="12.75">
      <c r="A89" s="443" t="s">
        <v>428</v>
      </c>
      <c r="B89" s="179">
        <f>$N$36</f>
        <v>116.47689645036027</v>
      </c>
      <c r="C89" s="113" t="s">
        <v>237</v>
      </c>
      <c r="D89" s="455" t="s">
        <v>637</v>
      </c>
      <c r="E89" s="10"/>
      <c r="F89" s="10"/>
      <c r="G89" s="10"/>
      <c r="H89" s="10"/>
      <c r="I89" s="389" t="str">
        <f>IF($D$16&gt;0,IF($B$89&gt;=$D$16,"Rwv &gt;= R,  O.K.  ","Rwv &lt; R, N.G.  "),"")</f>
        <v>Rwv &gt;= R,  O.K.  </v>
      </c>
      <c r="M89" s="487">
        <v>1</v>
      </c>
      <c r="N89" s="478">
        <v>0.637</v>
      </c>
      <c r="O89" s="479">
        <v>0.712</v>
      </c>
      <c r="P89" s="320">
        <v>1</v>
      </c>
      <c r="Q89" s="480">
        <v>1.21</v>
      </c>
      <c r="R89" s="480">
        <v>1.44</v>
      </c>
      <c r="S89" s="480">
        <v>1.67</v>
      </c>
      <c r="T89" s="480">
        <v>1.91</v>
      </c>
      <c r="U89" s="480">
        <v>2.16</v>
      </c>
      <c r="V89" s="480">
        <v>2.43</v>
      </c>
      <c r="W89" s="480">
        <v>2.71</v>
      </c>
      <c r="X89" s="480">
        <v>3.01</v>
      </c>
      <c r="Y89" s="480">
        <v>3.63</v>
      </c>
      <c r="Z89" s="481">
        <v>4.31</v>
      </c>
      <c r="AA89" s="480">
        <v>5.02</v>
      </c>
      <c r="AB89" s="480">
        <v>5.77</v>
      </c>
      <c r="AC89" s="482">
        <v>6.56</v>
      </c>
      <c r="AF89" s="405" t="s">
        <v>779</v>
      </c>
      <c r="AG89" s="406">
        <v>76</v>
      </c>
      <c r="AH89" s="407">
        <v>29</v>
      </c>
      <c r="AI89" s="408">
        <v>0.98</v>
      </c>
      <c r="AJ89" s="407">
        <v>14.3</v>
      </c>
      <c r="AK89" s="409">
        <v>1.77</v>
      </c>
      <c r="AL89" s="410">
        <v>2.56</v>
      </c>
      <c r="AN89" s="50" t="s">
        <v>388</v>
      </c>
      <c r="AO89" s="100">
        <f>IF($D$16&gt;0,$D$16/$B$89,"")</f>
        <v>0.34341574354230037</v>
      </c>
    </row>
    <row r="90" spans="1:41" ht="12.75">
      <c r="A90" s="443" t="s">
        <v>429</v>
      </c>
      <c r="B90" s="183">
        <f>$N$37</f>
        <v>14.55961205629503</v>
      </c>
      <c r="C90" s="113" t="s">
        <v>237</v>
      </c>
      <c r="D90" s="455" t="s">
        <v>638</v>
      </c>
      <c r="E90" s="10"/>
      <c r="F90" s="10"/>
      <c r="G90" s="10"/>
      <c r="H90" s="10"/>
      <c r="I90" s="389" t="str">
        <f>IF($D$17&gt;0,IF($B$90&gt;=$D$17,"Rwa &gt;= P,  O.K.  ","Rwa &lt; P, N.G.  "),"")</f>
        <v>Rwa &gt;= P,  O.K.  </v>
      </c>
      <c r="M90" s="487">
        <v>1.2</v>
      </c>
      <c r="N90" s="478">
        <v>0.537</v>
      </c>
      <c r="O90" s="479">
        <v>0.683</v>
      </c>
      <c r="P90" s="480">
        <v>0.844</v>
      </c>
      <c r="Q90" s="480">
        <v>1.02</v>
      </c>
      <c r="R90" s="480">
        <v>1.21</v>
      </c>
      <c r="S90" s="480">
        <v>1.42</v>
      </c>
      <c r="T90" s="480">
        <v>1.63</v>
      </c>
      <c r="U90" s="480">
        <v>1.85</v>
      </c>
      <c r="V90" s="480">
        <v>2.08</v>
      </c>
      <c r="W90" s="480">
        <v>2.33</v>
      </c>
      <c r="X90" s="480">
        <v>2.59</v>
      </c>
      <c r="Y90" s="480">
        <v>3.15</v>
      </c>
      <c r="Z90" s="481">
        <v>3.75</v>
      </c>
      <c r="AA90" s="480">
        <v>4.39</v>
      </c>
      <c r="AB90" s="480">
        <v>5.07</v>
      </c>
      <c r="AC90" s="482">
        <v>5.78</v>
      </c>
      <c r="AF90" s="405" t="s">
        <v>780</v>
      </c>
      <c r="AG90" s="406">
        <v>69.4</v>
      </c>
      <c r="AH90" s="407">
        <v>28.7</v>
      </c>
      <c r="AI90" s="408">
        <v>0.91</v>
      </c>
      <c r="AJ90" s="407">
        <v>14.2</v>
      </c>
      <c r="AK90" s="409">
        <v>1.61</v>
      </c>
      <c r="AL90" s="410">
        <v>2.4</v>
      </c>
      <c r="AN90" s="50" t="str">
        <f>IF(AO90="","N.A.","SR =")</f>
        <v>SR =</v>
      </c>
      <c r="AO90" s="100">
        <f>IF($D$17&gt;0,$D$17/$B$90,"")</f>
        <v>0.3434157435423005</v>
      </c>
    </row>
    <row r="91" spans="1:41" ht="12.75">
      <c r="A91" s="19"/>
      <c r="B91" s="10"/>
      <c r="C91" s="10"/>
      <c r="D91" s="10"/>
      <c r="E91" s="10"/>
      <c r="F91" s="10"/>
      <c r="G91" s="10"/>
      <c r="H91" s="10"/>
      <c r="I91" s="389" t="str">
        <f>IF($D$24&gt;=$B$83,"Weld(used) &gt;= weld(req'd), O.K.  ","Weld(used) &lt; weld(req'd), N.G.  ")</f>
        <v>Weld(used) &gt;= weld(req'd), O.K.  </v>
      </c>
      <c r="M91" s="487">
        <v>1.4</v>
      </c>
      <c r="N91" s="478">
        <v>0.464</v>
      </c>
      <c r="O91" s="479">
        <v>0.588</v>
      </c>
      <c r="P91" s="480">
        <v>0.728</v>
      </c>
      <c r="Q91" s="480">
        <v>0.881</v>
      </c>
      <c r="R91" s="480">
        <v>1.05</v>
      </c>
      <c r="S91" s="480">
        <v>1.23</v>
      </c>
      <c r="T91" s="480">
        <v>1.41</v>
      </c>
      <c r="U91" s="480">
        <v>1.61</v>
      </c>
      <c r="V91" s="480">
        <v>1.82</v>
      </c>
      <c r="W91" s="480">
        <v>2.04</v>
      </c>
      <c r="X91" s="480">
        <v>2.27</v>
      </c>
      <c r="Y91" s="480">
        <v>2.77</v>
      </c>
      <c r="Z91" s="481">
        <v>3.31</v>
      </c>
      <c r="AA91" s="480">
        <v>3.89</v>
      </c>
      <c r="AB91" s="320">
        <v>4.5</v>
      </c>
      <c r="AC91" s="482">
        <v>5.15</v>
      </c>
      <c r="AF91" s="405" t="s">
        <v>781</v>
      </c>
      <c r="AG91" s="406">
        <v>64</v>
      </c>
      <c r="AH91" s="407">
        <v>28.4</v>
      </c>
      <c r="AI91" s="408">
        <v>0.83</v>
      </c>
      <c r="AJ91" s="407">
        <v>14.1</v>
      </c>
      <c r="AK91" s="409">
        <v>1.5</v>
      </c>
      <c r="AL91" s="410">
        <v>2.29</v>
      </c>
      <c r="AN91" s="50" t="s">
        <v>388</v>
      </c>
      <c r="AO91" s="100">
        <f>$B$83/$D$24</f>
        <v>0.3200451648723175</v>
      </c>
    </row>
    <row r="92" spans="1:41" ht="12.75">
      <c r="A92" s="67" t="str">
        <f>$M$242</f>
        <v>  Shear Yielding Capacity of (2) Clip Angles at Beam Web:</v>
      </c>
      <c r="B92" s="45"/>
      <c r="C92" s="7"/>
      <c r="D92" s="45"/>
      <c r="E92" s="10"/>
      <c r="F92" s="10"/>
      <c r="G92" s="10"/>
      <c r="H92" s="10"/>
      <c r="I92" s="389"/>
      <c r="M92" s="487">
        <v>1.6</v>
      </c>
      <c r="N92" s="478">
        <v>0.407</v>
      </c>
      <c r="O92" s="479">
        <v>0.516</v>
      </c>
      <c r="P92" s="480">
        <v>0.639</v>
      </c>
      <c r="Q92" s="480">
        <v>0.775</v>
      </c>
      <c r="R92" s="480">
        <v>0.923</v>
      </c>
      <c r="S92" s="480">
        <v>1.08</v>
      </c>
      <c r="T92" s="480">
        <v>1.25</v>
      </c>
      <c r="U92" s="480">
        <v>1.43</v>
      </c>
      <c r="V92" s="480">
        <v>1.61</v>
      </c>
      <c r="W92" s="480">
        <v>1.81</v>
      </c>
      <c r="X92" s="480">
        <v>2.02</v>
      </c>
      <c r="Y92" s="480">
        <v>2.46</v>
      </c>
      <c r="Z92" s="481">
        <v>2.95</v>
      </c>
      <c r="AA92" s="480">
        <v>3.47</v>
      </c>
      <c r="AB92" s="480">
        <v>4.04</v>
      </c>
      <c r="AC92" s="482">
        <v>4.63</v>
      </c>
      <c r="AF92" s="405" t="s">
        <v>782</v>
      </c>
      <c r="AG92" s="406">
        <v>57.2</v>
      </c>
      <c r="AH92" s="407">
        <v>28.1</v>
      </c>
      <c r="AI92" s="408">
        <v>0.75</v>
      </c>
      <c r="AJ92" s="407">
        <v>14</v>
      </c>
      <c r="AK92" s="409">
        <v>1.34</v>
      </c>
      <c r="AL92" s="410">
        <v>2.13</v>
      </c>
      <c r="AN92" s="50"/>
      <c r="AO92" s="100"/>
    </row>
    <row r="93" spans="1:38" ht="12.75">
      <c r="A93" s="69" t="s">
        <v>75</v>
      </c>
      <c r="B93" s="184">
        <f>$N$243</f>
        <v>9</v>
      </c>
      <c r="C93" s="113" t="s">
        <v>243</v>
      </c>
      <c r="D93" s="52" t="str">
        <f>P243</f>
        <v>Avg = 2*L*ta</v>
      </c>
      <c r="E93" s="10"/>
      <c r="F93" s="10"/>
      <c r="G93" s="10"/>
      <c r="H93" s="59"/>
      <c r="I93" s="389"/>
      <c r="M93" s="487">
        <v>1.8</v>
      </c>
      <c r="N93" s="478">
        <v>0.363</v>
      </c>
      <c r="O93" s="324">
        <v>0.46</v>
      </c>
      <c r="P93" s="480">
        <v>0.569</v>
      </c>
      <c r="Q93" s="480">
        <v>0.691</v>
      </c>
      <c r="R93" s="480">
        <v>0.824</v>
      </c>
      <c r="S93" s="480">
        <v>0.969</v>
      </c>
      <c r="T93" s="480">
        <v>1.12</v>
      </c>
      <c r="U93" s="480">
        <v>1.28</v>
      </c>
      <c r="V93" s="480">
        <v>1.45</v>
      </c>
      <c r="W93" s="480">
        <v>1.62</v>
      </c>
      <c r="X93" s="480">
        <v>1.81</v>
      </c>
      <c r="Y93" s="480">
        <v>2.22</v>
      </c>
      <c r="Z93" s="481">
        <v>2.66</v>
      </c>
      <c r="AA93" s="480">
        <v>3.14</v>
      </c>
      <c r="AB93" s="480">
        <v>3.65</v>
      </c>
      <c r="AC93" s="321">
        <v>4.2</v>
      </c>
      <c r="AF93" s="405" t="s">
        <v>783</v>
      </c>
      <c r="AG93" s="406">
        <v>52.5</v>
      </c>
      <c r="AH93" s="407">
        <v>27.8</v>
      </c>
      <c r="AI93" s="408">
        <v>0.725</v>
      </c>
      <c r="AJ93" s="407">
        <v>14.1</v>
      </c>
      <c r="AK93" s="409">
        <v>1.19</v>
      </c>
      <c r="AL93" s="410">
        <v>1.98</v>
      </c>
    </row>
    <row r="94" spans="1:41" ht="12.75">
      <c r="A94" s="69" t="s">
        <v>252</v>
      </c>
      <c r="B94" s="183">
        <f>$N$244</f>
        <v>129.6</v>
      </c>
      <c r="C94" s="113" t="s">
        <v>237</v>
      </c>
      <c r="D94" s="52" t="str">
        <f>P244</f>
        <v>Rvg = (1/1.5)*0.60*Fya*Avg</v>
      </c>
      <c r="E94" s="10"/>
      <c r="F94" s="10"/>
      <c r="G94" s="10"/>
      <c r="H94" s="10"/>
      <c r="I94" s="389" t="str">
        <f>IF($B$94&gt;=$D$16,"Rvg &gt;= R,  O.K.  ","Rvg &lt; R, N.G.  ")</f>
        <v>Rvg &gt;= R,  O.K.  </v>
      </c>
      <c r="M94" s="487">
        <v>2</v>
      </c>
      <c r="N94" s="478">
        <v>0.327</v>
      </c>
      <c r="O94" s="488">
        <v>0.415</v>
      </c>
      <c r="P94" s="489">
        <v>0.513</v>
      </c>
      <c r="Q94" s="489">
        <v>0.623</v>
      </c>
      <c r="R94" s="489">
        <v>0.744</v>
      </c>
      <c r="S94" s="489">
        <v>0.876</v>
      </c>
      <c r="T94" s="489">
        <v>1.01</v>
      </c>
      <c r="U94" s="489">
        <v>1.16</v>
      </c>
      <c r="V94" s="489">
        <v>1.31</v>
      </c>
      <c r="W94" s="489">
        <v>1.47</v>
      </c>
      <c r="X94" s="489">
        <v>1.64</v>
      </c>
      <c r="Y94" s="489">
        <v>2.01</v>
      </c>
      <c r="Z94" s="490">
        <v>2.42</v>
      </c>
      <c r="AA94" s="489">
        <v>2.86</v>
      </c>
      <c r="AB94" s="489">
        <v>3.33</v>
      </c>
      <c r="AC94" s="491">
        <v>3.85</v>
      </c>
      <c r="AF94" s="405" t="s">
        <v>784</v>
      </c>
      <c r="AG94" s="406">
        <v>47.6</v>
      </c>
      <c r="AH94" s="407">
        <v>27.6</v>
      </c>
      <c r="AI94" s="408">
        <v>0.66</v>
      </c>
      <c r="AJ94" s="407">
        <v>14</v>
      </c>
      <c r="AK94" s="409">
        <v>1.08</v>
      </c>
      <c r="AL94" s="410">
        <v>1.87</v>
      </c>
      <c r="AN94" s="50" t="s">
        <v>388</v>
      </c>
      <c r="AO94" s="100">
        <f>$D$16/$B$94</f>
        <v>0.308641975308642</v>
      </c>
    </row>
    <row r="95" spans="1:41" ht="12.75">
      <c r="A95" s="19"/>
      <c r="B95" s="10"/>
      <c r="C95" s="10"/>
      <c r="D95" s="10"/>
      <c r="E95" s="10"/>
      <c r="F95" s="10"/>
      <c r="G95" s="10"/>
      <c r="H95" s="10"/>
      <c r="I95" s="389"/>
      <c r="M95" s="487">
        <v>2.2</v>
      </c>
      <c r="N95" s="492">
        <v>0.297</v>
      </c>
      <c r="O95" s="479">
        <v>0.377</v>
      </c>
      <c r="P95" s="480">
        <v>0.467</v>
      </c>
      <c r="Q95" s="480">
        <v>0.567</v>
      </c>
      <c r="R95" s="480">
        <v>0.677</v>
      </c>
      <c r="S95" s="480">
        <v>0.799</v>
      </c>
      <c r="T95" s="480">
        <v>0.925</v>
      </c>
      <c r="U95" s="480">
        <v>1.06</v>
      </c>
      <c r="V95" s="320">
        <v>1.2</v>
      </c>
      <c r="W95" s="480">
        <v>1.35</v>
      </c>
      <c r="X95" s="320">
        <v>1.5</v>
      </c>
      <c r="Y95" s="480">
        <v>1.84</v>
      </c>
      <c r="Z95" s="480">
        <v>2.21</v>
      </c>
      <c r="AA95" s="480">
        <v>2.62</v>
      </c>
      <c r="AB95" s="480">
        <v>3.07</v>
      </c>
      <c r="AC95" s="482">
        <v>3.54</v>
      </c>
      <c r="AF95" s="405" t="s">
        <v>785</v>
      </c>
      <c r="AG95" s="406">
        <v>43.1</v>
      </c>
      <c r="AH95" s="407">
        <v>27.4</v>
      </c>
      <c r="AI95" s="408">
        <v>0.605</v>
      </c>
      <c r="AJ95" s="407">
        <v>14</v>
      </c>
      <c r="AK95" s="408">
        <v>0.975</v>
      </c>
      <c r="AL95" s="410">
        <v>1.76</v>
      </c>
      <c r="AN95" s="50"/>
      <c r="AO95" s="100"/>
    </row>
    <row r="96" spans="1:41" ht="12.75">
      <c r="A96" s="67" t="str">
        <f>$M$245</f>
        <v>  Shear Rupture Capacity of (2) Clip Angles at Beam Web:</v>
      </c>
      <c r="B96" s="10"/>
      <c r="C96" s="10"/>
      <c r="D96" s="10"/>
      <c r="E96" s="10"/>
      <c r="F96" s="10"/>
      <c r="G96" s="10"/>
      <c r="H96" s="10"/>
      <c r="I96" s="389"/>
      <c r="M96" s="487">
        <v>2.4</v>
      </c>
      <c r="N96" s="478">
        <v>0.273</v>
      </c>
      <c r="O96" s="493">
        <v>0.347</v>
      </c>
      <c r="P96" s="494">
        <v>0.428</v>
      </c>
      <c r="Q96" s="326">
        <v>0.52</v>
      </c>
      <c r="R96" s="494">
        <v>0.623</v>
      </c>
      <c r="S96" s="494">
        <v>0.735</v>
      </c>
      <c r="T96" s="494">
        <v>0.852</v>
      </c>
      <c r="U96" s="494">
        <v>0.972</v>
      </c>
      <c r="V96" s="495">
        <v>1.1</v>
      </c>
      <c r="W96" s="494">
        <v>1.24</v>
      </c>
      <c r="X96" s="494">
        <v>1.38</v>
      </c>
      <c r="Y96" s="495">
        <v>1.7</v>
      </c>
      <c r="Z96" s="496">
        <v>2.04</v>
      </c>
      <c r="AA96" s="494">
        <v>2.42</v>
      </c>
      <c r="AB96" s="494">
        <v>2.83</v>
      </c>
      <c r="AC96" s="497">
        <v>3.27</v>
      </c>
      <c r="AF96" s="405" t="s">
        <v>786</v>
      </c>
      <c r="AG96" s="406">
        <v>37.8</v>
      </c>
      <c r="AH96" s="407">
        <v>27.6</v>
      </c>
      <c r="AI96" s="408">
        <v>0.61</v>
      </c>
      <c r="AJ96" s="407">
        <v>10</v>
      </c>
      <c r="AK96" s="409">
        <v>1.1</v>
      </c>
      <c r="AL96" s="410">
        <v>1.7</v>
      </c>
      <c r="AN96" s="50"/>
      <c r="AO96" s="100"/>
    </row>
    <row r="97" spans="1:41" ht="12.75">
      <c r="A97" s="51" t="s">
        <v>253</v>
      </c>
      <c r="B97" s="184">
        <f>$N$246</f>
        <v>9</v>
      </c>
      <c r="C97" s="113" t="s">
        <v>243</v>
      </c>
      <c r="D97" s="52" t="str">
        <f>$P$246</f>
        <v>Avn = Avg = 2*L*ta</v>
      </c>
      <c r="E97" s="10"/>
      <c r="F97" s="10"/>
      <c r="G97" s="10"/>
      <c r="H97" s="10"/>
      <c r="I97" s="389"/>
      <c r="M97" s="487">
        <v>2.6</v>
      </c>
      <c r="N97" s="478">
        <v>0.252</v>
      </c>
      <c r="O97" s="324">
        <v>0.32</v>
      </c>
      <c r="P97" s="480">
        <v>0.396</v>
      </c>
      <c r="Q97" s="480">
        <v>0.48</v>
      </c>
      <c r="R97" s="480">
        <v>0.575</v>
      </c>
      <c r="S97" s="480">
        <v>0.679</v>
      </c>
      <c r="T97" s="480">
        <v>0.788</v>
      </c>
      <c r="U97" s="319">
        <v>0.9</v>
      </c>
      <c r="V97" s="480">
        <v>1.02</v>
      </c>
      <c r="W97" s="480">
        <v>1.15</v>
      </c>
      <c r="X97" s="480">
        <v>1.28</v>
      </c>
      <c r="Y97" s="480">
        <v>1.57</v>
      </c>
      <c r="Z97" s="485">
        <v>1.9</v>
      </c>
      <c r="AA97" s="480">
        <v>2.25</v>
      </c>
      <c r="AB97" s="480">
        <v>2.63</v>
      </c>
      <c r="AC97" s="482">
        <v>3.05</v>
      </c>
      <c r="AF97" s="405" t="s">
        <v>787</v>
      </c>
      <c r="AG97" s="406">
        <v>33.5</v>
      </c>
      <c r="AH97" s="407">
        <v>27.3</v>
      </c>
      <c r="AI97" s="408">
        <v>0.57</v>
      </c>
      <c r="AJ97" s="407">
        <v>10.1</v>
      </c>
      <c r="AK97" s="408">
        <v>0.93</v>
      </c>
      <c r="AL97" s="410">
        <v>1.53</v>
      </c>
      <c r="AN97" s="50"/>
      <c r="AO97" s="100"/>
    </row>
    <row r="98" spans="1:41" ht="12.75">
      <c r="A98" s="51" t="s">
        <v>254</v>
      </c>
      <c r="B98" s="183">
        <f>$N$247</f>
        <v>156.6</v>
      </c>
      <c r="C98" s="113" t="s">
        <v>237</v>
      </c>
      <c r="D98" s="52" t="str">
        <f>$P$247</f>
        <v>Rvn = (1/2)*0.60*Fua*Avn</v>
      </c>
      <c r="E98" s="10"/>
      <c r="F98" s="10"/>
      <c r="G98" s="10"/>
      <c r="H98" s="10"/>
      <c r="I98" s="389" t="str">
        <f>IF($B$98&gt;=$D$16,"Rvn &gt;= R,  O.K.  ","Rvn &lt; R, N.G.  ")</f>
        <v>Rvn &gt;= R,  O.K.  </v>
      </c>
      <c r="M98" s="487">
        <v>2.8</v>
      </c>
      <c r="N98" s="478">
        <v>0.235</v>
      </c>
      <c r="O98" s="479">
        <v>0.297</v>
      </c>
      <c r="P98" s="480">
        <v>0.368</v>
      </c>
      <c r="Q98" s="480">
        <v>0.447</v>
      </c>
      <c r="R98" s="480">
        <v>0.535</v>
      </c>
      <c r="S98" s="480">
        <v>0.632</v>
      </c>
      <c r="T98" s="480">
        <v>0.733</v>
      </c>
      <c r="U98" s="480">
        <v>0.837</v>
      </c>
      <c r="V98" s="480">
        <v>0.949</v>
      </c>
      <c r="W98" s="480">
        <v>1.07</v>
      </c>
      <c r="X98" s="480">
        <v>1.19</v>
      </c>
      <c r="Y98" s="480">
        <v>1.47</v>
      </c>
      <c r="Z98" s="481">
        <v>1.77</v>
      </c>
      <c r="AA98" s="320">
        <v>2.1</v>
      </c>
      <c r="AB98" s="480">
        <v>2.46</v>
      </c>
      <c r="AC98" s="482">
        <v>2.85</v>
      </c>
      <c r="AF98" s="405" t="s">
        <v>788</v>
      </c>
      <c r="AG98" s="406">
        <v>30</v>
      </c>
      <c r="AH98" s="407">
        <v>27.1</v>
      </c>
      <c r="AI98" s="408">
        <v>0.515</v>
      </c>
      <c r="AJ98" s="407">
        <v>10</v>
      </c>
      <c r="AK98" s="408">
        <v>0.83</v>
      </c>
      <c r="AL98" s="410">
        <v>1.43</v>
      </c>
      <c r="AN98" s="50" t="s">
        <v>388</v>
      </c>
      <c r="AO98" s="100">
        <f>$D$16/$B$98</f>
        <v>0.2554278416347382</v>
      </c>
    </row>
    <row r="99" spans="1:41" ht="12.75">
      <c r="A99" s="19"/>
      <c r="B99" s="10"/>
      <c r="C99" s="10"/>
      <c r="D99" s="10"/>
      <c r="E99" s="10"/>
      <c r="F99" s="10"/>
      <c r="G99" s="10"/>
      <c r="H99" s="10"/>
      <c r="I99" s="14"/>
      <c r="M99" s="498">
        <v>3</v>
      </c>
      <c r="N99" s="499">
        <v>0.219</v>
      </c>
      <c r="O99" s="500">
        <v>0.277</v>
      </c>
      <c r="P99" s="501">
        <v>0.343</v>
      </c>
      <c r="Q99" s="501">
        <v>0.417</v>
      </c>
      <c r="R99" s="322">
        <v>0.5</v>
      </c>
      <c r="S99" s="501">
        <v>0.591</v>
      </c>
      <c r="T99" s="501">
        <v>0.685</v>
      </c>
      <c r="U99" s="501">
        <v>0.784</v>
      </c>
      <c r="V99" s="501">
        <v>0.888</v>
      </c>
      <c r="W99" s="501">
        <v>0.999</v>
      </c>
      <c r="X99" s="501">
        <v>1.12</v>
      </c>
      <c r="Y99" s="501">
        <v>1.37</v>
      </c>
      <c r="Z99" s="502">
        <v>1.65</v>
      </c>
      <c r="AA99" s="501">
        <v>1.97</v>
      </c>
      <c r="AB99" s="501">
        <v>2.31</v>
      </c>
      <c r="AC99" s="503">
        <v>2.67</v>
      </c>
      <c r="AF99" s="405" t="s">
        <v>789</v>
      </c>
      <c r="AG99" s="406">
        <v>27.7</v>
      </c>
      <c r="AH99" s="407">
        <v>26.9</v>
      </c>
      <c r="AI99" s="408">
        <v>0.49</v>
      </c>
      <c r="AJ99" s="407">
        <v>10</v>
      </c>
      <c r="AK99" s="408">
        <v>0.745</v>
      </c>
      <c r="AL99" s="410">
        <v>1.34</v>
      </c>
      <c r="AN99" s="50"/>
      <c r="AO99" s="100"/>
    </row>
    <row r="100" spans="1:38" ht="12.75">
      <c r="A100" s="20"/>
      <c r="B100" s="21"/>
      <c r="C100" s="21"/>
      <c r="D100" s="21"/>
      <c r="E100" s="21"/>
      <c r="F100" s="21"/>
      <c r="G100" s="21"/>
      <c r="H100" s="21"/>
      <c r="I100" s="128" t="s">
        <v>105</v>
      </c>
      <c r="M100" s="504" t="s">
        <v>526</v>
      </c>
      <c r="N100" s="505">
        <v>0</v>
      </c>
      <c r="O100" s="325">
        <v>0.008</v>
      </c>
      <c r="P100" s="322">
        <v>0.029</v>
      </c>
      <c r="Q100" s="322">
        <v>0.056</v>
      </c>
      <c r="R100" s="322">
        <v>0.089</v>
      </c>
      <c r="S100" s="322">
        <v>0.125</v>
      </c>
      <c r="T100" s="322">
        <v>0.164</v>
      </c>
      <c r="U100" s="322">
        <v>0.204</v>
      </c>
      <c r="V100" s="322">
        <v>0.246</v>
      </c>
      <c r="W100" s="322">
        <v>0.289</v>
      </c>
      <c r="X100" s="322">
        <v>0.333</v>
      </c>
      <c r="Y100" s="322">
        <v>0.424</v>
      </c>
      <c r="Z100" s="506">
        <v>0.516</v>
      </c>
      <c r="AA100" s="322">
        <v>0.61</v>
      </c>
      <c r="AB100" s="322">
        <v>0.704</v>
      </c>
      <c r="AC100" s="323">
        <v>0.8</v>
      </c>
      <c r="AF100" s="405" t="s">
        <v>790</v>
      </c>
      <c r="AG100" s="406">
        <v>24.8</v>
      </c>
      <c r="AH100" s="407">
        <v>26.7</v>
      </c>
      <c r="AI100" s="408">
        <v>0.46</v>
      </c>
      <c r="AJ100" s="407">
        <v>10</v>
      </c>
      <c r="AK100" s="408">
        <v>0.64</v>
      </c>
      <c r="AL100" s="410">
        <v>1.24</v>
      </c>
    </row>
    <row r="101" spans="1:38" ht="12.75">
      <c r="A101" s="17"/>
      <c r="B101" s="18"/>
      <c r="C101" s="124"/>
      <c r="D101" s="18"/>
      <c r="E101" s="18"/>
      <c r="F101" s="18"/>
      <c r="G101" s="18"/>
      <c r="H101" s="195"/>
      <c r="I101" s="189"/>
      <c r="AF101" s="405" t="s">
        <v>791</v>
      </c>
      <c r="AG101" s="411">
        <v>109</v>
      </c>
      <c r="AH101" s="407">
        <v>28</v>
      </c>
      <c r="AI101" s="409">
        <v>1.52</v>
      </c>
      <c r="AJ101" s="407">
        <v>13.7</v>
      </c>
      <c r="AK101" s="409">
        <v>2.72</v>
      </c>
      <c r="AL101" s="410">
        <v>3.22</v>
      </c>
    </row>
    <row r="102" spans="1:38" ht="12.75">
      <c r="A102" s="86" t="s">
        <v>1176</v>
      </c>
      <c r="B102" s="10"/>
      <c r="C102" s="10"/>
      <c r="D102" s="10"/>
      <c r="E102" s="10"/>
      <c r="F102" s="10"/>
      <c r="G102" s="10"/>
      <c r="H102" s="10"/>
      <c r="I102" s="14"/>
      <c r="M102" s="141" t="s">
        <v>530</v>
      </c>
      <c r="N102" s="463"/>
      <c r="O102" s="107"/>
      <c r="P102" s="463"/>
      <c r="Q102" s="463"/>
      <c r="R102" s="143"/>
      <c r="S102" s="143"/>
      <c r="T102" s="143"/>
      <c r="U102" s="142"/>
      <c r="V102" s="143"/>
      <c r="W102" s="143"/>
      <c r="X102" s="143"/>
      <c r="Y102" s="143"/>
      <c r="Z102" s="144"/>
      <c r="AA102" s="143"/>
      <c r="AB102" s="143"/>
      <c r="AC102" s="144"/>
      <c r="AF102" s="405" t="s">
        <v>792</v>
      </c>
      <c r="AG102" s="406">
        <v>98.4</v>
      </c>
      <c r="AH102" s="407">
        <v>27.5</v>
      </c>
      <c r="AI102" s="409">
        <v>1.38</v>
      </c>
      <c r="AJ102" s="407">
        <v>13.5</v>
      </c>
      <c r="AK102" s="409">
        <v>2.48</v>
      </c>
      <c r="AL102" s="410">
        <v>2.98</v>
      </c>
    </row>
    <row r="103" spans="1:41" ht="12.75">
      <c r="A103" s="19"/>
      <c r="B103" s="10"/>
      <c r="C103" s="10"/>
      <c r="D103" s="10"/>
      <c r="E103" s="10"/>
      <c r="F103" s="10"/>
      <c r="G103" s="10"/>
      <c r="H103" s="10"/>
      <c r="I103" s="14"/>
      <c r="M103" s="464"/>
      <c r="N103" s="141" t="s">
        <v>323</v>
      </c>
      <c r="O103" s="107"/>
      <c r="P103" s="143"/>
      <c r="Q103" s="143"/>
      <c r="R103" s="143"/>
      <c r="S103" s="143"/>
      <c r="T103" s="465"/>
      <c r="U103" s="143"/>
      <c r="V103" s="143"/>
      <c r="W103" s="143"/>
      <c r="X103" s="143"/>
      <c r="Y103" s="156"/>
      <c r="Z103" s="144"/>
      <c r="AA103" s="143"/>
      <c r="AB103" s="156"/>
      <c r="AC103" s="144"/>
      <c r="AF103" s="405" t="s">
        <v>793</v>
      </c>
      <c r="AG103" s="406">
        <v>89.8</v>
      </c>
      <c r="AH103" s="407">
        <v>27.1</v>
      </c>
      <c r="AI103" s="409">
        <v>1.26</v>
      </c>
      <c r="AJ103" s="407">
        <v>13.4</v>
      </c>
      <c r="AK103" s="409">
        <v>2.28</v>
      </c>
      <c r="AL103" s="410">
        <v>2.78</v>
      </c>
      <c r="AN103" s="50"/>
      <c r="AO103" s="100"/>
    </row>
    <row r="104" spans="1:41" ht="12.75">
      <c r="A104" s="67" t="s">
        <v>17</v>
      </c>
      <c r="B104" s="45"/>
      <c r="C104" s="129"/>
      <c r="D104" s="45"/>
      <c r="E104" s="10"/>
      <c r="F104" s="10"/>
      <c r="G104" s="10"/>
      <c r="H104" s="45"/>
      <c r="I104" s="389"/>
      <c r="M104" s="467" t="s">
        <v>18</v>
      </c>
      <c r="N104" s="468">
        <v>0</v>
      </c>
      <c r="O104" s="140">
        <v>0.1</v>
      </c>
      <c r="P104" s="140">
        <v>0.2</v>
      </c>
      <c r="Q104" s="469">
        <v>0.3</v>
      </c>
      <c r="R104" s="140">
        <v>0.4</v>
      </c>
      <c r="S104" s="469">
        <v>0.5</v>
      </c>
      <c r="T104" s="140">
        <v>0.6</v>
      </c>
      <c r="U104" s="469">
        <v>0.7</v>
      </c>
      <c r="V104" s="140">
        <v>0.8</v>
      </c>
      <c r="W104" s="469">
        <v>0.9</v>
      </c>
      <c r="X104" s="140">
        <v>1</v>
      </c>
      <c r="Y104" s="469">
        <v>1.2</v>
      </c>
      <c r="Z104" s="140">
        <v>1.4</v>
      </c>
      <c r="AA104" s="140">
        <v>1.6</v>
      </c>
      <c r="AB104" s="469">
        <v>1.8</v>
      </c>
      <c r="AC104" s="140">
        <v>2</v>
      </c>
      <c r="AF104" s="405" t="s">
        <v>794</v>
      </c>
      <c r="AG104" s="406">
        <v>82</v>
      </c>
      <c r="AH104" s="407">
        <v>26.7</v>
      </c>
      <c r="AI104" s="409">
        <v>1.16</v>
      </c>
      <c r="AJ104" s="407">
        <v>13.3</v>
      </c>
      <c r="AK104" s="409">
        <v>2.09</v>
      </c>
      <c r="AL104" s="410">
        <v>2.59</v>
      </c>
      <c r="AN104" s="50"/>
      <c r="AO104" s="100"/>
    </row>
    <row r="105" spans="1:41" ht="12.75">
      <c r="A105" s="69" t="s">
        <v>35</v>
      </c>
      <c r="B105" s="184">
        <f>$N$249</f>
        <v>9</v>
      </c>
      <c r="C105" s="113" t="s">
        <v>243</v>
      </c>
      <c r="D105" s="52" t="str">
        <f>$P$249</f>
        <v>Atg = 2*L*ta</v>
      </c>
      <c r="E105" s="55"/>
      <c r="F105" s="55"/>
      <c r="G105" s="55"/>
      <c r="H105" s="45"/>
      <c r="I105" s="389"/>
      <c r="M105" s="471">
        <v>0</v>
      </c>
      <c r="N105" s="472">
        <v>1.92</v>
      </c>
      <c r="O105" s="473">
        <v>2.47</v>
      </c>
      <c r="P105" s="474">
        <v>3.01</v>
      </c>
      <c r="Q105" s="318">
        <v>3.56</v>
      </c>
      <c r="R105" s="474">
        <v>4.1</v>
      </c>
      <c r="S105" s="474">
        <v>4.65</v>
      </c>
      <c r="T105" s="474">
        <v>5.19</v>
      </c>
      <c r="U105" s="474">
        <v>5.74</v>
      </c>
      <c r="V105" s="474">
        <v>6.29</v>
      </c>
      <c r="W105" s="474">
        <v>6.83</v>
      </c>
      <c r="X105" s="318">
        <v>7.38</v>
      </c>
      <c r="Y105" s="474">
        <v>8.47</v>
      </c>
      <c r="Z105" s="475">
        <v>9.56</v>
      </c>
      <c r="AA105" s="474">
        <v>10.6</v>
      </c>
      <c r="AB105" s="474">
        <v>11.7</v>
      </c>
      <c r="AC105" s="476">
        <v>12.8</v>
      </c>
      <c r="AF105" s="405" t="s">
        <v>795</v>
      </c>
      <c r="AG105" s="406">
        <v>73.5</v>
      </c>
      <c r="AH105" s="407">
        <v>26.3</v>
      </c>
      <c r="AI105" s="409">
        <v>1.04</v>
      </c>
      <c r="AJ105" s="407">
        <v>13.2</v>
      </c>
      <c r="AK105" s="409">
        <v>1.89</v>
      </c>
      <c r="AL105" s="410">
        <v>2.39</v>
      </c>
      <c r="AN105" s="50"/>
      <c r="AO105" s="100"/>
    </row>
    <row r="106" spans="1:41" ht="12.75">
      <c r="A106" s="69" t="s">
        <v>36</v>
      </c>
      <c r="B106" s="183">
        <f>$N$250</f>
        <v>175.88148148148144</v>
      </c>
      <c r="C106" s="113" t="s">
        <v>237</v>
      </c>
      <c r="D106" s="52" t="str">
        <f>$P$250</f>
        <v>Rtg = (0.60*Fya*Atg)*(1-(R/Rvg)^2)</v>
      </c>
      <c r="E106" s="55"/>
      <c r="F106" s="55"/>
      <c r="G106" s="55"/>
      <c r="H106" s="80"/>
      <c r="I106" s="389" t="str">
        <f>IF($D$17&gt;0,IF($B$106&gt;=$D$17,"Rtg &gt;= P,  O.K.  ","Rtg &lt; P, N.G.  "),"")</f>
        <v>Rtg &gt;= P,  O.K.  </v>
      </c>
      <c r="M106" s="477">
        <v>0.1</v>
      </c>
      <c r="N106" s="478">
        <v>1.89</v>
      </c>
      <c r="O106" s="479">
        <v>2.35</v>
      </c>
      <c r="P106" s="480">
        <v>2.87</v>
      </c>
      <c r="Q106" s="320">
        <v>3.4</v>
      </c>
      <c r="R106" s="480">
        <v>3.95</v>
      </c>
      <c r="S106" s="480">
        <v>4.5</v>
      </c>
      <c r="T106" s="480">
        <v>5.05</v>
      </c>
      <c r="U106" s="480">
        <v>5.6</v>
      </c>
      <c r="V106" s="480">
        <v>6.14</v>
      </c>
      <c r="W106" s="480">
        <v>6.69</v>
      </c>
      <c r="X106" s="480">
        <v>7.24</v>
      </c>
      <c r="Y106" s="480">
        <v>8.33</v>
      </c>
      <c r="Z106" s="481">
        <v>9.43</v>
      </c>
      <c r="AA106" s="480">
        <v>10.5</v>
      </c>
      <c r="AB106" s="480">
        <v>11.6</v>
      </c>
      <c r="AC106" s="482">
        <v>12.7</v>
      </c>
      <c r="AF106" s="405" t="s">
        <v>796</v>
      </c>
      <c r="AG106" s="406">
        <v>67.2</v>
      </c>
      <c r="AH106" s="407">
        <v>26</v>
      </c>
      <c r="AI106" s="408">
        <v>0.96</v>
      </c>
      <c r="AJ106" s="407">
        <v>13.1</v>
      </c>
      <c r="AK106" s="409">
        <v>1.73</v>
      </c>
      <c r="AL106" s="410">
        <v>2.23</v>
      </c>
      <c r="AN106" s="50" t="str">
        <f>IF(AO106="","N.A.","SR =")</f>
        <v>SR =</v>
      </c>
      <c r="AO106" s="100">
        <f>IF($D$17&gt;0,$D$17/$B$106,"")</f>
        <v>0.028428234501347713</v>
      </c>
    </row>
    <row r="107" spans="1:38" ht="12.75">
      <c r="A107" s="19"/>
      <c r="B107" s="10"/>
      <c r="C107" s="10"/>
      <c r="D107" s="112" t="s">
        <v>112</v>
      </c>
      <c r="E107" s="55"/>
      <c r="F107" s="55"/>
      <c r="G107" s="55"/>
      <c r="H107" s="10"/>
      <c r="I107" s="389"/>
      <c r="M107" s="483">
        <v>0.15</v>
      </c>
      <c r="N107" s="478">
        <v>1.84</v>
      </c>
      <c r="O107" s="479">
        <v>2.3</v>
      </c>
      <c r="P107" s="480">
        <v>2.79</v>
      </c>
      <c r="Q107" s="480">
        <v>3.29</v>
      </c>
      <c r="R107" s="480">
        <v>3.81</v>
      </c>
      <c r="S107" s="480">
        <v>4.33</v>
      </c>
      <c r="T107" s="320">
        <v>4.86</v>
      </c>
      <c r="U107" s="480">
        <v>5.39</v>
      </c>
      <c r="V107" s="480">
        <v>5.92</v>
      </c>
      <c r="W107" s="320">
        <v>6.45</v>
      </c>
      <c r="X107" s="480">
        <v>6.99</v>
      </c>
      <c r="Y107" s="480">
        <v>8.06</v>
      </c>
      <c r="Z107" s="481">
        <v>9.13</v>
      </c>
      <c r="AA107" s="480">
        <v>10.2</v>
      </c>
      <c r="AB107" s="480">
        <v>11.3</v>
      </c>
      <c r="AC107" s="482">
        <v>12.4</v>
      </c>
      <c r="AF107" s="405" t="s">
        <v>797</v>
      </c>
      <c r="AG107" s="406">
        <v>60.7</v>
      </c>
      <c r="AH107" s="407">
        <v>25.7</v>
      </c>
      <c r="AI107" s="408">
        <v>0.87</v>
      </c>
      <c r="AJ107" s="407">
        <v>13</v>
      </c>
      <c r="AK107" s="409">
        <v>1.57</v>
      </c>
      <c r="AL107" s="410">
        <v>2.07</v>
      </c>
    </row>
    <row r="108" spans="1:38" ht="12.75">
      <c r="A108" s="19"/>
      <c r="B108" s="10"/>
      <c r="C108" s="10"/>
      <c r="D108" s="112" t="s">
        <v>111</v>
      </c>
      <c r="E108" s="10"/>
      <c r="F108" s="10"/>
      <c r="G108" s="10"/>
      <c r="H108" s="10"/>
      <c r="I108" s="14"/>
      <c r="M108" s="483">
        <v>0.2</v>
      </c>
      <c r="N108" s="478">
        <v>1.75</v>
      </c>
      <c r="O108" s="479">
        <v>2.21</v>
      </c>
      <c r="P108" s="480">
        <v>2.68</v>
      </c>
      <c r="Q108" s="480">
        <v>3.16</v>
      </c>
      <c r="R108" s="320">
        <v>3.65</v>
      </c>
      <c r="S108" s="480">
        <v>4.15</v>
      </c>
      <c r="T108" s="480">
        <v>4.65</v>
      </c>
      <c r="U108" s="480">
        <v>5.16</v>
      </c>
      <c r="V108" s="480">
        <v>5.67</v>
      </c>
      <c r="W108" s="480">
        <v>6.18</v>
      </c>
      <c r="X108" s="480">
        <v>6.69</v>
      </c>
      <c r="Y108" s="480">
        <v>7.73</v>
      </c>
      <c r="Z108" s="481">
        <v>8.76</v>
      </c>
      <c r="AA108" s="480">
        <v>9.81</v>
      </c>
      <c r="AB108" s="480">
        <v>10.9</v>
      </c>
      <c r="AC108" s="484">
        <v>11.9</v>
      </c>
      <c r="AF108" s="405" t="s">
        <v>798</v>
      </c>
      <c r="AG108" s="406">
        <v>56.3</v>
      </c>
      <c r="AH108" s="407">
        <v>25.5</v>
      </c>
      <c r="AI108" s="408">
        <v>0.81</v>
      </c>
      <c r="AJ108" s="407">
        <v>13</v>
      </c>
      <c r="AK108" s="409">
        <v>1.46</v>
      </c>
      <c r="AL108" s="410">
        <v>1.96</v>
      </c>
    </row>
    <row r="109" spans="1:38" ht="12.75">
      <c r="A109" s="19"/>
      <c r="B109" s="10"/>
      <c r="C109" s="10"/>
      <c r="D109" s="10"/>
      <c r="E109" s="10"/>
      <c r="F109" s="10"/>
      <c r="G109" s="10"/>
      <c r="H109" s="10"/>
      <c r="I109" s="14"/>
      <c r="M109" s="483">
        <v>0.25</v>
      </c>
      <c r="N109" s="478">
        <v>1.65</v>
      </c>
      <c r="O109" s="479">
        <v>2.08</v>
      </c>
      <c r="P109" s="480">
        <v>2.54</v>
      </c>
      <c r="Q109" s="480">
        <v>3</v>
      </c>
      <c r="R109" s="480">
        <v>3.47</v>
      </c>
      <c r="S109" s="480">
        <v>3.94</v>
      </c>
      <c r="T109" s="480">
        <v>4.42</v>
      </c>
      <c r="U109" s="480">
        <v>4.91</v>
      </c>
      <c r="V109" s="480">
        <v>5.39</v>
      </c>
      <c r="W109" s="480">
        <v>5.89</v>
      </c>
      <c r="X109" s="480">
        <v>6.38</v>
      </c>
      <c r="Y109" s="480">
        <v>7.38</v>
      </c>
      <c r="Z109" s="481">
        <v>8.39</v>
      </c>
      <c r="AA109" s="480">
        <v>9.41</v>
      </c>
      <c r="AB109" s="480">
        <v>10.4</v>
      </c>
      <c r="AC109" s="482">
        <v>11.5</v>
      </c>
      <c r="AF109" s="405" t="s">
        <v>799</v>
      </c>
      <c r="AG109" s="406">
        <v>51.7</v>
      </c>
      <c r="AH109" s="407">
        <v>25.2</v>
      </c>
      <c r="AI109" s="408">
        <v>0.75</v>
      </c>
      <c r="AJ109" s="407">
        <v>12.9</v>
      </c>
      <c r="AK109" s="409">
        <v>1.34</v>
      </c>
      <c r="AL109" s="410">
        <v>1.84</v>
      </c>
    </row>
    <row r="110" spans="1:38" ht="12.75">
      <c r="A110" s="136" t="str">
        <f>IF(AND($D$29=0,$D$30=0,$D$31=0),$M$251,IF(AND($D$29&gt;0,$D$30&gt;0,$D$31=0),$M$279,IF(AND($D$29&gt;0,$D$30&gt;0,$D$31&gt;0),$M$320)))</f>
        <v>Beam Checks for Uncoped Flanges:</v>
      </c>
      <c r="B110" s="10"/>
      <c r="C110" s="10"/>
      <c r="D110" s="10"/>
      <c r="E110" s="10"/>
      <c r="F110" s="10"/>
      <c r="G110" s="10"/>
      <c r="H110" s="10"/>
      <c r="I110" s="389"/>
      <c r="M110" s="483">
        <v>0.3</v>
      </c>
      <c r="N110" s="478">
        <v>1.55</v>
      </c>
      <c r="O110" s="479">
        <v>1.95</v>
      </c>
      <c r="P110" s="480">
        <v>2.39</v>
      </c>
      <c r="Q110" s="480">
        <v>2.82</v>
      </c>
      <c r="R110" s="480">
        <v>3.27</v>
      </c>
      <c r="S110" s="480">
        <v>3.72</v>
      </c>
      <c r="T110" s="480">
        <v>4.18</v>
      </c>
      <c r="U110" s="320">
        <v>4.64</v>
      </c>
      <c r="V110" s="480">
        <v>5.11</v>
      </c>
      <c r="W110" s="480">
        <v>5.58</v>
      </c>
      <c r="X110" s="480">
        <v>6.06</v>
      </c>
      <c r="Y110" s="480">
        <v>7.02</v>
      </c>
      <c r="Z110" s="485">
        <v>8.01</v>
      </c>
      <c r="AA110" s="320">
        <v>9</v>
      </c>
      <c r="AB110" s="486">
        <v>10</v>
      </c>
      <c r="AC110" s="484">
        <v>11</v>
      </c>
      <c r="AF110" s="405" t="s">
        <v>800</v>
      </c>
      <c r="AG110" s="406">
        <v>47.7</v>
      </c>
      <c r="AH110" s="407">
        <v>25</v>
      </c>
      <c r="AI110" s="408">
        <v>0.705</v>
      </c>
      <c r="AJ110" s="407">
        <v>13</v>
      </c>
      <c r="AK110" s="409">
        <v>1.22</v>
      </c>
      <c r="AL110" s="410">
        <v>1.72</v>
      </c>
    </row>
    <row r="111" spans="1:38" ht="12.75">
      <c r="A111" s="19"/>
      <c r="B111" s="10"/>
      <c r="C111" s="10"/>
      <c r="D111" s="10"/>
      <c r="E111" s="10"/>
      <c r="F111" s="10"/>
      <c r="G111" s="10"/>
      <c r="H111" s="10"/>
      <c r="I111" s="389"/>
      <c r="M111" s="483">
        <v>0.4</v>
      </c>
      <c r="N111" s="478">
        <v>1.34</v>
      </c>
      <c r="O111" s="479">
        <v>1.69</v>
      </c>
      <c r="P111" s="480">
        <v>2.07</v>
      </c>
      <c r="Q111" s="480">
        <v>2.47</v>
      </c>
      <c r="R111" s="480">
        <v>2.87</v>
      </c>
      <c r="S111" s="480">
        <v>3.28</v>
      </c>
      <c r="T111" s="480">
        <v>3.7</v>
      </c>
      <c r="U111" s="480">
        <v>4.12</v>
      </c>
      <c r="V111" s="320">
        <v>4.55</v>
      </c>
      <c r="W111" s="480">
        <v>4.99</v>
      </c>
      <c r="X111" s="480">
        <v>5.43</v>
      </c>
      <c r="Y111" s="320">
        <v>6.34</v>
      </c>
      <c r="Z111" s="481">
        <v>7.27</v>
      </c>
      <c r="AA111" s="480">
        <v>8.22</v>
      </c>
      <c r="AB111" s="480">
        <v>9.19</v>
      </c>
      <c r="AC111" s="482">
        <v>10.2</v>
      </c>
      <c r="AF111" s="405" t="s">
        <v>801</v>
      </c>
      <c r="AG111" s="406">
        <v>43</v>
      </c>
      <c r="AH111" s="407">
        <v>24.7</v>
      </c>
      <c r="AI111" s="408">
        <v>0.65</v>
      </c>
      <c r="AJ111" s="407">
        <v>12.9</v>
      </c>
      <c r="AK111" s="409">
        <v>1.09</v>
      </c>
      <c r="AL111" s="410">
        <v>1.59</v>
      </c>
    </row>
    <row r="112" spans="1:38" ht="12.75">
      <c r="A112" s="73" t="str">
        <f>IF(AND($D$29=0,$D$30=0,$D$31=0),$M$252,IF(AND($D$29&gt;0,$D$30&gt;0,$D$31=0),$M$280,IF(AND($D$29&gt;0,$D$30&gt;0,$D$31&gt;0),$M$321)))</f>
        <v>  Shear Yielding Capacity of Beam Web:</v>
      </c>
      <c r="B112" s="10"/>
      <c r="C112" s="10"/>
      <c r="D112" s="10"/>
      <c r="E112" s="10"/>
      <c r="F112" s="10"/>
      <c r="G112" s="10"/>
      <c r="H112" s="10"/>
      <c r="I112" s="389"/>
      <c r="M112" s="483">
        <v>0.5</v>
      </c>
      <c r="N112" s="478">
        <v>1.16</v>
      </c>
      <c r="O112" s="479">
        <v>1.46</v>
      </c>
      <c r="P112" s="480">
        <v>1.8</v>
      </c>
      <c r="Q112" s="480">
        <v>2.16</v>
      </c>
      <c r="R112" s="480">
        <v>2.52</v>
      </c>
      <c r="S112" s="480">
        <v>2.89</v>
      </c>
      <c r="T112" s="480">
        <v>3.27</v>
      </c>
      <c r="U112" s="320">
        <v>3.65</v>
      </c>
      <c r="V112" s="320">
        <v>4.05</v>
      </c>
      <c r="W112" s="320">
        <v>4.46</v>
      </c>
      <c r="X112" s="480">
        <v>4.87</v>
      </c>
      <c r="Y112" s="480">
        <v>5.73</v>
      </c>
      <c r="Z112" s="481">
        <v>6.61</v>
      </c>
      <c r="AA112" s="480">
        <v>7.53</v>
      </c>
      <c r="AB112" s="320">
        <v>8.46</v>
      </c>
      <c r="AC112" s="482">
        <v>9.41</v>
      </c>
      <c r="AF112" s="405" t="s">
        <v>802</v>
      </c>
      <c r="AG112" s="406">
        <v>38.5</v>
      </c>
      <c r="AH112" s="407">
        <v>24.5</v>
      </c>
      <c r="AI112" s="408">
        <v>0.605</v>
      </c>
      <c r="AJ112" s="407">
        <v>12.9</v>
      </c>
      <c r="AK112" s="408">
        <v>0.96</v>
      </c>
      <c r="AL112" s="410">
        <v>1.46</v>
      </c>
    </row>
    <row r="113" spans="1:38" ht="12.75">
      <c r="A113" s="62" t="s">
        <v>106</v>
      </c>
      <c r="B113" s="184" t="str">
        <f>IF(AND($D$29=0,$D$30=0,$D$31=0),$N$253,IF(AND($D$29&gt;0,$D$30&gt;0,$D$30&lt;=0.5*$B$45,$D$31=0),$N$281,IF(AND($D$29&gt;0,$D$30&gt;0,$D$30&lt;=0.5*$B$45,$D$31&gt;0),$N$322)))</f>
        <v>N.A.</v>
      </c>
      <c r="C113" s="113" t="s">
        <v>268</v>
      </c>
      <c r="D113" s="440" t="str">
        <f>IF(AND($D$29=0,$D$30=0,$D$31=0),$P$253,IF(AND($D$29&gt;0,$D$30&gt;0,$D$30&lt;=0.5*$B$45,$D$31=0),$P$281,IF(AND($D$29&gt;0,$D$30&gt;0,$D$30&lt;=0.5*$B$45,$D$31&gt;0),$P$322)))</f>
        <v>ho = not applicable for uncoped beam</v>
      </c>
      <c r="E113" s="10"/>
      <c r="F113" s="10"/>
      <c r="G113" s="10"/>
      <c r="H113" s="59"/>
      <c r="I113" s="389"/>
      <c r="M113" s="483">
        <v>0.6</v>
      </c>
      <c r="N113" s="478">
        <v>1.01</v>
      </c>
      <c r="O113" s="479">
        <v>1.28</v>
      </c>
      <c r="P113" s="480">
        <v>1.58</v>
      </c>
      <c r="Q113" s="480">
        <v>1.89</v>
      </c>
      <c r="R113" s="480">
        <v>2.22</v>
      </c>
      <c r="S113" s="480">
        <v>2.56</v>
      </c>
      <c r="T113" s="480">
        <v>2.9</v>
      </c>
      <c r="U113" s="320">
        <v>3.26</v>
      </c>
      <c r="V113" s="480">
        <v>3.62</v>
      </c>
      <c r="W113" s="480">
        <v>4</v>
      </c>
      <c r="X113" s="480">
        <v>4.39</v>
      </c>
      <c r="Y113" s="480">
        <v>5.19</v>
      </c>
      <c r="Z113" s="481">
        <v>6.04</v>
      </c>
      <c r="AA113" s="480">
        <v>6.91</v>
      </c>
      <c r="AB113" s="480">
        <v>7.81</v>
      </c>
      <c r="AC113" s="482">
        <v>8.73</v>
      </c>
      <c r="AF113" s="405" t="s">
        <v>803</v>
      </c>
      <c r="AG113" s="406">
        <v>34.4</v>
      </c>
      <c r="AH113" s="407">
        <v>24.3</v>
      </c>
      <c r="AI113" s="408">
        <v>0.55</v>
      </c>
      <c r="AJ113" s="407">
        <v>12.8</v>
      </c>
      <c r="AK113" s="408">
        <v>0.85</v>
      </c>
      <c r="AL113" s="410">
        <v>1.35</v>
      </c>
    </row>
    <row r="114" spans="1:38" ht="12.75">
      <c r="A114" s="69" t="s">
        <v>75</v>
      </c>
      <c r="B114" s="175">
        <f>IF(AND($D$29=0,$D$30=0,$D$31=0),$N$254,IF(AND($D$29&gt;0,$D$30&gt;0,$D$30&lt;=0.5*$B$45,$D$31=0),$N$282,IF(AND($D$29&gt;0,$D$30&gt;0,$D$30&lt;=0.5*$B$45,$D$31&gt;0),$N$323)))</f>
        <v>6.39</v>
      </c>
      <c r="C114" s="113" t="s">
        <v>243</v>
      </c>
      <c r="D114" s="440" t="str">
        <f>IF(AND($D$29=0,$D$30=0,$D$31=0),$P$254,IF(AND($D$29&gt;0,$D$30&gt;0,$D$30&lt;=0.5*$B$45,$D$31=0),$P$282,IF(AND($D$29&gt;0,$D$30&gt;0,$D$30&lt;=0.5*$B$45,$D$31&gt;0),$P$323)))</f>
        <v>Avg = d*tw</v>
      </c>
      <c r="E114" s="10"/>
      <c r="F114" s="10"/>
      <c r="G114" s="10"/>
      <c r="H114" s="10"/>
      <c r="I114" s="389"/>
      <c r="M114" s="483">
        <v>0.7</v>
      </c>
      <c r="N114" s="478">
        <v>0.893</v>
      </c>
      <c r="O114" s="479">
        <v>1.13</v>
      </c>
      <c r="P114" s="480">
        <v>1.39</v>
      </c>
      <c r="Q114" s="480">
        <v>1.68</v>
      </c>
      <c r="R114" s="480">
        <v>1.97</v>
      </c>
      <c r="S114" s="480">
        <v>2.29</v>
      </c>
      <c r="T114" s="480">
        <v>2.6</v>
      </c>
      <c r="U114" s="480">
        <v>2.93</v>
      </c>
      <c r="V114" s="320">
        <v>3.27</v>
      </c>
      <c r="W114" s="480">
        <v>3.62</v>
      </c>
      <c r="X114" s="480">
        <v>3.98</v>
      </c>
      <c r="Y114" s="480">
        <v>4.74</v>
      </c>
      <c r="Z114" s="481">
        <v>5.54</v>
      </c>
      <c r="AA114" s="480">
        <v>6.37</v>
      </c>
      <c r="AB114" s="480">
        <v>7.24</v>
      </c>
      <c r="AC114" s="482">
        <v>8.13</v>
      </c>
      <c r="AF114" s="405" t="s">
        <v>804</v>
      </c>
      <c r="AG114" s="406">
        <v>30.6</v>
      </c>
      <c r="AH114" s="407">
        <v>24.1</v>
      </c>
      <c r="AI114" s="408">
        <v>0.5</v>
      </c>
      <c r="AJ114" s="407">
        <v>12.8</v>
      </c>
      <c r="AK114" s="408">
        <v>0.75</v>
      </c>
      <c r="AL114" s="410">
        <v>1.25</v>
      </c>
    </row>
    <row r="115" spans="1:41" ht="12.75">
      <c r="A115" s="69" t="s">
        <v>252</v>
      </c>
      <c r="B115" s="183">
        <f>IF(AND($D$29=0,$D$30=0,$D$31=0),$N$258,IF(AND($D$29&gt;0,$D$30&gt;0,$D$30&lt;=0.5*$B$45,$D$31=0),$N$286,IF(AND($D$29&gt;0,$D$30&gt;0,$D$30&lt;=0.5*$B$45,$D$31&gt;0),$N$327)))</f>
        <v>127.8</v>
      </c>
      <c r="C115" s="113" t="s">
        <v>237</v>
      </c>
      <c r="D115" s="441" t="str">
        <f>IF(AND($D$29=0,$D$30=0,$D$31=0),$P$258,IF(AND($D$29&gt;0,$D$30&gt;0,$D$30&lt;=0.5*$B$45,$D$31=0),$P$286,IF(AND($D$29&gt;0,$D$30&gt;0,$D$30&lt;=0.5*$B$45,$D$31&gt;0),$P$327)))</f>
        <v>Rvg = (1/1.5)*0.60*Fyb*Cv*Avg</v>
      </c>
      <c r="E115" s="10"/>
      <c r="F115" s="10"/>
      <c r="G115" s="10"/>
      <c r="H115" s="10"/>
      <c r="I115" s="389" t="str">
        <f>IF($B$115&gt;=$D$16,"Rvg &gt;= R,  O.K.  ","Rvg &lt; R, N.G.  ")</f>
        <v>Rvg &gt;= R,  O.K.  </v>
      </c>
      <c r="M115" s="483">
        <v>0.8</v>
      </c>
      <c r="N115" s="478">
        <v>0.797</v>
      </c>
      <c r="O115" s="479">
        <v>1.01</v>
      </c>
      <c r="P115" s="480">
        <v>1.25</v>
      </c>
      <c r="Q115" s="480">
        <v>1.5</v>
      </c>
      <c r="R115" s="480">
        <v>1.77</v>
      </c>
      <c r="S115" s="480">
        <v>2.06</v>
      </c>
      <c r="T115" s="320">
        <v>2.35</v>
      </c>
      <c r="U115" s="480">
        <v>2.65</v>
      </c>
      <c r="V115" s="320">
        <v>2.96</v>
      </c>
      <c r="W115" s="480">
        <v>3.29</v>
      </c>
      <c r="X115" s="480">
        <v>3.63</v>
      </c>
      <c r="Y115" s="480">
        <v>4.35</v>
      </c>
      <c r="Z115" s="481">
        <v>5.11</v>
      </c>
      <c r="AA115" s="480">
        <v>5.91</v>
      </c>
      <c r="AB115" s="480">
        <v>6.74</v>
      </c>
      <c r="AC115" s="321">
        <v>7.6</v>
      </c>
      <c r="AF115" s="405" t="s">
        <v>805</v>
      </c>
      <c r="AG115" s="406">
        <v>30.3</v>
      </c>
      <c r="AH115" s="407">
        <v>24.5</v>
      </c>
      <c r="AI115" s="408">
        <v>0.55</v>
      </c>
      <c r="AJ115" s="409">
        <v>9</v>
      </c>
      <c r="AK115" s="408">
        <v>0.98</v>
      </c>
      <c r="AL115" s="410">
        <v>1.48</v>
      </c>
      <c r="AN115" s="50" t="s">
        <v>388</v>
      </c>
      <c r="AO115" s="100">
        <f>$D$16/$B$115</f>
        <v>0.3129890453834116</v>
      </c>
    </row>
    <row r="116" spans="1:41" ht="12.75">
      <c r="A116" s="19"/>
      <c r="B116" s="10"/>
      <c r="C116" s="10"/>
      <c r="D116" s="10"/>
      <c r="E116" s="10"/>
      <c r="F116" s="10"/>
      <c r="G116" s="10"/>
      <c r="H116" s="10"/>
      <c r="I116" s="389"/>
      <c r="M116" s="483">
        <v>0.9</v>
      </c>
      <c r="N116" s="478">
        <v>0.719</v>
      </c>
      <c r="O116" s="479">
        <v>0.911</v>
      </c>
      <c r="P116" s="480">
        <v>1.12</v>
      </c>
      <c r="Q116" s="480">
        <v>1.35</v>
      </c>
      <c r="R116" s="480">
        <v>1.6</v>
      </c>
      <c r="S116" s="480">
        <v>1.87</v>
      </c>
      <c r="T116" s="480">
        <v>2.14</v>
      </c>
      <c r="U116" s="480">
        <v>2.41</v>
      </c>
      <c r="V116" s="480">
        <v>2.71</v>
      </c>
      <c r="W116" s="480">
        <v>3.01</v>
      </c>
      <c r="X116" s="480">
        <v>3.33</v>
      </c>
      <c r="Y116" s="480">
        <v>4.01</v>
      </c>
      <c r="Z116" s="481">
        <v>4.73</v>
      </c>
      <c r="AA116" s="320">
        <v>5.49</v>
      </c>
      <c r="AB116" s="480">
        <v>6.28</v>
      </c>
      <c r="AC116" s="321">
        <v>7.11</v>
      </c>
      <c r="AF116" s="405" t="s">
        <v>806</v>
      </c>
      <c r="AG116" s="406">
        <v>27.7</v>
      </c>
      <c r="AH116" s="407">
        <v>24.3</v>
      </c>
      <c r="AI116" s="408">
        <v>0.515</v>
      </c>
      <c r="AJ116" s="409">
        <v>9.07</v>
      </c>
      <c r="AK116" s="408">
        <v>0.875</v>
      </c>
      <c r="AL116" s="410">
        <v>1.38</v>
      </c>
      <c r="AN116" s="50"/>
      <c r="AO116" s="100"/>
    </row>
    <row r="117" spans="1:41" ht="12.75">
      <c r="A117" s="73" t="str">
        <f>IF(AND($D$29=0,$D$30=0,$D$31=0),$M$259,IF(AND($D$29&gt;0,$D$30&gt;0,$D$31=0),$M$287,IF(AND($D$29&gt;0,$D$30&gt;0,$D$31&gt;0),$M$328)))</f>
        <v>  Shear Rupture Capacity of Beam Web:</v>
      </c>
      <c r="B117" s="10"/>
      <c r="C117" s="10"/>
      <c r="D117" s="10"/>
      <c r="E117" s="10"/>
      <c r="F117" s="10"/>
      <c r="G117" s="10"/>
      <c r="H117" s="10"/>
      <c r="I117" s="389"/>
      <c r="M117" s="487">
        <v>1</v>
      </c>
      <c r="N117" s="478">
        <v>0.653</v>
      </c>
      <c r="O117" s="479">
        <v>0.828</v>
      </c>
      <c r="P117" s="320">
        <v>1.02</v>
      </c>
      <c r="Q117" s="480">
        <v>1.23</v>
      </c>
      <c r="R117" s="480">
        <v>1.46</v>
      </c>
      <c r="S117" s="480">
        <v>1.7</v>
      </c>
      <c r="T117" s="480">
        <v>1.96</v>
      </c>
      <c r="U117" s="480">
        <v>2.21</v>
      </c>
      <c r="V117" s="480">
        <v>2.49</v>
      </c>
      <c r="W117" s="480">
        <v>2.78</v>
      </c>
      <c r="X117" s="480">
        <v>3.08</v>
      </c>
      <c r="Y117" s="480">
        <v>3.72</v>
      </c>
      <c r="Z117" s="481">
        <v>4.4</v>
      </c>
      <c r="AA117" s="480">
        <v>5.12</v>
      </c>
      <c r="AB117" s="480">
        <v>5.88</v>
      </c>
      <c r="AC117" s="482">
        <v>6.67</v>
      </c>
      <c r="AF117" s="405" t="s">
        <v>807</v>
      </c>
      <c r="AG117" s="406">
        <v>24.7</v>
      </c>
      <c r="AH117" s="407">
        <v>24.1</v>
      </c>
      <c r="AI117" s="408">
        <v>0.47</v>
      </c>
      <c r="AJ117" s="409">
        <v>9.02</v>
      </c>
      <c r="AK117" s="408">
        <v>0.77</v>
      </c>
      <c r="AL117" s="410">
        <v>1.27</v>
      </c>
      <c r="AN117" s="50"/>
      <c r="AO117" s="100"/>
    </row>
    <row r="118" spans="1:41" ht="12.75">
      <c r="A118" s="69" t="s">
        <v>253</v>
      </c>
      <c r="B118" s="184" t="str">
        <f>IF(AND($D$29=0,$D$30=0,$D$31=0),$N$260,IF(AND($D$29&gt;0,$D$30&gt;0,$D$30&lt;=0.5*$B$45,$D$31=0),$N$288,IF(AND($D$29&gt;0,$D$30&gt;0,$D$30&lt;=0.5*$B$45,$D$31&gt;0),$N$329)))</f>
        <v>N.A.</v>
      </c>
      <c r="C118" s="113" t="s">
        <v>243</v>
      </c>
      <c r="D118" s="440" t="str">
        <f>IF(AND($D$29=0,$D$30=0,$D$31=0),$P$260,IF(AND($D$29&gt;0,$D$30&gt;0,$D$30&lt;=0.5*$B$45,$D$31=0),$P$288,IF(AND($D$29&gt;0,$D$30&gt;0,$D$30&lt;=0.5*$B$45,$D$31&gt;0),$P$329)))</f>
        <v>Avn = not applicable for uncoped beam</v>
      </c>
      <c r="E118" s="10"/>
      <c r="F118" s="10"/>
      <c r="G118" s="10"/>
      <c r="H118" s="10"/>
      <c r="I118" s="389"/>
      <c r="M118" s="487">
        <v>1.2</v>
      </c>
      <c r="N118" s="478">
        <v>0.551</v>
      </c>
      <c r="O118" s="479">
        <v>0.699</v>
      </c>
      <c r="P118" s="480">
        <v>0.861</v>
      </c>
      <c r="Q118" s="480">
        <v>1.04</v>
      </c>
      <c r="R118" s="480">
        <v>1.24</v>
      </c>
      <c r="S118" s="480">
        <v>1.45</v>
      </c>
      <c r="T118" s="480">
        <v>1.67</v>
      </c>
      <c r="U118" s="480">
        <v>1.9</v>
      </c>
      <c r="V118" s="480">
        <v>2.14</v>
      </c>
      <c r="W118" s="480">
        <v>2.39</v>
      </c>
      <c r="X118" s="480">
        <v>2.66</v>
      </c>
      <c r="Y118" s="480">
        <v>3.23</v>
      </c>
      <c r="Z118" s="481">
        <v>3.84</v>
      </c>
      <c r="AA118" s="480">
        <v>4.49</v>
      </c>
      <c r="AB118" s="480">
        <v>5.18</v>
      </c>
      <c r="AC118" s="482">
        <v>5.9</v>
      </c>
      <c r="AF118" s="405" t="s">
        <v>808</v>
      </c>
      <c r="AG118" s="406">
        <v>22.4</v>
      </c>
      <c r="AH118" s="407">
        <v>23.9</v>
      </c>
      <c r="AI118" s="408">
        <v>0.44</v>
      </c>
      <c r="AJ118" s="409">
        <v>8.99</v>
      </c>
      <c r="AK118" s="408">
        <v>0.68</v>
      </c>
      <c r="AL118" s="410">
        <v>1.18</v>
      </c>
      <c r="AN118" s="50"/>
      <c r="AO118" s="100"/>
    </row>
    <row r="119" spans="1:41" ht="12.75">
      <c r="A119" s="69" t="s">
        <v>254</v>
      </c>
      <c r="B119" s="183" t="str">
        <f>IF(AND($D$29=0,$D$30=0,$D$31=0),$N$261,IF(AND($D$29&gt;0,$D$30&gt;0,$D$30&lt;=0.5*$B$45,$D$31=0),$N$289,IF(AND($D$29&gt;0,$D$30&gt;0,$D$30&lt;=0.5*$B$45,$D$31&gt;0),$N$330)))</f>
        <v>N.A.</v>
      </c>
      <c r="C119" s="113" t="s">
        <v>237</v>
      </c>
      <c r="D119" s="441" t="str">
        <f>IF(AND($D$29=0,$D$30=0,$D$31=0),$P$261,IF(AND($D$29&gt;0,$D$30&gt;0,$D$30&lt;=0.5*$B$45,$D$31=0),$P$289,IF(AND($D$29&gt;0,$D$30&gt;0,$D$30&lt;=0.5*$B$45,$D$31&gt;0),$P$330)))</f>
        <v>Rvn = (1/2)*0.60*Fub*Avn</v>
      </c>
      <c r="E119" s="10"/>
      <c r="F119" s="10"/>
      <c r="G119" s="10"/>
      <c r="H119" s="10"/>
      <c r="I119" s="389">
        <f>IF($B$119="N.A.","",IF($B$119&gt;=$D$16,"Rvn &gt;= R,  O.K.  ","Rvn &lt; R, N.G.  "))</f>
      </c>
      <c r="M119" s="487">
        <v>1.4</v>
      </c>
      <c r="N119" s="478">
        <v>0.476</v>
      </c>
      <c r="O119" s="479">
        <v>0.603</v>
      </c>
      <c r="P119" s="480">
        <v>0.744</v>
      </c>
      <c r="Q119" s="480">
        <v>0.9</v>
      </c>
      <c r="R119" s="480">
        <v>1.07</v>
      </c>
      <c r="S119" s="480">
        <v>1.26</v>
      </c>
      <c r="T119" s="480">
        <v>1.46</v>
      </c>
      <c r="U119" s="480">
        <v>1.66</v>
      </c>
      <c r="V119" s="480">
        <v>1.87</v>
      </c>
      <c r="W119" s="480">
        <v>2.1</v>
      </c>
      <c r="X119" s="480">
        <v>2.33</v>
      </c>
      <c r="Y119" s="480">
        <v>2.84</v>
      </c>
      <c r="Z119" s="481">
        <v>3.39</v>
      </c>
      <c r="AA119" s="480">
        <v>3.98</v>
      </c>
      <c r="AB119" s="320">
        <v>4.6</v>
      </c>
      <c r="AC119" s="482">
        <v>5.26</v>
      </c>
      <c r="AF119" s="405" t="s">
        <v>809</v>
      </c>
      <c r="AG119" s="406">
        <v>20.1</v>
      </c>
      <c r="AH119" s="407">
        <v>23.7</v>
      </c>
      <c r="AI119" s="408">
        <v>0.415</v>
      </c>
      <c r="AJ119" s="409">
        <v>8.97</v>
      </c>
      <c r="AK119" s="408">
        <v>0.585</v>
      </c>
      <c r="AL119" s="410">
        <v>1.09</v>
      </c>
      <c r="AN119" s="50" t="str">
        <f>IF(AO119="","N.A.","SR =")</f>
        <v>N.A.</v>
      </c>
      <c r="AO119" s="100">
        <f>IF($B$119="N.A.","",$D$16/$B$119)</f>
      </c>
    </row>
    <row r="120" spans="1:38" ht="12.75">
      <c r="A120" s="19"/>
      <c r="B120" s="10"/>
      <c r="C120" s="10"/>
      <c r="D120" s="10"/>
      <c r="E120" s="10"/>
      <c r="F120" s="10"/>
      <c r="G120" s="10"/>
      <c r="H120" s="10"/>
      <c r="I120" s="389"/>
      <c r="M120" s="487">
        <v>1.6</v>
      </c>
      <c r="N120" s="478">
        <v>0.419</v>
      </c>
      <c r="O120" s="479">
        <v>0.531</v>
      </c>
      <c r="P120" s="480">
        <v>0.655</v>
      </c>
      <c r="Q120" s="480">
        <v>0.793</v>
      </c>
      <c r="R120" s="480">
        <v>0.944</v>
      </c>
      <c r="S120" s="480">
        <v>1.11</v>
      </c>
      <c r="T120" s="480">
        <v>1.29</v>
      </c>
      <c r="U120" s="480">
        <v>1.47</v>
      </c>
      <c r="V120" s="480">
        <v>1.66</v>
      </c>
      <c r="W120" s="480">
        <v>1.86</v>
      </c>
      <c r="X120" s="480">
        <v>2.08</v>
      </c>
      <c r="Y120" s="480">
        <v>2.53</v>
      </c>
      <c r="Z120" s="481">
        <v>3.03</v>
      </c>
      <c r="AA120" s="480">
        <v>3.57</v>
      </c>
      <c r="AB120" s="480">
        <v>4.14</v>
      </c>
      <c r="AC120" s="482">
        <v>4.75</v>
      </c>
      <c r="AF120" s="405" t="s">
        <v>810</v>
      </c>
      <c r="AG120" s="406">
        <v>18.2</v>
      </c>
      <c r="AH120" s="407">
        <v>23.7</v>
      </c>
      <c r="AI120" s="408">
        <v>0.43</v>
      </c>
      <c r="AJ120" s="409">
        <v>7.04</v>
      </c>
      <c r="AK120" s="408">
        <v>0.59</v>
      </c>
      <c r="AL120" s="410">
        <v>1.09</v>
      </c>
    </row>
    <row r="121" spans="1:41" ht="12.75">
      <c r="A121" s="73" t="str">
        <f>IF(AND($D$29=0,$D$30=0,$D$31=0),$M$262,IF(AND($D$29&gt;0,$D$30&gt;0,$D$31=0),$M$290,IF(AND($D$29&gt;0,$D$30&gt;0,$D$31&gt;0),$M$331)))</f>
        <v>  Gross Tension Capacity of Beam:</v>
      </c>
      <c r="B121" s="10"/>
      <c r="C121" s="10"/>
      <c r="D121" s="10"/>
      <c r="E121" s="10"/>
      <c r="F121" s="10"/>
      <c r="G121" s="10"/>
      <c r="H121" s="10"/>
      <c r="I121" s="389"/>
      <c r="M121" s="487">
        <v>1.8</v>
      </c>
      <c r="N121" s="478">
        <v>0.373</v>
      </c>
      <c r="O121" s="324">
        <v>0.473</v>
      </c>
      <c r="P121" s="480">
        <v>0.584</v>
      </c>
      <c r="Q121" s="480">
        <v>0.708</v>
      </c>
      <c r="R121" s="480">
        <v>0.844</v>
      </c>
      <c r="S121" s="480">
        <v>0.995</v>
      </c>
      <c r="T121" s="480">
        <v>1.16</v>
      </c>
      <c r="U121" s="480">
        <v>1.32</v>
      </c>
      <c r="V121" s="480">
        <v>1.49</v>
      </c>
      <c r="W121" s="480">
        <v>1.67</v>
      </c>
      <c r="X121" s="480">
        <v>1.87</v>
      </c>
      <c r="Y121" s="480">
        <v>2.28</v>
      </c>
      <c r="Z121" s="481">
        <v>2.73</v>
      </c>
      <c r="AA121" s="480">
        <v>3.23</v>
      </c>
      <c r="AB121" s="480">
        <v>3.75</v>
      </c>
      <c r="AC121" s="321">
        <v>4.31</v>
      </c>
      <c r="AF121" s="405" t="s">
        <v>811</v>
      </c>
      <c r="AG121" s="406">
        <v>16.2</v>
      </c>
      <c r="AH121" s="407">
        <v>23.6</v>
      </c>
      <c r="AI121" s="408">
        <v>0.395</v>
      </c>
      <c r="AJ121" s="409">
        <v>7.01</v>
      </c>
      <c r="AK121" s="408">
        <v>0.505</v>
      </c>
      <c r="AL121" s="410">
        <v>1.01</v>
      </c>
      <c r="AN121" s="50"/>
      <c r="AO121" s="100"/>
    </row>
    <row r="122" spans="1:41" ht="12.75">
      <c r="A122" s="51" t="s">
        <v>35</v>
      </c>
      <c r="B122" s="184">
        <f>IF(AND($D$29=0,$D$30=0,$D$31=0),$N$263,IF(AND($D$29&gt;0,$D$30&gt;0,$D$30&lt;=0.5*$B$45,$D$31=0),$N$291,IF(AND($D$29&gt;0,$D$30&gt;0,$D$30&lt;=0.5*$B$45,$D$31&gt;0),$N$332)))</f>
        <v>14.7</v>
      </c>
      <c r="C122" s="10"/>
      <c r="D122" s="440" t="str">
        <f>IF(AND($D$29=0,$D$30=0,$D$31=0),$P$263,IF(AND($D$29&gt;0,$D$30&gt;0,$D$30&lt;=0.5*$B$45,$D$31=0),$P$291,IF(AND($D$29&gt;0,$D$30&gt;0,$D$30&lt;=0.5*$B$45,$D$31&gt;0),$P$332)))</f>
        <v>Atg = A</v>
      </c>
      <c r="E122" s="10"/>
      <c r="F122" s="10"/>
      <c r="G122" s="10"/>
      <c r="H122" s="10"/>
      <c r="I122" s="389"/>
      <c r="M122" s="487">
        <v>2</v>
      </c>
      <c r="N122" s="478">
        <v>0.337</v>
      </c>
      <c r="O122" s="488">
        <v>0.427</v>
      </c>
      <c r="P122" s="489">
        <v>0.527</v>
      </c>
      <c r="Q122" s="489">
        <v>0.639</v>
      </c>
      <c r="R122" s="489">
        <v>0.763</v>
      </c>
      <c r="S122" s="489">
        <v>0.9</v>
      </c>
      <c r="T122" s="489">
        <v>1.05</v>
      </c>
      <c r="U122" s="489">
        <v>1.19</v>
      </c>
      <c r="V122" s="489">
        <v>1.35</v>
      </c>
      <c r="W122" s="489">
        <v>1.52</v>
      </c>
      <c r="X122" s="489">
        <v>1.69</v>
      </c>
      <c r="Y122" s="489">
        <v>2.07</v>
      </c>
      <c r="Z122" s="490">
        <v>2.49</v>
      </c>
      <c r="AA122" s="489">
        <v>2.94</v>
      </c>
      <c r="AB122" s="489">
        <v>3.43</v>
      </c>
      <c r="AC122" s="491">
        <v>3.95</v>
      </c>
      <c r="AF122" s="405" t="s">
        <v>812</v>
      </c>
      <c r="AG122" s="406">
        <v>59.2</v>
      </c>
      <c r="AH122" s="407">
        <v>23</v>
      </c>
      <c r="AI122" s="408">
        <v>0.91</v>
      </c>
      <c r="AJ122" s="407">
        <v>12.6</v>
      </c>
      <c r="AK122" s="409">
        <v>1.63</v>
      </c>
      <c r="AL122" s="410">
        <v>2.13</v>
      </c>
      <c r="AN122" s="50"/>
      <c r="AO122" s="100"/>
    </row>
    <row r="123" spans="1:41" ht="12.75">
      <c r="A123" s="51" t="s">
        <v>36</v>
      </c>
      <c r="B123" s="183">
        <f>IF(AND($D$29=0,$D$30=0,$D$31=0),$N$264,IF(AND($D$29&gt;0,$D$30&gt;0,$D$30&lt;=0.5*$B$45,$D$31=0),$N$292,IF(AND($D$29&gt;0,$D$30&gt;0,$D$30&lt;=0.5*$B$45,$D$31&gt;0),$N$333)))</f>
        <v>397.7986951442615</v>
      </c>
      <c r="C123" s="10"/>
      <c r="D123" s="441" t="str">
        <f>IF(AND($D$29=0,$D$30=0,$D$31=0),$P$264,IF(AND($D$29&gt;0,$D$30&gt;0,$D$30&lt;=0.5*$B$45,$D$31=0),$P$292,IF(AND($D$29&gt;0,$D$30&gt;0,$D$30&lt;=0.5*$B$45,$D$31&gt;0),$P$333)))</f>
        <v>Rtg = (0.60*Fyb*Atg)*(1-(R/Rvg)^2)</v>
      </c>
      <c r="E123" s="10"/>
      <c r="F123" s="10"/>
      <c r="G123" s="10"/>
      <c r="H123" s="10"/>
      <c r="I123" s="389" t="str">
        <f>IF($D$17&gt;0,IF($B$123&gt;=$D$17,"Rtg &gt;= P,  O.K.  ","Rtg &lt; P, N.G.  "),"")</f>
        <v>Rtg &gt;= P,  O.K.  </v>
      </c>
      <c r="M123" s="487">
        <v>2.2</v>
      </c>
      <c r="N123" s="492">
        <v>0.307</v>
      </c>
      <c r="O123" s="479">
        <v>0.388</v>
      </c>
      <c r="P123" s="480">
        <v>0.48</v>
      </c>
      <c r="Q123" s="480">
        <v>0.583</v>
      </c>
      <c r="R123" s="480">
        <v>0.696</v>
      </c>
      <c r="S123" s="480">
        <v>0.821</v>
      </c>
      <c r="T123" s="480">
        <v>0.956</v>
      </c>
      <c r="U123" s="480">
        <v>1.09</v>
      </c>
      <c r="V123" s="320">
        <v>1.23</v>
      </c>
      <c r="W123" s="480">
        <v>1.39</v>
      </c>
      <c r="X123" s="320">
        <v>1.55</v>
      </c>
      <c r="Y123" s="480">
        <v>1.9</v>
      </c>
      <c r="Z123" s="480">
        <v>2.28</v>
      </c>
      <c r="AA123" s="480">
        <v>2.7</v>
      </c>
      <c r="AB123" s="480">
        <v>3.15</v>
      </c>
      <c r="AC123" s="482">
        <v>3.64</v>
      </c>
      <c r="AF123" s="405" t="s">
        <v>813</v>
      </c>
      <c r="AG123" s="406">
        <v>53.6</v>
      </c>
      <c r="AH123" s="407">
        <v>22.7</v>
      </c>
      <c r="AI123" s="408">
        <v>0.83</v>
      </c>
      <c r="AJ123" s="407">
        <v>12.5</v>
      </c>
      <c r="AK123" s="409">
        <v>1.48</v>
      </c>
      <c r="AL123" s="410">
        <v>1.98</v>
      </c>
      <c r="AN123" s="50" t="str">
        <f>IF(AO123="","N.A.","SR =")</f>
        <v>SR =</v>
      </c>
      <c r="AO123" s="100">
        <f>IF($D$17&gt;0,$D$17/$B$123,"")</f>
        <v>0.012569171445338081</v>
      </c>
    </row>
    <row r="124" spans="1:41" ht="12.75">
      <c r="A124" s="19"/>
      <c r="B124" s="10"/>
      <c r="C124" s="10"/>
      <c r="D124" s="10"/>
      <c r="E124" s="10"/>
      <c r="F124" s="10"/>
      <c r="G124" s="10"/>
      <c r="H124" s="10"/>
      <c r="I124" s="389"/>
      <c r="M124" s="487">
        <v>2.4</v>
      </c>
      <c r="N124" s="478">
        <v>0.281</v>
      </c>
      <c r="O124" s="493">
        <v>0.356</v>
      </c>
      <c r="P124" s="494">
        <v>0.44</v>
      </c>
      <c r="Q124" s="326">
        <v>0.535</v>
      </c>
      <c r="R124" s="494">
        <v>0.639</v>
      </c>
      <c r="S124" s="494">
        <v>0.755</v>
      </c>
      <c r="T124" s="494">
        <v>0.879</v>
      </c>
      <c r="U124" s="494">
        <v>1</v>
      </c>
      <c r="V124" s="495">
        <v>1.14</v>
      </c>
      <c r="W124" s="494">
        <v>1.28</v>
      </c>
      <c r="X124" s="494">
        <v>1.43</v>
      </c>
      <c r="Y124" s="495">
        <v>1.75</v>
      </c>
      <c r="Z124" s="496">
        <v>2.11</v>
      </c>
      <c r="AA124" s="494">
        <v>2.5</v>
      </c>
      <c r="AB124" s="494">
        <v>2.92</v>
      </c>
      <c r="AC124" s="497">
        <v>3.37</v>
      </c>
      <c r="AF124" s="405" t="s">
        <v>814</v>
      </c>
      <c r="AG124" s="406">
        <v>48.8</v>
      </c>
      <c r="AH124" s="407">
        <v>22.5</v>
      </c>
      <c r="AI124" s="408">
        <v>0.75</v>
      </c>
      <c r="AJ124" s="407">
        <v>12.4</v>
      </c>
      <c r="AK124" s="409">
        <v>1.36</v>
      </c>
      <c r="AL124" s="410">
        <v>1.86</v>
      </c>
      <c r="AN124" s="50"/>
      <c r="AO124" s="100"/>
    </row>
    <row r="125" spans="1:41" ht="12.75">
      <c r="A125" s="73" t="str">
        <f>IF(AND($D$29=0,$D$30=0,$D$31=0),$M$265,IF(AND($D$29&gt;0,$D$30&gt;0,$D$31=0),$M$293,IF(AND($D$29&gt;0,$D$30&gt;0,$D$31&gt;0),$M$334)))</f>
        <v>  Block Shear ("L-shaped") Capacity of Beam Web:</v>
      </c>
      <c r="B125" s="45"/>
      <c r="C125" s="129"/>
      <c r="D125" s="45"/>
      <c r="E125" s="10"/>
      <c r="F125" s="10"/>
      <c r="G125" s="10"/>
      <c r="H125" s="10"/>
      <c r="I125" s="389"/>
      <c r="M125" s="487">
        <v>2.6</v>
      </c>
      <c r="N125" s="478">
        <v>0.26</v>
      </c>
      <c r="O125" s="324">
        <v>0.329</v>
      </c>
      <c r="P125" s="480">
        <v>0.407</v>
      </c>
      <c r="Q125" s="480">
        <v>0.493</v>
      </c>
      <c r="R125" s="480">
        <v>0.592</v>
      </c>
      <c r="S125" s="480">
        <v>0.699</v>
      </c>
      <c r="T125" s="480">
        <v>0.813</v>
      </c>
      <c r="U125" s="319">
        <v>0.929</v>
      </c>
      <c r="V125" s="480">
        <v>1.05</v>
      </c>
      <c r="W125" s="480">
        <v>1.19</v>
      </c>
      <c r="X125" s="480">
        <v>1.32</v>
      </c>
      <c r="Y125" s="480">
        <v>1.62</v>
      </c>
      <c r="Z125" s="485">
        <v>1.96</v>
      </c>
      <c r="AA125" s="480">
        <v>2.32</v>
      </c>
      <c r="AB125" s="480">
        <v>2.71</v>
      </c>
      <c r="AC125" s="482">
        <v>3.14</v>
      </c>
      <c r="AF125" s="405" t="s">
        <v>815</v>
      </c>
      <c r="AG125" s="406">
        <v>43.2</v>
      </c>
      <c r="AH125" s="407">
        <v>22.1</v>
      </c>
      <c r="AI125" s="408">
        <v>0.72</v>
      </c>
      <c r="AJ125" s="407">
        <v>12.5</v>
      </c>
      <c r="AK125" s="409">
        <v>1.15</v>
      </c>
      <c r="AL125" s="410">
        <v>1.65</v>
      </c>
      <c r="AN125" s="50"/>
      <c r="AO125" s="100"/>
    </row>
    <row r="126" spans="1:41" ht="12.75">
      <c r="A126" s="69" t="s">
        <v>601</v>
      </c>
      <c r="B126" s="184" t="str">
        <f>IF(AND($D$29=0,$D$30=0,$D$31=0),$N$266,IF(AND($D$29&gt;0,$D$30&gt;0,$D$31=0),$N$294,IF(AND($D$29&gt;0,$D$30&gt;0,$D$31&gt;0),$N$335)))</f>
        <v>N.A.</v>
      </c>
      <c r="C126" s="113" t="s">
        <v>243</v>
      </c>
      <c r="D126" s="52" t="str">
        <f>IF(AND($D$29=0,$D$30=0,$D$31=0),$P$266,IF(AND($D$29&gt;0,$D$30&gt;0,$D$31=0),$P$294,IF(AND($D$29&gt;0,$D$30&gt;0,$D$31&gt;0),$P$335)))</f>
        <v>Agv = not applicable for uncoped beam</v>
      </c>
      <c r="E126" s="10"/>
      <c r="F126" s="10"/>
      <c r="G126" s="10"/>
      <c r="H126" s="10"/>
      <c r="I126" s="389"/>
      <c r="M126" s="487">
        <v>2.8</v>
      </c>
      <c r="N126" s="478">
        <v>0.243</v>
      </c>
      <c r="O126" s="479">
        <v>0.307</v>
      </c>
      <c r="P126" s="480">
        <v>0.379</v>
      </c>
      <c r="Q126" s="480">
        <v>0.459</v>
      </c>
      <c r="R126" s="480">
        <v>0.549</v>
      </c>
      <c r="S126" s="480">
        <v>0.649</v>
      </c>
      <c r="T126" s="480">
        <v>0.757</v>
      </c>
      <c r="U126" s="480">
        <v>0.865</v>
      </c>
      <c r="V126" s="480">
        <v>0.981</v>
      </c>
      <c r="W126" s="480">
        <v>1.1</v>
      </c>
      <c r="X126" s="480">
        <v>1.23</v>
      </c>
      <c r="Y126" s="480">
        <v>1.51</v>
      </c>
      <c r="Z126" s="481">
        <v>1.82</v>
      </c>
      <c r="AA126" s="320">
        <v>2.16</v>
      </c>
      <c r="AB126" s="480">
        <v>2.54</v>
      </c>
      <c r="AC126" s="482">
        <v>2.94</v>
      </c>
      <c r="AF126" s="405" t="s">
        <v>816</v>
      </c>
      <c r="AG126" s="406">
        <v>38.8</v>
      </c>
      <c r="AH126" s="407">
        <v>21.8</v>
      </c>
      <c r="AI126" s="408">
        <v>0.65</v>
      </c>
      <c r="AJ126" s="407">
        <v>12.4</v>
      </c>
      <c r="AK126" s="409">
        <v>1.04</v>
      </c>
      <c r="AL126" s="410">
        <v>1.54</v>
      </c>
      <c r="AN126" s="50"/>
      <c r="AO126" s="100"/>
    </row>
    <row r="127" spans="1:41" ht="12.75">
      <c r="A127" s="69" t="s">
        <v>602</v>
      </c>
      <c r="B127" s="175" t="str">
        <f>IF(AND($D$29=0,$D$30=0,$D$31=0),$N$267,IF(AND($D$29&gt;0,$D$30&gt;0,$D$31=0),$N$295,IF(AND($D$29&gt;0,$D$30&gt;0,$D$31&gt;0),$N$336)))</f>
        <v>N.A.</v>
      </c>
      <c r="C127" s="113" t="s">
        <v>243</v>
      </c>
      <c r="D127" s="52" t="str">
        <f>IF(AND($D$29=0,$D$30=0,$D$31=0),$P$267,IF(AND($D$29&gt;0,$D$30&gt;0,$D$31=0),$P$295,IF(AND($D$29&gt;0,$D$30&gt;0,$D$31&gt;0),$P$336)))</f>
        <v>Ant = not applicable for uncoped beam</v>
      </c>
      <c r="E127" s="10"/>
      <c r="F127" s="10"/>
      <c r="G127" s="10"/>
      <c r="H127" s="10"/>
      <c r="I127" s="389"/>
      <c r="M127" s="498">
        <v>3</v>
      </c>
      <c r="N127" s="499">
        <v>0.227</v>
      </c>
      <c r="O127" s="500">
        <v>0.285</v>
      </c>
      <c r="P127" s="501">
        <v>0.353</v>
      </c>
      <c r="Q127" s="501">
        <v>0.428</v>
      </c>
      <c r="R127" s="322">
        <v>0.515</v>
      </c>
      <c r="S127" s="501">
        <v>0.608</v>
      </c>
      <c r="T127" s="501">
        <v>0.708</v>
      </c>
      <c r="U127" s="501">
        <v>0.809</v>
      </c>
      <c r="V127" s="501">
        <v>0.917</v>
      </c>
      <c r="W127" s="501">
        <v>1.03</v>
      </c>
      <c r="X127" s="501">
        <v>1.15</v>
      </c>
      <c r="Y127" s="501">
        <v>1.42</v>
      </c>
      <c r="Z127" s="502">
        <v>1.71</v>
      </c>
      <c r="AA127" s="501">
        <v>2.03</v>
      </c>
      <c r="AB127" s="501">
        <v>2.38</v>
      </c>
      <c r="AC127" s="503">
        <v>2.76</v>
      </c>
      <c r="AF127" s="405" t="s">
        <v>817</v>
      </c>
      <c r="AG127" s="406">
        <v>35.9</v>
      </c>
      <c r="AH127" s="407">
        <v>21.7</v>
      </c>
      <c r="AI127" s="408">
        <v>0.6</v>
      </c>
      <c r="AJ127" s="407">
        <v>12.4</v>
      </c>
      <c r="AK127" s="408">
        <v>0.96</v>
      </c>
      <c r="AL127" s="410">
        <v>1.46</v>
      </c>
      <c r="AN127" s="50"/>
      <c r="AO127" s="100"/>
    </row>
    <row r="128" spans="1:41" ht="12.75">
      <c r="A128" s="69" t="s">
        <v>220</v>
      </c>
      <c r="B128" s="183" t="str">
        <f>IF(AND($D$29=0,$D$30=0,$D$31=0),$N$268,IF(AND($D$29&gt;0,$D$30&gt;0,$D$31=0),$N$296,IF(AND($D$29&gt;0,$D$30&gt;0,$D$31&gt;0),$N$337)))</f>
        <v>N.A.</v>
      </c>
      <c r="C128" s="113" t="s">
        <v>237</v>
      </c>
      <c r="D128" s="52" t="str">
        <f>IF(AND($D$29=0,$D$30=0,$D$31=0),$P$268,IF(AND($D$29&gt;0,$D$30&gt;0,$D$31=0),$P$296,IF(AND($D$29&gt;0,$D$30&gt;0,$D$31&gt;0),$P$337)))</f>
        <v>Rbs = not applicable for uncoped beam</v>
      </c>
      <c r="E128" s="10"/>
      <c r="F128" s="10"/>
      <c r="G128" s="10"/>
      <c r="H128" s="80"/>
      <c r="I128" s="389">
        <f>IF(AND($D$29=0,$D$30=0,$D$31=0),"",IF($B$128&gt;=$D$16,"Rbs &gt;= R,  O.K.  ","Rbs &lt; R, N.G.  "))</f>
      </c>
      <c r="M128" s="504" t="s">
        <v>526</v>
      </c>
      <c r="N128" s="505">
        <v>0</v>
      </c>
      <c r="O128" s="325">
        <v>0.008</v>
      </c>
      <c r="P128" s="322">
        <v>0.029</v>
      </c>
      <c r="Q128" s="322">
        <v>0.056</v>
      </c>
      <c r="R128" s="322">
        <v>0.089</v>
      </c>
      <c r="S128" s="322">
        <v>0.125</v>
      </c>
      <c r="T128" s="322">
        <v>0.164</v>
      </c>
      <c r="U128" s="322">
        <v>0.204</v>
      </c>
      <c r="V128" s="322">
        <v>0.246</v>
      </c>
      <c r="W128" s="322">
        <v>0.289</v>
      </c>
      <c r="X128" s="322">
        <v>0.333</v>
      </c>
      <c r="Y128" s="322">
        <v>0.424</v>
      </c>
      <c r="Z128" s="506">
        <v>0.516</v>
      </c>
      <c r="AA128" s="322">
        <v>0.61</v>
      </c>
      <c r="AB128" s="322">
        <v>0.704</v>
      </c>
      <c r="AC128" s="323">
        <v>0.8</v>
      </c>
      <c r="AF128" s="405" t="s">
        <v>818</v>
      </c>
      <c r="AG128" s="406">
        <v>32.7</v>
      </c>
      <c r="AH128" s="407">
        <v>21.5</v>
      </c>
      <c r="AI128" s="408">
        <v>0.55</v>
      </c>
      <c r="AJ128" s="407">
        <v>12.3</v>
      </c>
      <c r="AK128" s="408">
        <v>0.875</v>
      </c>
      <c r="AL128" s="410">
        <v>1.38</v>
      </c>
      <c r="AN128" s="50" t="str">
        <f>IF(AO128="","N.A.","SR =")</f>
        <v>N.A.</v>
      </c>
      <c r="AO128" s="100">
        <f>IF(AND($D$29=0,$D$30=0,$D$31=0),"",$D$16/$B$128)</f>
      </c>
    </row>
    <row r="129" spans="1:41" ht="12.75">
      <c r="A129" s="19"/>
      <c r="B129" s="10"/>
      <c r="C129" s="112"/>
      <c r="D129" s="10"/>
      <c r="E129" s="10"/>
      <c r="F129" s="10"/>
      <c r="G129" s="10"/>
      <c r="H129" s="10"/>
      <c r="I129" s="389"/>
      <c r="AF129" s="405" t="s">
        <v>819</v>
      </c>
      <c r="AG129" s="406">
        <v>29.8</v>
      </c>
      <c r="AH129" s="407">
        <v>21.4</v>
      </c>
      <c r="AI129" s="408">
        <v>0.5</v>
      </c>
      <c r="AJ129" s="407">
        <v>12.3</v>
      </c>
      <c r="AK129" s="408">
        <v>0.8</v>
      </c>
      <c r="AL129" s="410">
        <v>1.3</v>
      </c>
      <c r="AN129" s="50"/>
      <c r="AO129" s="100"/>
    </row>
    <row r="130" spans="1:41" ht="12.75">
      <c r="A130" s="73" t="str">
        <f>IF(AND($D$29=0,$D$30=0,$D$31=0),M269,IF(AND($D$29&gt;0,$D$30&gt;0,$D$31=0),M297,IF(AND($D$29&gt;0,$D$30&gt;0,$D$31&gt;0),M338)))</f>
        <v>  Tension Tear-Out ("L-shaped") Capacity of Beam Web:</v>
      </c>
      <c r="B130" s="45"/>
      <c r="C130" s="129"/>
      <c r="D130" s="45"/>
      <c r="E130" s="37"/>
      <c r="F130" s="37"/>
      <c r="G130" s="37"/>
      <c r="H130" s="108"/>
      <c r="I130" s="389"/>
      <c r="M130" s="141" t="s">
        <v>529</v>
      </c>
      <c r="N130" s="463"/>
      <c r="O130" s="107"/>
      <c r="P130" s="463"/>
      <c r="Q130" s="463"/>
      <c r="R130" s="143"/>
      <c r="S130" s="143"/>
      <c r="T130" s="143"/>
      <c r="U130" s="142"/>
      <c r="V130" s="143"/>
      <c r="W130" s="143"/>
      <c r="X130" s="143"/>
      <c r="Y130" s="143"/>
      <c r="Z130" s="144"/>
      <c r="AA130" s="143"/>
      <c r="AB130" s="143"/>
      <c r="AC130" s="144"/>
      <c r="AF130" s="405" t="s">
        <v>820</v>
      </c>
      <c r="AG130" s="406">
        <v>27.3</v>
      </c>
      <c r="AH130" s="407">
        <v>21.6</v>
      </c>
      <c r="AI130" s="408">
        <v>0.58</v>
      </c>
      <c r="AJ130" s="409">
        <v>8.42</v>
      </c>
      <c r="AK130" s="408">
        <v>0.93</v>
      </c>
      <c r="AL130" s="410">
        <v>1.43</v>
      </c>
      <c r="AN130" s="50"/>
      <c r="AO130" s="100"/>
    </row>
    <row r="131" spans="1:41" ht="12.75">
      <c r="A131" s="69" t="s">
        <v>601</v>
      </c>
      <c r="B131" s="184" t="str">
        <f>IF(AND($D$29=0,$D$30=0,$D$31=0),$N$270,IF(AND($D$29&gt;0,$D$30&gt;0,$D$31=0),$N$298,IF(AND($D$29&gt;0,$D$30&gt;0,$D$31&gt;0),$N$339)))</f>
        <v>N.A.</v>
      </c>
      <c r="C131" s="113" t="s">
        <v>243</v>
      </c>
      <c r="D131" s="52" t="str">
        <f>IF(AND($D$29=0,$D$30=0,$D$31=0),$P$270,IF(AND($D$29&gt;0,$D$30&gt;0,$D$31=0),$P$298,IF(AND($D$29&gt;0,$D$30&gt;0,$D$31&gt;0),$P$339)))</f>
        <v>Agv = not applicable for uncoped beam</v>
      </c>
      <c r="E131" s="37"/>
      <c r="F131" s="37"/>
      <c r="G131" s="25"/>
      <c r="H131" s="25"/>
      <c r="I131" s="389"/>
      <c r="M131" s="464"/>
      <c r="N131" s="141" t="s">
        <v>323</v>
      </c>
      <c r="O131" s="107"/>
      <c r="P131" s="143"/>
      <c r="Q131" s="143"/>
      <c r="R131" s="143"/>
      <c r="S131" s="143"/>
      <c r="T131" s="465"/>
      <c r="U131" s="143"/>
      <c r="V131" s="143"/>
      <c r="W131" s="143"/>
      <c r="X131" s="143"/>
      <c r="Y131" s="156"/>
      <c r="Z131" s="144"/>
      <c r="AA131" s="143"/>
      <c r="AB131" s="156"/>
      <c r="AC131" s="144"/>
      <c r="AF131" s="405" t="s">
        <v>830</v>
      </c>
      <c r="AG131" s="406">
        <v>24.3</v>
      </c>
      <c r="AH131" s="407">
        <v>21.4</v>
      </c>
      <c r="AI131" s="408">
        <v>0.515</v>
      </c>
      <c r="AJ131" s="409">
        <v>8.36</v>
      </c>
      <c r="AK131" s="408">
        <v>0.835</v>
      </c>
      <c r="AL131" s="410">
        <v>1.34</v>
      </c>
      <c r="AN131" s="50"/>
      <c r="AO131" s="100"/>
    </row>
    <row r="132" spans="1:41" ht="12.75">
      <c r="A132" s="69" t="s">
        <v>602</v>
      </c>
      <c r="B132" s="175" t="str">
        <f>IF(AND($D$29=0,$D$30=0,$D$31=0),$N$271,IF(AND($D$29&gt;0,$D$30&gt;0,$D$31=0),$N$299,IF(AND($D$29&gt;0,$D$30&gt;0,$D$31&gt;0),$N$340)))</f>
        <v>N.A.</v>
      </c>
      <c r="C132" s="113" t="s">
        <v>243</v>
      </c>
      <c r="D132" s="52" t="str">
        <f>IF(AND($D$29=0,$D$30=0,$D$31=0),$P$271,IF(AND($D$29&gt;0,$D$30&gt;0,$D$31=0),$P$299,IF(AND($D$29&gt;0,$D$30&gt;0,$D$31&gt;0),$P$340)))</f>
        <v>Ant = not applicable for uncoped beam</v>
      </c>
      <c r="E132" s="37"/>
      <c r="F132" s="37"/>
      <c r="G132" s="25"/>
      <c r="H132" s="25"/>
      <c r="I132" s="389"/>
      <c r="M132" s="467" t="s">
        <v>18</v>
      </c>
      <c r="N132" s="468">
        <v>0</v>
      </c>
      <c r="O132" s="140">
        <v>0.1</v>
      </c>
      <c r="P132" s="140">
        <v>0.2</v>
      </c>
      <c r="Q132" s="469">
        <v>0.3</v>
      </c>
      <c r="R132" s="140">
        <v>0.4</v>
      </c>
      <c r="S132" s="469">
        <v>0.5</v>
      </c>
      <c r="T132" s="140">
        <v>0.6</v>
      </c>
      <c r="U132" s="469">
        <v>0.7</v>
      </c>
      <c r="V132" s="140">
        <v>0.8</v>
      </c>
      <c r="W132" s="469">
        <v>0.9</v>
      </c>
      <c r="X132" s="140">
        <v>1</v>
      </c>
      <c r="Y132" s="469">
        <v>1.2</v>
      </c>
      <c r="Z132" s="140">
        <v>1.4</v>
      </c>
      <c r="AA132" s="140">
        <v>1.6</v>
      </c>
      <c r="AB132" s="469">
        <v>1.8</v>
      </c>
      <c r="AC132" s="140">
        <v>2</v>
      </c>
      <c r="AF132" s="405" t="s">
        <v>831</v>
      </c>
      <c r="AG132" s="406">
        <v>21.5</v>
      </c>
      <c r="AH132" s="407">
        <v>21.2</v>
      </c>
      <c r="AI132" s="408">
        <v>0.455</v>
      </c>
      <c r="AJ132" s="409">
        <v>8.3</v>
      </c>
      <c r="AK132" s="408">
        <v>0.74</v>
      </c>
      <c r="AL132" s="410">
        <v>1.24</v>
      </c>
      <c r="AN132" s="50"/>
      <c r="AO132" s="100"/>
    </row>
    <row r="133" spans="1:41" ht="12.75">
      <c r="A133" s="69" t="s">
        <v>426</v>
      </c>
      <c r="B133" s="183" t="str">
        <f>IF(AND($D$29=0,$D$30=0,$D$31=0),$N$272,IF(AND($D$29&gt;0,$D$30&gt;0,$D$31=0),$N$300,IF(AND($D$29&gt;0,$D$30&gt;0,$D$31&gt;0),$N$341)))</f>
        <v>N.A.</v>
      </c>
      <c r="C133" s="113" t="s">
        <v>237</v>
      </c>
      <c r="D133" s="52" t="str">
        <f>IF(AND($D$29=0,$D$30=0,$D$31=0),$P$272,IF(AND($D$29&gt;0,$D$30&gt;0,$D$31=0),$P$300,IF(AND($D$29&gt;0,$D$30&gt;0,$D$31&gt;0),$P$341)))</f>
        <v>Rto = not applicable for uncoped beam</v>
      </c>
      <c r="E133" s="37"/>
      <c r="F133" s="37"/>
      <c r="G133" s="25"/>
      <c r="H133" s="10"/>
      <c r="I133" s="389"/>
      <c r="M133" s="471">
        <v>0</v>
      </c>
      <c r="N133" s="472">
        <v>2.19</v>
      </c>
      <c r="O133" s="473">
        <v>2.59</v>
      </c>
      <c r="P133" s="474">
        <v>3</v>
      </c>
      <c r="Q133" s="318">
        <v>3.41</v>
      </c>
      <c r="R133" s="474">
        <v>3.82</v>
      </c>
      <c r="S133" s="474">
        <v>4.22</v>
      </c>
      <c r="T133" s="474">
        <v>4.63</v>
      </c>
      <c r="U133" s="474">
        <v>5.04</v>
      </c>
      <c r="V133" s="474">
        <v>5.45</v>
      </c>
      <c r="W133" s="474">
        <v>5.86</v>
      </c>
      <c r="X133" s="318">
        <v>6.26</v>
      </c>
      <c r="Y133" s="474">
        <v>7.08</v>
      </c>
      <c r="Z133" s="475">
        <v>7.9</v>
      </c>
      <c r="AA133" s="474">
        <v>8.71</v>
      </c>
      <c r="AB133" s="474">
        <v>9.53</v>
      </c>
      <c r="AC133" s="476">
        <v>10.3</v>
      </c>
      <c r="AF133" s="405" t="s">
        <v>832</v>
      </c>
      <c r="AG133" s="406">
        <v>20</v>
      </c>
      <c r="AH133" s="407">
        <v>21.1</v>
      </c>
      <c r="AI133" s="408">
        <v>0.43</v>
      </c>
      <c r="AJ133" s="409">
        <v>8.27</v>
      </c>
      <c r="AK133" s="408">
        <v>0.685</v>
      </c>
      <c r="AL133" s="410">
        <v>1.19</v>
      </c>
      <c r="AN133" s="50"/>
      <c r="AO133" s="100"/>
    </row>
    <row r="134" spans="1:41" ht="12.75">
      <c r="A134" s="19"/>
      <c r="B134" s="37"/>
      <c r="C134" s="120"/>
      <c r="D134" s="37"/>
      <c r="E134" s="37"/>
      <c r="F134" s="37"/>
      <c r="G134" s="25"/>
      <c r="H134" s="80"/>
      <c r="I134" s="389">
        <f>IF(AND($D$29=0,$D$30=0,$D$31=0),"",IF($D$17&gt;0,IF($B$133&gt;=$D$17,"Rto &gt;= P,  O.K.  ","Rto &lt; P, N.G.  "),""))</f>
      </c>
      <c r="M134" s="477">
        <v>0.1</v>
      </c>
      <c r="N134" s="478">
        <v>2.02</v>
      </c>
      <c r="O134" s="479">
        <v>2.57</v>
      </c>
      <c r="P134" s="480">
        <v>3.1</v>
      </c>
      <c r="Q134" s="320">
        <v>3.62</v>
      </c>
      <c r="R134" s="480">
        <v>4.15</v>
      </c>
      <c r="S134" s="480">
        <v>4.67</v>
      </c>
      <c r="T134" s="480">
        <v>5.19</v>
      </c>
      <c r="U134" s="480">
        <v>5.71</v>
      </c>
      <c r="V134" s="480">
        <v>6.23</v>
      </c>
      <c r="W134" s="480">
        <v>6.76</v>
      </c>
      <c r="X134" s="480">
        <v>7.28</v>
      </c>
      <c r="Y134" s="480">
        <v>8.33</v>
      </c>
      <c r="Z134" s="481">
        <v>9.37</v>
      </c>
      <c r="AA134" s="480">
        <v>10.4</v>
      </c>
      <c r="AB134" s="480">
        <v>11.5</v>
      </c>
      <c r="AC134" s="482">
        <v>12.5</v>
      </c>
      <c r="AF134" s="405" t="s">
        <v>833</v>
      </c>
      <c r="AG134" s="406">
        <v>18.3</v>
      </c>
      <c r="AH134" s="407">
        <v>21</v>
      </c>
      <c r="AI134" s="408">
        <v>0.4</v>
      </c>
      <c r="AJ134" s="409">
        <v>8.24</v>
      </c>
      <c r="AK134" s="408">
        <v>0.615</v>
      </c>
      <c r="AL134" s="410">
        <v>1.12</v>
      </c>
      <c r="AN134" s="50" t="str">
        <f>IF(AO134="","N.A.","SR =")</f>
        <v>N.A.</v>
      </c>
      <c r="AO134" s="100">
        <f>IF(AND($D$29=0,$D$30=0,$D$31=0),"",IF($D$17&gt;0,$D$17/$B$133,""))</f>
      </c>
    </row>
    <row r="135" spans="1:41" ht="12.75">
      <c r="A135" s="73" t="str">
        <f>IF(AND($D$29=0,$D$30=0,$D$31=0),M273,IF(AND($D$29&gt;0,$D$30&gt;0,$D$31=0),M301,IF(AND($D$29&gt;0,$D$30&gt;0,$D$31&gt;0),M342)))</f>
        <v>  Tension Tear-Out ("U-shaped") Capacity of Beam Web:</v>
      </c>
      <c r="B135" s="10"/>
      <c r="C135" s="112"/>
      <c r="D135" s="10"/>
      <c r="E135" s="10"/>
      <c r="F135" s="10"/>
      <c r="G135" s="10"/>
      <c r="H135" s="10"/>
      <c r="I135" s="389"/>
      <c r="M135" s="483">
        <v>0.15</v>
      </c>
      <c r="N135" s="478">
        <v>1.92</v>
      </c>
      <c r="O135" s="479">
        <v>2.43</v>
      </c>
      <c r="P135" s="480">
        <v>2.95</v>
      </c>
      <c r="Q135" s="480">
        <v>3.47</v>
      </c>
      <c r="R135" s="480">
        <v>3.98</v>
      </c>
      <c r="S135" s="480">
        <v>4.49</v>
      </c>
      <c r="T135" s="320">
        <v>5.01</v>
      </c>
      <c r="U135" s="480">
        <v>5.52</v>
      </c>
      <c r="V135" s="480">
        <v>6.03</v>
      </c>
      <c r="W135" s="320">
        <v>6.54</v>
      </c>
      <c r="X135" s="480">
        <v>7.06</v>
      </c>
      <c r="Y135" s="480">
        <v>8.09</v>
      </c>
      <c r="Z135" s="481">
        <v>9.12</v>
      </c>
      <c r="AA135" s="480">
        <v>10.2</v>
      </c>
      <c r="AB135" s="480">
        <v>11.2</v>
      </c>
      <c r="AC135" s="482">
        <v>12.3</v>
      </c>
      <c r="AF135" s="405" t="s">
        <v>834</v>
      </c>
      <c r="AG135" s="406">
        <v>16.2</v>
      </c>
      <c r="AH135" s="407">
        <v>20.8</v>
      </c>
      <c r="AI135" s="408">
        <v>0.375</v>
      </c>
      <c r="AJ135" s="409">
        <v>8.22</v>
      </c>
      <c r="AK135" s="408">
        <v>0.522</v>
      </c>
      <c r="AL135" s="410">
        <v>1.02</v>
      </c>
      <c r="AN135" s="50"/>
      <c r="AO135" s="100"/>
    </row>
    <row r="136" spans="1:41" ht="12.75">
      <c r="A136" s="69" t="s">
        <v>601</v>
      </c>
      <c r="B136" s="184">
        <f>IF(AND($D$29=0,$D$30=0,$D$31=0),$N$274,IF(AND($D$29&gt;0,$D$30&gt;0,$D$31=0),$N$302,IF(AND($D$29&gt;0,$D$30&gt;0,$D$31&gt;0),$N$343)))</f>
        <v>1.775</v>
      </c>
      <c r="C136" s="113" t="s">
        <v>243</v>
      </c>
      <c r="D136" s="52" t="str">
        <f>IF(AND($D$29=0,$D$30=0,$D$31=0),$P$274,IF(AND($D$29&gt;0,$D$30&gt;0,$D$31=0),$P$302,IF(AND($D$29&gt;0,$D$30&gt;0,$D$31&gt;0),$P$343)))</f>
        <v>Agv = 2*(Lb-s)*tw</v>
      </c>
      <c r="E136" s="10"/>
      <c r="F136" s="10"/>
      <c r="G136" s="10"/>
      <c r="H136" s="10"/>
      <c r="I136" s="389"/>
      <c r="M136" s="483">
        <v>0.2</v>
      </c>
      <c r="N136" s="478">
        <v>1.82</v>
      </c>
      <c r="O136" s="479">
        <v>2.29</v>
      </c>
      <c r="P136" s="480">
        <v>2.79</v>
      </c>
      <c r="Q136" s="480">
        <v>3.29</v>
      </c>
      <c r="R136" s="320">
        <v>3.78</v>
      </c>
      <c r="S136" s="480">
        <v>4.27</v>
      </c>
      <c r="T136" s="480">
        <v>4.77</v>
      </c>
      <c r="U136" s="480">
        <v>5.27</v>
      </c>
      <c r="V136" s="480">
        <v>5.77</v>
      </c>
      <c r="W136" s="480">
        <v>6.27</v>
      </c>
      <c r="X136" s="480">
        <v>6.77</v>
      </c>
      <c r="Y136" s="480">
        <v>7.78</v>
      </c>
      <c r="Z136" s="481">
        <v>8.81</v>
      </c>
      <c r="AA136" s="480">
        <v>9.83</v>
      </c>
      <c r="AB136" s="480">
        <v>10.9</v>
      </c>
      <c r="AC136" s="484">
        <v>11.9</v>
      </c>
      <c r="AF136" s="405" t="s">
        <v>835</v>
      </c>
      <c r="AG136" s="406">
        <v>14.1</v>
      </c>
      <c r="AH136" s="407">
        <v>20.6</v>
      </c>
      <c r="AI136" s="408">
        <v>0.35</v>
      </c>
      <c r="AJ136" s="409">
        <v>8.14</v>
      </c>
      <c r="AK136" s="408">
        <v>0.43</v>
      </c>
      <c r="AL136" s="412">
        <v>0.93</v>
      </c>
      <c r="AN136" s="50"/>
      <c r="AO136" s="100"/>
    </row>
    <row r="137" spans="1:41" ht="12.75">
      <c r="A137" s="69" t="s">
        <v>602</v>
      </c>
      <c r="B137" s="175">
        <f>IF(AND($D$29=0,$D$30=0,$D$31=0),$N$275,IF(AND($D$29&gt;0,$D$30&gt;0,$D$31=0),$N$303,IF(AND($D$29&gt;0,$D$30&gt;0,$D$31&gt;0),$N$344)))</f>
        <v>4.26</v>
      </c>
      <c r="C137" s="113" t="s">
        <v>243</v>
      </c>
      <c r="D137" s="52" t="str">
        <f>IF(AND($D$29=0,$D$30=0,$D$31=0),$P$275,IF(AND($D$29&gt;0,$D$30&gt;0,$D$31=0),$P$303,IF(AND($D$29&gt;0,$D$30&gt;0,$D$31&gt;0),$P$344)))</f>
        <v>Ant = L*tw</v>
      </c>
      <c r="E137" s="10"/>
      <c r="F137" s="10"/>
      <c r="G137" s="10"/>
      <c r="H137" s="10"/>
      <c r="I137" s="389"/>
      <c r="M137" s="483">
        <v>0.25</v>
      </c>
      <c r="N137" s="478">
        <v>1.71</v>
      </c>
      <c r="O137" s="479">
        <v>2.15</v>
      </c>
      <c r="P137" s="480">
        <v>2.62</v>
      </c>
      <c r="Q137" s="480">
        <v>3.1</v>
      </c>
      <c r="R137" s="480">
        <v>3.58</v>
      </c>
      <c r="S137" s="480">
        <v>4.06</v>
      </c>
      <c r="T137" s="480">
        <v>4.53</v>
      </c>
      <c r="U137" s="480">
        <v>5.01</v>
      </c>
      <c r="V137" s="480">
        <v>5.49</v>
      </c>
      <c r="W137" s="480">
        <v>5.97</v>
      </c>
      <c r="X137" s="480">
        <v>6.46</v>
      </c>
      <c r="Y137" s="480">
        <v>7.45</v>
      </c>
      <c r="Z137" s="481">
        <v>8.45</v>
      </c>
      <c r="AA137" s="480">
        <v>9.47</v>
      </c>
      <c r="AB137" s="480">
        <v>10.5</v>
      </c>
      <c r="AC137" s="482">
        <v>11.5</v>
      </c>
      <c r="AF137" s="405" t="s">
        <v>836</v>
      </c>
      <c r="AG137" s="406">
        <v>16.7</v>
      </c>
      <c r="AH137" s="407">
        <v>21.1</v>
      </c>
      <c r="AI137" s="408">
        <v>0.405</v>
      </c>
      <c r="AJ137" s="409">
        <v>6.56</v>
      </c>
      <c r="AK137" s="408">
        <v>0.65</v>
      </c>
      <c r="AL137" s="410">
        <v>1.15</v>
      </c>
      <c r="AN137" s="50"/>
      <c r="AO137" s="100"/>
    </row>
    <row r="138" spans="1:41" ht="12.75">
      <c r="A138" s="69" t="s">
        <v>426</v>
      </c>
      <c r="B138" s="183">
        <f>IF(AND($D$29=0,$D$30=0,$D$31=0),$N$276,IF(AND($D$29&gt;0,$D$30&gt;0,$D$31=0),$N$304,IF(AND($D$29&gt;0,$D$30&gt;0,$D$31&gt;0),$N$345)))</f>
        <v>165.075</v>
      </c>
      <c r="C138" s="113" t="s">
        <v>237</v>
      </c>
      <c r="D138" s="52" t="str">
        <f>IF(AND($D$29=0,$D$30=0,$D$31=0),$P$276,IF(AND($D$29&gt;0,$D$30&gt;0,$D$31=0),$P$304,IF(AND($D$29&gt;0,$D$30&gt;0,$D$31&gt;0),$P$345)))</f>
        <v>Rto = 0.30*Fyb*Agv+0.50*Fub*Ant</v>
      </c>
      <c r="E138" s="10"/>
      <c r="F138" s="10"/>
      <c r="G138" s="10"/>
      <c r="H138" s="59"/>
      <c r="I138" s="389" t="str">
        <f>IF(D17&gt;0,IF($B$138&gt;=$D$17,"Rto &gt;= P,  O.K.  ","Rto &lt; P, N.G.  "),"")</f>
        <v>Rto &gt;= P,  O.K.  </v>
      </c>
      <c r="M138" s="483">
        <v>0.3</v>
      </c>
      <c r="N138" s="478">
        <v>1.6</v>
      </c>
      <c r="O138" s="479">
        <v>2.01</v>
      </c>
      <c r="P138" s="480">
        <v>2.45</v>
      </c>
      <c r="Q138" s="480">
        <v>2.91</v>
      </c>
      <c r="R138" s="480">
        <v>3.37</v>
      </c>
      <c r="S138" s="480">
        <v>3.83</v>
      </c>
      <c r="T138" s="480">
        <v>4.29</v>
      </c>
      <c r="U138" s="320">
        <v>4.75</v>
      </c>
      <c r="V138" s="480">
        <v>5.21</v>
      </c>
      <c r="W138" s="480">
        <v>5.68</v>
      </c>
      <c r="X138" s="480">
        <v>6.15</v>
      </c>
      <c r="Y138" s="480">
        <v>7.11</v>
      </c>
      <c r="Z138" s="485">
        <v>8.09</v>
      </c>
      <c r="AA138" s="320">
        <v>9.09</v>
      </c>
      <c r="AB138" s="486">
        <v>10.1</v>
      </c>
      <c r="AC138" s="484">
        <v>11.1</v>
      </c>
      <c r="AF138" s="405" t="s">
        <v>837</v>
      </c>
      <c r="AG138" s="406">
        <v>14.7</v>
      </c>
      <c r="AH138" s="407">
        <v>20.8</v>
      </c>
      <c r="AI138" s="408">
        <v>0.38</v>
      </c>
      <c r="AJ138" s="409">
        <v>6.53</v>
      </c>
      <c r="AK138" s="408">
        <v>0.535</v>
      </c>
      <c r="AL138" s="410">
        <v>1.04</v>
      </c>
      <c r="AN138" s="50" t="str">
        <f>IF(AO138="","N.A.","SR =")</f>
        <v>SR =</v>
      </c>
      <c r="AO138" s="100">
        <f>IF($D$17&gt;0,$D$17/$B$138,"")</f>
        <v>0.030289262456459187</v>
      </c>
    </row>
    <row r="139" spans="1:41" ht="12.75">
      <c r="A139" s="527"/>
      <c r="B139" s="10"/>
      <c r="C139" s="10"/>
      <c r="D139" s="10"/>
      <c r="E139" s="10"/>
      <c r="F139" s="10"/>
      <c r="G139" s="10"/>
      <c r="H139" s="10"/>
      <c r="I139" s="389"/>
      <c r="M139" s="483">
        <v>0.4</v>
      </c>
      <c r="N139" s="478">
        <v>1.4</v>
      </c>
      <c r="O139" s="479">
        <v>1.76</v>
      </c>
      <c r="P139" s="480">
        <v>2.14</v>
      </c>
      <c r="Q139" s="480">
        <v>2.55</v>
      </c>
      <c r="R139" s="480">
        <v>2.97</v>
      </c>
      <c r="S139" s="480">
        <v>3.4</v>
      </c>
      <c r="T139" s="480">
        <v>3.83</v>
      </c>
      <c r="U139" s="480">
        <v>4.25</v>
      </c>
      <c r="V139" s="320">
        <v>4.69</v>
      </c>
      <c r="W139" s="480">
        <v>5.13</v>
      </c>
      <c r="X139" s="480">
        <v>5.57</v>
      </c>
      <c r="Y139" s="320">
        <v>6.48</v>
      </c>
      <c r="Z139" s="481">
        <v>7.42</v>
      </c>
      <c r="AA139" s="480">
        <v>8.38</v>
      </c>
      <c r="AB139" s="480">
        <v>9.36</v>
      </c>
      <c r="AC139" s="482">
        <v>10.4</v>
      </c>
      <c r="AF139" s="405" t="s">
        <v>838</v>
      </c>
      <c r="AG139" s="406">
        <v>13</v>
      </c>
      <c r="AH139" s="407">
        <v>20.7</v>
      </c>
      <c r="AI139" s="408">
        <v>0.35</v>
      </c>
      <c r="AJ139" s="409">
        <v>6.5</v>
      </c>
      <c r="AK139" s="408">
        <v>0.45</v>
      </c>
      <c r="AL139" s="412">
        <v>0.95</v>
      </c>
      <c r="AN139" s="50"/>
      <c r="AO139" s="100"/>
    </row>
    <row r="140" spans="1:41" ht="12.75">
      <c r="A140" s="67" t="str">
        <f>IF(AND($D$29=0,$D$30=0,$D$31=0),$M$277,IF(AND($D$29&gt;0,$D$30&gt;0,$D$30&lt;=0.5*$B$45,$D$31=0),$M$305,IF(AND($D$29&gt;0,$D$30&gt;0,$D$30&lt;=0.5*$B$45,$D$31&gt;0),$M$346)))</f>
        <v>  Web Buckling (Flexural Rupture) Capacity for Uncoped Flanges:</v>
      </c>
      <c r="B140" s="10"/>
      <c r="C140" s="10"/>
      <c r="D140" s="10"/>
      <c r="E140" s="10"/>
      <c r="F140" s="10"/>
      <c r="G140" s="10"/>
      <c r="H140" s="10"/>
      <c r="I140" s="389"/>
      <c r="M140" s="483">
        <v>0.5</v>
      </c>
      <c r="N140" s="478">
        <v>1.23</v>
      </c>
      <c r="O140" s="479">
        <v>1.54</v>
      </c>
      <c r="P140" s="480">
        <v>1.88</v>
      </c>
      <c r="Q140" s="480">
        <v>2.24</v>
      </c>
      <c r="R140" s="480">
        <v>2.62</v>
      </c>
      <c r="S140" s="480">
        <v>3.01</v>
      </c>
      <c r="T140" s="480">
        <v>3.41</v>
      </c>
      <c r="U140" s="320">
        <v>3.81</v>
      </c>
      <c r="V140" s="320">
        <v>4.22</v>
      </c>
      <c r="W140" s="320">
        <v>4.63</v>
      </c>
      <c r="X140" s="480">
        <v>5.05</v>
      </c>
      <c r="Y140" s="480">
        <v>5.92</v>
      </c>
      <c r="Z140" s="481">
        <v>6.81</v>
      </c>
      <c r="AA140" s="480">
        <v>7.74</v>
      </c>
      <c r="AB140" s="320">
        <v>8.68</v>
      </c>
      <c r="AC140" s="482">
        <v>9.65</v>
      </c>
      <c r="AF140" s="405" t="s">
        <v>1087</v>
      </c>
      <c r="AG140" s="406">
        <v>91.6</v>
      </c>
      <c r="AH140" s="407">
        <v>22.3</v>
      </c>
      <c r="AI140" s="409">
        <v>1.52</v>
      </c>
      <c r="AJ140" s="407">
        <v>12</v>
      </c>
      <c r="AK140" s="409">
        <v>2.74</v>
      </c>
      <c r="AL140" s="410">
        <v>3.24</v>
      </c>
      <c r="AN140" s="50"/>
      <c r="AO140" s="100"/>
    </row>
    <row r="141" spans="1:41" ht="12.75">
      <c r="A141" s="443" t="s">
        <v>106</v>
      </c>
      <c r="B141" s="184" t="str">
        <f>IF(AND($D$29=0,$D$30=0,$D$31=0),"N.A.",IF(AND($D$29&gt;0,$D$30&gt;0,$D$30&lt;=0.5*$B$45,$D$31=0),$N$306,IF(AND($D$29&gt;0,$D$30&gt;0,$D$30&lt;=0.5*$B$45,$D$31&gt;0),$N$347)))</f>
        <v>N.A.</v>
      </c>
      <c r="C141" s="113" t="s">
        <v>268</v>
      </c>
      <c r="D141" s="440" t="str">
        <f>IF(AND($D$29=0,$D$30=0,$D$31=0),"ho = not applicable for uncoped beam",IF(AND($D$29&gt;0,$D$30&gt;0,$D$30&lt;=0.5*$B$45,$D$31=0),$P$306,IF(AND($D$29&gt;0,$D$30&gt;0,$D$30&lt;=0.5*$B$45,$D$31&gt;0),$P$347)))</f>
        <v>ho = not applicable for uncoped beam</v>
      </c>
      <c r="E141" s="25"/>
      <c r="F141" s="6"/>
      <c r="G141" s="10"/>
      <c r="H141" s="10"/>
      <c r="I141" s="389"/>
      <c r="M141" s="483">
        <v>0.6</v>
      </c>
      <c r="N141" s="478">
        <v>1.08</v>
      </c>
      <c r="O141" s="479">
        <v>1.36</v>
      </c>
      <c r="P141" s="480">
        <v>1.66</v>
      </c>
      <c r="Q141" s="480">
        <v>1.98</v>
      </c>
      <c r="R141" s="480">
        <v>2.33</v>
      </c>
      <c r="S141" s="480">
        <v>2.68</v>
      </c>
      <c r="T141" s="480">
        <v>3.05</v>
      </c>
      <c r="U141" s="320">
        <v>3.43</v>
      </c>
      <c r="V141" s="480">
        <v>3.81</v>
      </c>
      <c r="W141" s="480">
        <v>4.2</v>
      </c>
      <c r="X141" s="480">
        <v>4.6</v>
      </c>
      <c r="Y141" s="480">
        <v>5.42</v>
      </c>
      <c r="Z141" s="481">
        <v>6.28</v>
      </c>
      <c r="AA141" s="480">
        <v>7.17</v>
      </c>
      <c r="AB141" s="480">
        <v>8.08</v>
      </c>
      <c r="AC141" s="482">
        <v>9.02</v>
      </c>
      <c r="AF141" s="405" t="s">
        <v>1086</v>
      </c>
      <c r="AG141" s="406">
        <v>83.3</v>
      </c>
      <c r="AH141" s="407">
        <v>21.9</v>
      </c>
      <c r="AI141" s="409">
        <v>1.4</v>
      </c>
      <c r="AJ141" s="407">
        <v>11.9</v>
      </c>
      <c r="AK141" s="409">
        <v>2.5</v>
      </c>
      <c r="AL141" s="410">
        <v>3</v>
      </c>
      <c r="AN141" s="50"/>
      <c r="AO141" s="100"/>
    </row>
    <row r="142" spans="1:41" ht="12.75">
      <c r="A142" s="443" t="s">
        <v>325</v>
      </c>
      <c r="B142" s="175" t="str">
        <f>IF(AND($D$29=0,$D$30=0,$D$31=0),"N.A.",IF(AND($D$29&gt;0,$D$30&gt;0,$D$30&lt;=0.5*$B$45,$D$31=0),$N$307,IF(AND($D$29&gt;0,$D$30&gt;0,$D$30&lt;=0.5*$B$45,$D$31&gt;0),$N$348)))</f>
        <v>N.A.</v>
      </c>
      <c r="C142" s="113" t="s">
        <v>268</v>
      </c>
      <c r="D142" s="440" t="str">
        <f>IF(AND($D$29=0,$D$30=0,$D$31=0),"ho = not applicable for uncoped beam",IF(AND($D$29&gt;0,$D$30&gt;0,$D$30&lt;=0.5*$B$45,$D$31=0),$P$307,IF(AND($D$29&gt;0,$D$30&gt;0,$D$30&lt;=0.5*$B$45,$D$31&gt;0),$P$348)))</f>
        <v>ho = not applicable for uncoped beam</v>
      </c>
      <c r="E142" s="25"/>
      <c r="F142" s="6"/>
      <c r="G142" s="10"/>
      <c r="H142" s="10"/>
      <c r="I142" s="389"/>
      <c r="M142" s="483">
        <v>0.7</v>
      </c>
      <c r="N142" s="478">
        <v>0.963</v>
      </c>
      <c r="O142" s="479">
        <v>1.21</v>
      </c>
      <c r="P142" s="480">
        <v>1.48</v>
      </c>
      <c r="Q142" s="480">
        <v>1.77</v>
      </c>
      <c r="R142" s="480">
        <v>2.08</v>
      </c>
      <c r="S142" s="480">
        <v>2.41</v>
      </c>
      <c r="T142" s="480">
        <v>2.75</v>
      </c>
      <c r="U142" s="480">
        <v>3.11</v>
      </c>
      <c r="V142" s="320">
        <v>3.46</v>
      </c>
      <c r="W142" s="480">
        <v>3.83</v>
      </c>
      <c r="X142" s="480">
        <v>4.2</v>
      </c>
      <c r="Y142" s="480">
        <v>4.99</v>
      </c>
      <c r="Z142" s="481">
        <v>5.81</v>
      </c>
      <c r="AA142" s="480">
        <v>6.67</v>
      </c>
      <c r="AB142" s="480">
        <v>7.56</v>
      </c>
      <c r="AC142" s="482">
        <v>8.46</v>
      </c>
      <c r="AF142" s="405" t="s">
        <v>1085</v>
      </c>
      <c r="AG142" s="406">
        <v>75.9</v>
      </c>
      <c r="AH142" s="407">
        <v>21.5</v>
      </c>
      <c r="AI142" s="409">
        <v>1.28</v>
      </c>
      <c r="AJ142" s="407">
        <v>11.8</v>
      </c>
      <c r="AK142" s="409">
        <v>2.3</v>
      </c>
      <c r="AL142" s="410">
        <v>2.7</v>
      </c>
      <c r="AN142" s="50"/>
      <c r="AO142" s="100"/>
    </row>
    <row r="143" spans="1:41" ht="12.75">
      <c r="A143" s="443" t="s">
        <v>1131</v>
      </c>
      <c r="B143" s="175" t="str">
        <f>IF(AND($D$29=0,$D$30=0,$D$31=0),"N.A.",IF(AND($D$29&gt;0,$D$30&gt;0,$D$30&lt;=0.5*$B$45,$D$31=0),$N$308,IF(AND($D$29&gt;0,$D$30&gt;0,$D$30&lt;=0.5*$B$45,$D$31&gt;0),$N$349)))</f>
        <v>N.A.</v>
      </c>
      <c r="C143" s="113" t="s">
        <v>268</v>
      </c>
      <c r="D143" s="440" t="str">
        <f>IF(AND($D$29=0,$D$30=0,$D$31=0),"ho = not applicable for uncoped beam",IF(AND($D$29&gt;0,$D$30&gt;0,$D$30&lt;=0.5*$B$45,$D$31=0),$P$308,IF(AND($D$29&gt;0,$D$30&gt;0,$D$30&lt;=0.5*$B$45,$D$31&gt;0),$P$349)))</f>
        <v>ho = not applicable for uncoped beam</v>
      </c>
      <c r="E143" s="25"/>
      <c r="F143" s="6"/>
      <c r="G143" s="10"/>
      <c r="H143" s="10"/>
      <c r="I143" s="389"/>
      <c r="M143" s="483">
        <v>0.8</v>
      </c>
      <c r="N143" s="478">
        <v>0.863</v>
      </c>
      <c r="O143" s="479">
        <v>1.09</v>
      </c>
      <c r="P143" s="480">
        <v>1.33</v>
      </c>
      <c r="Q143" s="480">
        <v>1.6</v>
      </c>
      <c r="R143" s="480">
        <v>1.88</v>
      </c>
      <c r="S143" s="480">
        <v>2.18</v>
      </c>
      <c r="T143" s="320">
        <v>2.5</v>
      </c>
      <c r="U143" s="480">
        <v>2.83</v>
      </c>
      <c r="V143" s="320">
        <v>3.16</v>
      </c>
      <c r="W143" s="480">
        <v>3.51</v>
      </c>
      <c r="X143" s="480">
        <v>3.86</v>
      </c>
      <c r="Y143" s="480">
        <v>4.61</v>
      </c>
      <c r="Z143" s="481">
        <v>5.4</v>
      </c>
      <c r="AA143" s="480">
        <v>6.22</v>
      </c>
      <c r="AB143" s="480">
        <v>7.07</v>
      </c>
      <c r="AC143" s="321">
        <v>7.94</v>
      </c>
      <c r="AF143" s="405" t="s">
        <v>1102</v>
      </c>
      <c r="AG143" s="406">
        <v>68.8</v>
      </c>
      <c r="AH143" s="407">
        <v>21.1</v>
      </c>
      <c r="AI143" s="409">
        <v>1.16</v>
      </c>
      <c r="AJ143" s="407">
        <v>11.7</v>
      </c>
      <c r="AK143" s="409">
        <v>2.11</v>
      </c>
      <c r="AL143" s="410">
        <v>2.51</v>
      </c>
      <c r="AN143" s="50"/>
      <c r="AO143" s="100"/>
    </row>
    <row r="144" spans="1:41" ht="12.75">
      <c r="A144" s="443" t="s">
        <v>424</v>
      </c>
      <c r="B144" s="179" t="str">
        <f>IF(AND($D$29=0,$D$30=0,$D$31=0),"N.A.",IF(AND($D$29&gt;0,$D$30&gt;0,$D$30&lt;=0.5*$B$45,$D$31=0),$N$309,IF(AND($D$29&gt;0,$D$30&gt;0,$D$30&lt;=0.5*$B$45,$D$31&gt;0),$N$350)))</f>
        <v>N.A.</v>
      </c>
      <c r="C144" s="113" t="s">
        <v>499</v>
      </c>
      <c r="D144" s="440" t="str">
        <f>IF(AND($D$29=0,$D$30=0,$D$31=0),"ho = not applicable for uncoped beam",IF(AND($D$29&gt;0,$D$30&gt;0,$D$30&lt;=0.5*$B$45,$D$31=0),$P$309,IF(AND($D$29&gt;0,$D$30&gt;0,$D$30&lt;=0.5*$B$45,$D$31&gt;0),$P$350)))</f>
        <v>ho = not applicable for uncoped beam</v>
      </c>
      <c r="E144" s="25"/>
      <c r="F144" s="3"/>
      <c r="G144" s="10"/>
      <c r="H144" s="80"/>
      <c r="I144" s="389"/>
      <c r="M144" s="483">
        <v>0.9</v>
      </c>
      <c r="N144" s="478">
        <v>0.781</v>
      </c>
      <c r="O144" s="479">
        <v>0.985</v>
      </c>
      <c r="P144" s="480">
        <v>1.21</v>
      </c>
      <c r="Q144" s="480">
        <v>1.45</v>
      </c>
      <c r="R144" s="480">
        <v>1.71</v>
      </c>
      <c r="S144" s="480">
        <v>1.99</v>
      </c>
      <c r="T144" s="480">
        <v>2.29</v>
      </c>
      <c r="U144" s="480">
        <v>2.59</v>
      </c>
      <c r="V144" s="480">
        <v>2.91</v>
      </c>
      <c r="W144" s="480">
        <v>3.23</v>
      </c>
      <c r="X144" s="480">
        <v>3.57</v>
      </c>
      <c r="Y144" s="480">
        <v>4.28</v>
      </c>
      <c r="Z144" s="481">
        <v>5.02</v>
      </c>
      <c r="AA144" s="320">
        <v>5.81</v>
      </c>
      <c r="AB144" s="480">
        <v>6.63</v>
      </c>
      <c r="AC144" s="321">
        <v>7.47</v>
      </c>
      <c r="AF144" s="405" t="s">
        <v>1101</v>
      </c>
      <c r="AG144" s="406">
        <v>62.1</v>
      </c>
      <c r="AH144" s="407">
        <v>20.7</v>
      </c>
      <c r="AI144" s="409">
        <v>1.06</v>
      </c>
      <c r="AJ144" s="407">
        <v>11.6</v>
      </c>
      <c r="AK144" s="409">
        <v>1.91</v>
      </c>
      <c r="AL144" s="410">
        <v>2.31</v>
      </c>
      <c r="AN144" s="50"/>
      <c r="AO144" s="100"/>
    </row>
    <row r="145" spans="1:41" ht="12.75">
      <c r="A145" s="443" t="s">
        <v>191</v>
      </c>
      <c r="B145" s="179" t="str">
        <f>IF(AND($D$29=0,$D$30=0,$D$31=0),"N.A.",IF(AND($D$29&gt;0,$D$30&gt;0,$D$30&lt;=0.5*$B$45,$D$31=0),$N$310,IF(AND($D$29&gt;0,$D$30&gt;0,$D$30&lt;=0.5*$B$45,$D$31&gt;0),$N$351)))</f>
        <v>N.A.</v>
      </c>
      <c r="C145" s="113" t="s">
        <v>498</v>
      </c>
      <c r="D145" s="440" t="str">
        <f>IF(AND($D$29=0,$D$30=0,$D$31=0),"ho = not applicable for uncoped beam",IF(AND($D$29&gt;0,$D$30&gt;0,$D$30&lt;=0.5*$B$45,$D$31=0),$P$310,IF(AND($D$29&gt;0,$D$30&gt;0,$D$30&lt;=0.5*$B$45,$D$31&gt;0),$P$351)))</f>
        <v>ho = not applicable for uncoped beam</v>
      </c>
      <c r="E145" s="25"/>
      <c r="F145" s="3"/>
      <c r="G145" s="10"/>
      <c r="H145" s="10"/>
      <c r="I145" s="389"/>
      <c r="M145" s="487">
        <v>1</v>
      </c>
      <c r="N145" s="478">
        <v>0.713</v>
      </c>
      <c r="O145" s="479">
        <v>0.899</v>
      </c>
      <c r="P145" s="320">
        <v>1.1</v>
      </c>
      <c r="Q145" s="480">
        <v>1.33</v>
      </c>
      <c r="R145" s="480">
        <v>1.57</v>
      </c>
      <c r="S145" s="480">
        <v>1.83</v>
      </c>
      <c r="T145" s="480">
        <v>2.1</v>
      </c>
      <c r="U145" s="480">
        <v>2.39</v>
      </c>
      <c r="V145" s="480">
        <v>2.69</v>
      </c>
      <c r="W145" s="480">
        <v>2.99</v>
      </c>
      <c r="X145" s="480">
        <v>3.31</v>
      </c>
      <c r="Y145" s="480">
        <v>3.98</v>
      </c>
      <c r="Z145" s="481">
        <v>4.69</v>
      </c>
      <c r="AA145" s="480">
        <v>5.44</v>
      </c>
      <c r="AB145" s="480">
        <v>6.22</v>
      </c>
      <c r="AC145" s="482">
        <v>7.03</v>
      </c>
      <c r="AF145" s="405" t="s">
        <v>1100</v>
      </c>
      <c r="AG145" s="406">
        <v>56.4</v>
      </c>
      <c r="AH145" s="407">
        <v>20.4</v>
      </c>
      <c r="AI145" s="408">
        <v>0.96</v>
      </c>
      <c r="AJ145" s="407">
        <v>11.5</v>
      </c>
      <c r="AK145" s="409">
        <v>1.75</v>
      </c>
      <c r="AL145" s="410">
        <v>2.15</v>
      </c>
      <c r="AN145" s="50"/>
      <c r="AO145" s="100"/>
    </row>
    <row r="146" spans="1:41" ht="12.75">
      <c r="A146" s="443" t="s">
        <v>107</v>
      </c>
      <c r="B146" s="179" t="str">
        <f>IF(AND($D$29=0,$D$30=0,$D$31=0),"N.A.",IF(AND($D$29&gt;0,$D$30&gt;0,$D$30&lt;=0.5*$B$45,$D$31=0),$N$311,IF(AND($D$29&gt;0,$D$30&gt;0,$D$30&lt;=0.5*$B$45,$D$31&gt;0),$N$352)))</f>
        <v>N.A.</v>
      </c>
      <c r="C146" s="110" t="s">
        <v>245</v>
      </c>
      <c r="D146" s="440" t="str">
        <f>IF(AND($D$29=0,$D$30=0,$D$31=0),"ho = not applicable for uncoped beam",IF(AND($D$29&gt;0,$D$30&gt;0,$D$30&lt;=0.5*$B$45,$D$31=0),$P$311,IF(AND($D$29&gt;0,$D$30&gt;0,$D$30&lt;=0.5*$B$45,$D$31&gt;0),$P$352)))</f>
        <v>ho = not applicable for uncoped beam</v>
      </c>
      <c r="E146" s="25"/>
      <c r="F146" s="3"/>
      <c r="G146" s="99"/>
      <c r="H146" s="10"/>
      <c r="I146" s="389"/>
      <c r="M146" s="487">
        <v>1.2</v>
      </c>
      <c r="N146" s="478">
        <v>0.605</v>
      </c>
      <c r="O146" s="479">
        <v>0.763</v>
      </c>
      <c r="P146" s="480">
        <v>0.937</v>
      </c>
      <c r="Q146" s="480">
        <v>1.13</v>
      </c>
      <c r="R146" s="480">
        <v>1.34</v>
      </c>
      <c r="S146" s="480">
        <v>1.56</v>
      </c>
      <c r="T146" s="480">
        <v>1.81</v>
      </c>
      <c r="U146" s="480">
        <v>2.07</v>
      </c>
      <c r="V146" s="480">
        <v>2.33</v>
      </c>
      <c r="W146" s="480">
        <v>2.6</v>
      </c>
      <c r="X146" s="480">
        <v>2.88</v>
      </c>
      <c r="Y146" s="480">
        <v>3.49</v>
      </c>
      <c r="Z146" s="481">
        <v>4.13</v>
      </c>
      <c r="AA146" s="480">
        <v>4.81</v>
      </c>
      <c r="AB146" s="480">
        <v>5.53</v>
      </c>
      <c r="AC146" s="482">
        <v>6.28</v>
      </c>
      <c r="AF146" s="405" t="s">
        <v>839</v>
      </c>
      <c r="AG146" s="406">
        <v>51.3</v>
      </c>
      <c r="AH146" s="407">
        <v>20</v>
      </c>
      <c r="AI146" s="408">
        <v>0.89</v>
      </c>
      <c r="AJ146" s="407">
        <v>11.4</v>
      </c>
      <c r="AK146" s="409">
        <v>1.59</v>
      </c>
      <c r="AL146" s="410">
        <v>1.99</v>
      </c>
      <c r="AN146" s="50"/>
      <c r="AO146" s="100"/>
    </row>
    <row r="147" spans="1:41" ht="12.75">
      <c r="A147" s="443" t="s">
        <v>104</v>
      </c>
      <c r="B147" s="183" t="str">
        <f>IF(AND($D$29=0,$D$30=0,$D$31=0),"N.A.",IF(AND($D$29&gt;0,$D$30&gt;0,$D$30&lt;=0.5*$B$45,$D$31=0),$N$312,IF(AND($D$29&gt;0,$D$30&gt;0,$D$30&lt;=0.5*$B$45,$D$31&gt;0),$N$353)))</f>
        <v>N.A.</v>
      </c>
      <c r="C147" s="113" t="s">
        <v>237</v>
      </c>
      <c r="D147" s="440" t="str">
        <f>IF(AND($D$29=0,$D$30=0,$D$31=0),"ho = not applicable for uncoped beam",IF(AND($D$29&gt;0,$D$30&gt;0,$D$30&lt;=0.5*$B$45,$D$31=0),$P$312,IF(AND($D$29&gt;0,$D$30&gt;0,$D$30&lt;=0.5*$B$45,$D$31&gt;0),$P$353)))</f>
        <v>ho = not applicable for uncoped beam</v>
      </c>
      <c r="E147" s="25"/>
      <c r="F147" s="3"/>
      <c r="G147" s="45"/>
      <c r="H147" s="10"/>
      <c r="I147" s="389">
        <f>IF(AND($D$29=0,$D$30=0,$D$31=0),"",IF($B$147&gt;=$D$16,"Rwb &gt;= R,  O.K.  ","Rwb &lt; R, N.G.  "))</f>
      </c>
      <c r="M147" s="487">
        <v>1.4</v>
      </c>
      <c r="N147" s="478">
        <v>0.524</v>
      </c>
      <c r="O147" s="479">
        <v>0.661</v>
      </c>
      <c r="P147" s="480">
        <v>0.813</v>
      </c>
      <c r="Q147" s="480">
        <v>0.981</v>
      </c>
      <c r="R147" s="480">
        <v>1.17</v>
      </c>
      <c r="S147" s="480">
        <v>1.37</v>
      </c>
      <c r="T147" s="480">
        <v>1.58</v>
      </c>
      <c r="U147" s="480">
        <v>1.81</v>
      </c>
      <c r="V147" s="480">
        <v>2.04</v>
      </c>
      <c r="W147" s="480">
        <v>2.29</v>
      </c>
      <c r="X147" s="480">
        <v>2.55</v>
      </c>
      <c r="Y147" s="480">
        <v>3.09</v>
      </c>
      <c r="Z147" s="481">
        <v>3.67</v>
      </c>
      <c r="AA147" s="480">
        <v>4.29</v>
      </c>
      <c r="AB147" s="320">
        <v>4.96</v>
      </c>
      <c r="AC147" s="482">
        <v>5.66</v>
      </c>
      <c r="AF147" s="405" t="s">
        <v>840</v>
      </c>
      <c r="AG147" s="406">
        <v>46.3</v>
      </c>
      <c r="AH147" s="407">
        <v>19.7</v>
      </c>
      <c r="AI147" s="408">
        <v>0.81</v>
      </c>
      <c r="AJ147" s="407">
        <v>11.3</v>
      </c>
      <c r="AK147" s="409">
        <v>1.44</v>
      </c>
      <c r="AL147" s="410">
        <v>1.84</v>
      </c>
      <c r="AN147" s="50" t="str">
        <f>IF(AO147="","N.A.","SR =")</f>
        <v>N.A.</v>
      </c>
      <c r="AO147" s="100">
        <f>IF(AND($D$29=0,$D$30=0,$D$31=0),"",$D$16/$B$147)</f>
      </c>
    </row>
    <row r="148" spans="1:41" ht="12.75">
      <c r="A148" s="19"/>
      <c r="B148" s="10"/>
      <c r="C148" s="10"/>
      <c r="D148" s="10"/>
      <c r="E148" s="10"/>
      <c r="F148" s="10"/>
      <c r="G148" s="10"/>
      <c r="H148" s="10"/>
      <c r="I148" s="14"/>
      <c r="M148" s="487">
        <v>1.6</v>
      </c>
      <c r="N148" s="478">
        <v>0.463</v>
      </c>
      <c r="O148" s="479">
        <v>0.583</v>
      </c>
      <c r="P148" s="480">
        <v>0.717</v>
      </c>
      <c r="Q148" s="480">
        <v>0.867</v>
      </c>
      <c r="R148" s="480">
        <v>1.03</v>
      </c>
      <c r="S148" s="480">
        <v>1.21</v>
      </c>
      <c r="T148" s="480">
        <v>1.41</v>
      </c>
      <c r="U148" s="480">
        <v>1.61</v>
      </c>
      <c r="V148" s="480">
        <v>1.82</v>
      </c>
      <c r="W148" s="480">
        <v>2.04</v>
      </c>
      <c r="X148" s="480">
        <v>2.27</v>
      </c>
      <c r="Y148" s="480">
        <v>2.77</v>
      </c>
      <c r="Z148" s="481">
        <v>3.3</v>
      </c>
      <c r="AA148" s="480">
        <v>3.87</v>
      </c>
      <c r="AB148" s="480">
        <v>4.48</v>
      </c>
      <c r="AC148" s="482">
        <v>5.13</v>
      </c>
      <c r="AF148" s="405" t="s">
        <v>841</v>
      </c>
      <c r="AG148" s="406">
        <v>42.1</v>
      </c>
      <c r="AH148" s="407">
        <v>19.5</v>
      </c>
      <c r="AI148" s="408">
        <v>0.73</v>
      </c>
      <c r="AJ148" s="407">
        <v>11.2</v>
      </c>
      <c r="AK148" s="409">
        <v>1.32</v>
      </c>
      <c r="AL148" s="410">
        <v>1.72</v>
      </c>
      <c r="AN148" s="50"/>
      <c r="AO148" s="100"/>
    </row>
    <row r="149" spans="1:41" ht="12.75">
      <c r="A149" s="19"/>
      <c r="B149" s="10"/>
      <c r="C149" s="10"/>
      <c r="D149" s="10"/>
      <c r="E149" s="10"/>
      <c r="F149" s="10"/>
      <c r="G149" s="10"/>
      <c r="H149" s="10"/>
      <c r="I149" s="14"/>
      <c r="M149" s="487">
        <v>1.8</v>
      </c>
      <c r="N149" s="478">
        <v>0.413</v>
      </c>
      <c r="O149" s="324">
        <v>0.521</v>
      </c>
      <c r="P149" s="480">
        <v>0.641</v>
      </c>
      <c r="Q149" s="480">
        <v>0.776</v>
      </c>
      <c r="R149" s="480">
        <v>0.924</v>
      </c>
      <c r="S149" s="480">
        <v>1.09</v>
      </c>
      <c r="T149" s="480">
        <v>1.27</v>
      </c>
      <c r="U149" s="480">
        <v>1.45</v>
      </c>
      <c r="V149" s="480">
        <v>1.64</v>
      </c>
      <c r="W149" s="480">
        <v>1.84</v>
      </c>
      <c r="X149" s="480">
        <v>2.05</v>
      </c>
      <c r="Y149" s="480">
        <v>2.5</v>
      </c>
      <c r="Z149" s="481">
        <v>2.99</v>
      </c>
      <c r="AA149" s="480">
        <v>3.52</v>
      </c>
      <c r="AB149" s="480">
        <v>4.08</v>
      </c>
      <c r="AC149" s="321">
        <v>4.69</v>
      </c>
      <c r="AF149" s="405" t="s">
        <v>842</v>
      </c>
      <c r="AG149" s="406">
        <v>38.2</v>
      </c>
      <c r="AH149" s="407">
        <v>19.3</v>
      </c>
      <c r="AI149" s="408">
        <v>0.67</v>
      </c>
      <c r="AJ149" s="407">
        <v>11.2</v>
      </c>
      <c r="AK149" s="409">
        <v>1.2</v>
      </c>
      <c r="AL149" s="410">
        <v>1.6</v>
      </c>
      <c r="AN149" s="50"/>
      <c r="AO149" s="100"/>
    </row>
    <row r="150" spans="1:38" ht="12.75">
      <c r="A150" s="20"/>
      <c r="B150" s="21"/>
      <c r="C150" s="125"/>
      <c r="D150" s="21"/>
      <c r="E150" s="21"/>
      <c r="F150" s="21"/>
      <c r="G150" s="21"/>
      <c r="H150" s="21"/>
      <c r="I150" s="128" t="s">
        <v>105</v>
      </c>
      <c r="M150" s="487">
        <v>2</v>
      </c>
      <c r="N150" s="478">
        <v>0.373</v>
      </c>
      <c r="O150" s="488">
        <v>0.471</v>
      </c>
      <c r="P150" s="489">
        <v>0.58</v>
      </c>
      <c r="Q150" s="489">
        <v>0.701</v>
      </c>
      <c r="R150" s="489">
        <v>0.836</v>
      </c>
      <c r="S150" s="489">
        <v>0.987</v>
      </c>
      <c r="T150" s="489">
        <v>1.15</v>
      </c>
      <c r="U150" s="489">
        <v>1.32</v>
      </c>
      <c r="V150" s="489">
        <v>1.49</v>
      </c>
      <c r="W150" s="489">
        <v>1.67</v>
      </c>
      <c r="X150" s="489">
        <v>1.87</v>
      </c>
      <c r="Y150" s="489">
        <v>2.28</v>
      </c>
      <c r="Z150" s="490">
        <v>2.73</v>
      </c>
      <c r="AA150" s="489">
        <v>3.22</v>
      </c>
      <c r="AB150" s="489">
        <v>3.75</v>
      </c>
      <c r="AC150" s="491">
        <v>4.31</v>
      </c>
      <c r="AF150" s="405" t="s">
        <v>843</v>
      </c>
      <c r="AG150" s="406">
        <v>35.1</v>
      </c>
      <c r="AH150" s="407">
        <v>19</v>
      </c>
      <c r="AI150" s="408">
        <v>0.655</v>
      </c>
      <c r="AJ150" s="407">
        <v>11.3</v>
      </c>
      <c r="AK150" s="409">
        <v>1.06</v>
      </c>
      <c r="AL150" s="410">
        <v>1.46</v>
      </c>
    </row>
    <row r="151" spans="1:41" ht="12.75">
      <c r="A151" s="17"/>
      <c r="B151" s="18"/>
      <c r="C151" s="18"/>
      <c r="D151" s="18"/>
      <c r="E151" s="18"/>
      <c r="F151" s="18"/>
      <c r="G151" s="18"/>
      <c r="H151" s="18"/>
      <c r="I151" s="528"/>
      <c r="M151" s="487">
        <v>2.2</v>
      </c>
      <c r="N151" s="492">
        <v>0.34</v>
      </c>
      <c r="O151" s="479">
        <v>0.429</v>
      </c>
      <c r="P151" s="480">
        <v>0.529</v>
      </c>
      <c r="Q151" s="480">
        <v>0.641</v>
      </c>
      <c r="R151" s="480">
        <v>0.764</v>
      </c>
      <c r="S151" s="480">
        <v>0.903</v>
      </c>
      <c r="T151" s="480">
        <v>1.05</v>
      </c>
      <c r="U151" s="480">
        <v>1.21</v>
      </c>
      <c r="V151" s="320">
        <v>1.36</v>
      </c>
      <c r="W151" s="480">
        <v>1.53</v>
      </c>
      <c r="X151" s="320">
        <v>1.71</v>
      </c>
      <c r="Y151" s="480">
        <v>2.09</v>
      </c>
      <c r="Z151" s="480">
        <v>2.51</v>
      </c>
      <c r="AA151" s="480">
        <v>2.97</v>
      </c>
      <c r="AB151" s="480">
        <v>3.45</v>
      </c>
      <c r="AC151" s="482">
        <v>3.98</v>
      </c>
      <c r="AF151" s="405" t="s">
        <v>844</v>
      </c>
      <c r="AG151" s="406">
        <v>31.1</v>
      </c>
      <c r="AH151" s="407">
        <v>18.7</v>
      </c>
      <c r="AI151" s="408">
        <v>0.59</v>
      </c>
      <c r="AJ151" s="407">
        <v>11.2</v>
      </c>
      <c r="AK151" s="408">
        <v>0.94</v>
      </c>
      <c r="AL151" s="410">
        <v>1.34</v>
      </c>
      <c r="AN151" s="50"/>
      <c r="AO151" s="100"/>
    </row>
    <row r="152" spans="1:41" ht="12.75">
      <c r="A152" s="136" t="str">
        <f>IF(AND($D$29=0,$D$30=0,$D$31=0),$R$251,IF(AND($D$29&gt;0,$D$30&gt;0,$D$31=0),$R$279,IF(AND($D$29&gt;0,$D$30&gt;0,$D$31&gt;0),$R$320)))</f>
        <v>Beam Checks for Uncoped Flanges (continued):</v>
      </c>
      <c r="B152" s="10"/>
      <c r="C152" s="10"/>
      <c r="D152" s="10"/>
      <c r="E152" s="10"/>
      <c r="F152" s="10"/>
      <c r="G152" s="10"/>
      <c r="H152" s="10"/>
      <c r="I152" s="14"/>
      <c r="M152" s="487">
        <v>2.4</v>
      </c>
      <c r="N152" s="478">
        <v>0.312</v>
      </c>
      <c r="O152" s="493">
        <v>0.395</v>
      </c>
      <c r="P152" s="494">
        <v>0.487</v>
      </c>
      <c r="Q152" s="326">
        <v>0.589</v>
      </c>
      <c r="R152" s="494">
        <v>0.704</v>
      </c>
      <c r="S152" s="494">
        <v>0.831</v>
      </c>
      <c r="T152" s="494">
        <v>0.969</v>
      </c>
      <c r="U152" s="494">
        <v>1.11</v>
      </c>
      <c r="V152" s="495">
        <v>1.26</v>
      </c>
      <c r="W152" s="494">
        <v>1.41</v>
      </c>
      <c r="X152" s="494">
        <v>1.58</v>
      </c>
      <c r="Y152" s="495">
        <v>1.93</v>
      </c>
      <c r="Z152" s="496">
        <v>2.32</v>
      </c>
      <c r="AA152" s="494">
        <v>2.75</v>
      </c>
      <c r="AB152" s="494">
        <v>3.2</v>
      </c>
      <c r="AC152" s="497">
        <v>3.7</v>
      </c>
      <c r="AF152" s="405" t="s">
        <v>845</v>
      </c>
      <c r="AG152" s="406">
        <v>28.5</v>
      </c>
      <c r="AH152" s="407">
        <v>18.6</v>
      </c>
      <c r="AI152" s="408">
        <v>0.535</v>
      </c>
      <c r="AJ152" s="407">
        <v>11.1</v>
      </c>
      <c r="AK152" s="408">
        <v>0.87</v>
      </c>
      <c r="AL152" s="410">
        <v>1.27</v>
      </c>
      <c r="AN152" s="50"/>
      <c r="AO152" s="100"/>
    </row>
    <row r="153" spans="1:41" ht="12.75">
      <c r="A153" s="19"/>
      <c r="B153" s="10"/>
      <c r="C153" s="10"/>
      <c r="D153" s="10"/>
      <c r="E153" s="10"/>
      <c r="F153" s="10"/>
      <c r="G153" s="10"/>
      <c r="H153" s="10"/>
      <c r="I153" s="14"/>
      <c r="M153" s="487">
        <v>2.6</v>
      </c>
      <c r="N153" s="478">
        <v>0.289</v>
      </c>
      <c r="O153" s="324">
        <v>0.364</v>
      </c>
      <c r="P153" s="480">
        <v>0.449</v>
      </c>
      <c r="Q153" s="480">
        <v>0.545</v>
      </c>
      <c r="R153" s="480">
        <v>0.652</v>
      </c>
      <c r="S153" s="480">
        <v>0.769</v>
      </c>
      <c r="T153" s="480">
        <v>0.899</v>
      </c>
      <c r="U153" s="319">
        <v>1.03</v>
      </c>
      <c r="V153" s="480">
        <v>1.17</v>
      </c>
      <c r="W153" s="480">
        <v>1.31</v>
      </c>
      <c r="X153" s="480">
        <v>1.46</v>
      </c>
      <c r="Y153" s="480">
        <v>1.79</v>
      </c>
      <c r="Z153" s="485">
        <v>2.16</v>
      </c>
      <c r="AA153" s="480">
        <v>2.55</v>
      </c>
      <c r="AB153" s="480">
        <v>2.99</v>
      </c>
      <c r="AC153" s="482">
        <v>3.45</v>
      </c>
      <c r="AF153" s="405" t="s">
        <v>846</v>
      </c>
      <c r="AG153" s="406">
        <v>25.3</v>
      </c>
      <c r="AH153" s="407">
        <v>18.4</v>
      </c>
      <c r="AI153" s="408">
        <v>0.48</v>
      </c>
      <c r="AJ153" s="407">
        <v>11.1</v>
      </c>
      <c r="AK153" s="408">
        <v>0.77</v>
      </c>
      <c r="AL153" s="410">
        <v>1.17</v>
      </c>
      <c r="AN153" s="50"/>
      <c r="AO153" s="100"/>
    </row>
    <row r="154" spans="1:41" ht="12.75">
      <c r="A154" s="67" t="str">
        <f>IF(AND($D$29=0,$D$30=0,$D$31=0),$M$278,IF(AND($D$29&gt;0,$D$30&gt;0,$D$30&lt;=0.5*$B$45,$D$31=0),$M$313,IF(AND($D$29&gt;0,$D$30&gt;0,$D$30&lt;=0.5*$B$45,$D$31&gt;0),$M$354)))</f>
        <v>  Web Buckling (Flexural Local Buckling) Capacity for Uncoped Flanges:</v>
      </c>
      <c r="B154" s="444"/>
      <c r="C154" s="68"/>
      <c r="D154" s="68"/>
      <c r="E154" s="68"/>
      <c r="F154" s="10"/>
      <c r="G154" s="45"/>
      <c r="H154" s="10"/>
      <c r="I154" s="389"/>
      <c r="M154" s="487">
        <v>2.8</v>
      </c>
      <c r="N154" s="478">
        <v>0.268</v>
      </c>
      <c r="O154" s="479">
        <v>0.339</v>
      </c>
      <c r="P154" s="480">
        <v>0.419</v>
      </c>
      <c r="Q154" s="480">
        <v>0.508</v>
      </c>
      <c r="R154" s="480">
        <v>0.607</v>
      </c>
      <c r="S154" s="480">
        <v>0.717</v>
      </c>
      <c r="T154" s="480">
        <v>0.837</v>
      </c>
      <c r="U154" s="480">
        <v>0.959</v>
      </c>
      <c r="V154" s="480">
        <v>1.09</v>
      </c>
      <c r="W154" s="480">
        <v>1.22</v>
      </c>
      <c r="X154" s="480">
        <v>1.37</v>
      </c>
      <c r="Y154" s="480">
        <v>1.67</v>
      </c>
      <c r="Z154" s="481">
        <v>2.02</v>
      </c>
      <c r="AA154" s="320">
        <v>2.39</v>
      </c>
      <c r="AB154" s="480">
        <v>2.8</v>
      </c>
      <c r="AC154" s="482">
        <v>3.23</v>
      </c>
      <c r="AF154" s="405" t="s">
        <v>847</v>
      </c>
      <c r="AG154" s="406">
        <v>22.3</v>
      </c>
      <c r="AH154" s="407">
        <v>18.2</v>
      </c>
      <c r="AI154" s="408">
        <v>0.425</v>
      </c>
      <c r="AJ154" s="407">
        <v>11</v>
      </c>
      <c r="AK154" s="408">
        <v>0.68</v>
      </c>
      <c r="AL154" s="410">
        <v>1.08</v>
      </c>
      <c r="AN154" s="50"/>
      <c r="AO154" s="100"/>
    </row>
    <row r="155" spans="1:41" ht="12.75">
      <c r="A155" s="443" t="s">
        <v>8</v>
      </c>
      <c r="B155" s="184" t="str">
        <f>IF(AND($D$29=0,$D$30=0,$D$31=0),"N.A.",IF(AND($D$29&gt;0,$D$30&gt;0,$D$30&lt;=0.5*$B$45,$D$31=0),$N$314,IF(AND($D$29&gt;0,$D$30&gt;0,$D$30&lt;=0.5*$B$45,$D$31&gt;0),"N.A.")))</f>
        <v>N.A.</v>
      </c>
      <c r="C155" s="10"/>
      <c r="D155" s="440" t="str">
        <f>IF(AND($D$29=0,$D$30=0,$D$31=0),"c/d = not applicable for uncoped beam",IF(AND($D$29&gt;0,$D$30&gt;0,$D$30&lt;=0.5*$B$45,$D$31=0),$P$314,IF(AND($D$29&gt;0,$D$30&gt;0,$D$30&lt;=0.5*$B$45,$D$31&gt;0),"c/d = not applicable for double coped beam")))</f>
        <v>c/d = not applicable for uncoped beam</v>
      </c>
      <c r="E155" s="10"/>
      <c r="F155" s="10"/>
      <c r="G155" s="45"/>
      <c r="H155" s="10"/>
      <c r="I155" s="389"/>
      <c r="M155" s="498">
        <v>3</v>
      </c>
      <c r="N155" s="499">
        <v>0.251</v>
      </c>
      <c r="O155" s="500">
        <v>0.317</v>
      </c>
      <c r="P155" s="501">
        <v>0.391</v>
      </c>
      <c r="Q155" s="501">
        <v>0.475</v>
      </c>
      <c r="R155" s="322">
        <v>0.568</v>
      </c>
      <c r="S155" s="501">
        <v>0.672</v>
      </c>
      <c r="T155" s="501">
        <v>0.784</v>
      </c>
      <c r="U155" s="501">
        <v>0.897</v>
      </c>
      <c r="V155" s="501">
        <v>1.02</v>
      </c>
      <c r="W155" s="501">
        <v>1.14</v>
      </c>
      <c r="X155" s="501">
        <v>1.28</v>
      </c>
      <c r="Y155" s="501">
        <v>1.57</v>
      </c>
      <c r="Z155" s="502">
        <v>1.89</v>
      </c>
      <c r="AA155" s="501">
        <v>2.24</v>
      </c>
      <c r="AB155" s="501">
        <v>2.63</v>
      </c>
      <c r="AC155" s="503">
        <v>3.04</v>
      </c>
      <c r="AF155" s="405" t="s">
        <v>848</v>
      </c>
      <c r="AG155" s="406">
        <v>20.8</v>
      </c>
      <c r="AH155" s="407">
        <v>18.5</v>
      </c>
      <c r="AI155" s="408">
        <v>0.495</v>
      </c>
      <c r="AJ155" s="409">
        <v>7.64</v>
      </c>
      <c r="AK155" s="408">
        <v>0.81</v>
      </c>
      <c r="AL155" s="410">
        <v>1.21</v>
      </c>
      <c r="AN155" s="50"/>
      <c r="AO155" s="100"/>
    </row>
    <row r="156" spans="1:41" ht="12.75">
      <c r="A156" s="443" t="s">
        <v>351</v>
      </c>
      <c r="B156" s="175" t="str">
        <f>IF(AND($D$29=0,$D$30=0,$D$31=0),"N.A.",IF(AND($D$29&gt;0,$D$30&gt;0,$D$30&lt;=0.5*$B$45,$D$31=0),$N$315,IF(AND($D$29&gt;0,$D$30&gt;0,$D$30&lt;=0.5*$B$45,$D$31&gt;0),"N.A.")))</f>
        <v>N.A.</v>
      </c>
      <c r="C156" s="10"/>
      <c r="D156" s="440" t="str">
        <f>IF(AND($D$29=0,$D$30=0,$D$31=0),"f = not applicable for uncoped beam",IF(AND($D$29&gt;0,$D$30&gt;0,$D$30&lt;=0.5*$B$45,$D$31=0),$P$315,IF(AND($D$29&gt;0,$D$30&gt;0,$D$30&lt;=0.5*$B$45,$D$31&gt;0),"f = not applicable for double coped beam")))</f>
        <v>f = not applicable for uncoped beam</v>
      </c>
      <c r="E156" s="10"/>
      <c r="F156" s="10"/>
      <c r="G156" s="45"/>
      <c r="H156" s="10"/>
      <c r="I156" s="389"/>
      <c r="M156" s="504" t="s">
        <v>526</v>
      </c>
      <c r="N156" s="505">
        <v>0</v>
      </c>
      <c r="O156" s="325">
        <v>0.008</v>
      </c>
      <c r="P156" s="322">
        <v>0.029</v>
      </c>
      <c r="Q156" s="322">
        <v>0.056</v>
      </c>
      <c r="R156" s="322">
        <v>0.089</v>
      </c>
      <c r="S156" s="322">
        <v>0.125</v>
      </c>
      <c r="T156" s="322">
        <v>0.164</v>
      </c>
      <c r="U156" s="322">
        <v>0.204</v>
      </c>
      <c r="V156" s="322">
        <v>0.246</v>
      </c>
      <c r="W156" s="322">
        <v>0.289</v>
      </c>
      <c r="X156" s="322">
        <v>0.333</v>
      </c>
      <c r="Y156" s="322">
        <v>0.424</v>
      </c>
      <c r="Z156" s="506">
        <v>0.516</v>
      </c>
      <c r="AA156" s="322">
        <v>0.61</v>
      </c>
      <c r="AB156" s="322">
        <v>0.704</v>
      </c>
      <c r="AC156" s="323">
        <v>0.8</v>
      </c>
      <c r="AF156" s="405" t="s">
        <v>849</v>
      </c>
      <c r="AG156" s="406">
        <v>19.1</v>
      </c>
      <c r="AH156" s="407">
        <v>18.4</v>
      </c>
      <c r="AI156" s="408">
        <v>0.45</v>
      </c>
      <c r="AJ156" s="409">
        <v>7.59</v>
      </c>
      <c r="AK156" s="408">
        <v>0.75</v>
      </c>
      <c r="AL156" s="410">
        <v>1.15</v>
      </c>
      <c r="AN156" s="50"/>
      <c r="AO156" s="100"/>
    </row>
    <row r="157" spans="1:41" ht="12.75">
      <c r="A157" s="443" t="s">
        <v>7</v>
      </c>
      <c r="B157" s="175" t="str">
        <f>IF(AND($D$29=0,$D$30=0,$D$31=0),"N.A.",IF(AND($D$29&gt;0,$D$30&gt;0,$D$30&lt;=0.5*$B$45,$D$31=0),$N$316,IF(AND($D$29&gt;0,$D$30&gt;0,$D$30&lt;=0.5*$B$45,$D$31&gt;0),"N.A.")))</f>
        <v>N.A.</v>
      </c>
      <c r="C157" s="10"/>
      <c r="D157" s="440" t="str">
        <f>IF(AND($D$29=0,$D$30=0,$D$31=0),"c/ho = not applicable for uncoped beam",IF(AND($D$29&gt;0,$D$30&gt;0,$D$30&lt;=0.5*$B$45,$D$31=0),$P$316,IF(AND($D$29&gt;0,$D$30&gt;0,$D$30&lt;=0.5*$B$45,$D$31&gt;0),"c/ho = not applicable for double coped beam")))</f>
        <v>c/ho = not applicable for uncoped beam</v>
      </c>
      <c r="E157" s="10"/>
      <c r="F157" s="10"/>
      <c r="G157" s="45"/>
      <c r="H157" s="10"/>
      <c r="I157" s="389"/>
      <c r="AF157" s="405" t="s">
        <v>850</v>
      </c>
      <c r="AG157" s="406">
        <v>17.6</v>
      </c>
      <c r="AH157" s="407">
        <v>18.2</v>
      </c>
      <c r="AI157" s="408">
        <v>0.415</v>
      </c>
      <c r="AJ157" s="409">
        <v>7.56</v>
      </c>
      <c r="AK157" s="408">
        <v>0.695</v>
      </c>
      <c r="AL157" s="410">
        <v>1.1</v>
      </c>
      <c r="AN157" s="50"/>
      <c r="AO157" s="100"/>
    </row>
    <row r="158" spans="1:41" ht="12.75">
      <c r="A158" s="443" t="s">
        <v>460</v>
      </c>
      <c r="B158" s="179" t="str">
        <f>IF(AND($D$29=0,$D$30=0,$D$31=0),"N.A.",IF(AND($D$29&gt;0,$D$30&gt;0,$D$30&lt;=0.5*$B$45,$D$31=0),$N$317,IF(AND($D$29&gt;0,$D$30&gt;0,$D$30&lt;=0.5*$B$45,$D$31&gt;0),"N.A.")))</f>
        <v>N.A.</v>
      </c>
      <c r="C158" s="10"/>
      <c r="D158" s="440" t="str">
        <f>IF(AND($D$29=0,$D$30=0,$D$31=0),"k = not applicable for uncoped beam",IF(AND($D$29&gt;0,$D$30&gt;0,$D$30&lt;=0.5*$B$45,$D$31=0),$P$317,IF(AND($D$29&gt;0,$D$30&gt;0,$D$30&lt;=0.5*$B$45,$D$31&gt;0),"k = not applicable for double coped beam")))</f>
        <v>k = not applicable for uncoped beam</v>
      </c>
      <c r="E158" s="10"/>
      <c r="F158" s="10"/>
      <c r="G158" s="45"/>
      <c r="H158" s="45"/>
      <c r="I158" s="389"/>
      <c r="M158" s="141" t="s">
        <v>531</v>
      </c>
      <c r="N158" s="463"/>
      <c r="O158" s="107"/>
      <c r="P158" s="463"/>
      <c r="Q158" s="463"/>
      <c r="R158" s="143"/>
      <c r="S158" s="143"/>
      <c r="T158" s="143"/>
      <c r="U158" s="142"/>
      <c r="V158" s="143"/>
      <c r="W158" s="143"/>
      <c r="X158" s="143"/>
      <c r="Y158" s="143"/>
      <c r="Z158" s="144"/>
      <c r="AA158" s="143"/>
      <c r="AB158" s="143"/>
      <c r="AC158" s="144"/>
      <c r="AF158" s="405" t="s">
        <v>851</v>
      </c>
      <c r="AG158" s="406">
        <v>16.2</v>
      </c>
      <c r="AH158" s="407">
        <v>18.1</v>
      </c>
      <c r="AI158" s="408">
        <v>0.39</v>
      </c>
      <c r="AJ158" s="409">
        <v>7.53</v>
      </c>
      <c r="AK158" s="408">
        <v>0.63</v>
      </c>
      <c r="AL158" s="410">
        <v>1.03</v>
      </c>
      <c r="AN158" s="50"/>
      <c r="AO158" s="100"/>
    </row>
    <row r="159" spans="1:41" ht="12.75">
      <c r="A159" s="51" t="s">
        <v>632</v>
      </c>
      <c r="B159" s="179" t="str">
        <f>IF(AND($D$29=0,$D$30=0,$D$31=0),"N.A.",IF(AND($D$29&gt;0,$D$30&gt;0,$D$30&lt;=0.5*$B$45,$D$31=0),"N.A.",IF(AND($D$29&gt;0,$D$30&gt;0,$D$30&lt;=0.5*$B$45,$D$31&gt;0),$N$355)))</f>
        <v>N.A.</v>
      </c>
      <c r="C159" s="10"/>
      <c r="D159" s="440" t="str">
        <f>IF(AND($D$29=0,$D$30=0,$D$31=0),"fd = not applicable for uncoped beam",IF(AND($D$29&gt;0,$D$30&gt;0,$D$30&lt;=0.5*$B$45,$D$31=0),"fd = not applicable for single coped beam",IF(AND($D$29&gt;0,$D$30&gt;0,$D$30&lt;=0.5*$B$45,$D$31&gt;0),$P$355)))</f>
        <v>fd = not applicable for uncoped beam</v>
      </c>
      <c r="E159" s="10"/>
      <c r="F159" s="10"/>
      <c r="G159" s="25"/>
      <c r="H159" s="45"/>
      <c r="I159" s="389"/>
      <c r="M159" s="464"/>
      <c r="N159" s="141" t="s">
        <v>323</v>
      </c>
      <c r="O159" s="107"/>
      <c r="P159" s="143"/>
      <c r="Q159" s="143"/>
      <c r="R159" s="143"/>
      <c r="S159" s="143"/>
      <c r="T159" s="465"/>
      <c r="U159" s="143"/>
      <c r="V159" s="143"/>
      <c r="W159" s="143"/>
      <c r="X159" s="143"/>
      <c r="Y159" s="156"/>
      <c r="Z159" s="144"/>
      <c r="AA159" s="143"/>
      <c r="AB159" s="156"/>
      <c r="AC159" s="144"/>
      <c r="AF159" s="405" t="s">
        <v>852</v>
      </c>
      <c r="AG159" s="406">
        <v>14.7</v>
      </c>
      <c r="AH159" s="407">
        <v>18</v>
      </c>
      <c r="AI159" s="408">
        <v>0.355</v>
      </c>
      <c r="AJ159" s="409">
        <v>7.5</v>
      </c>
      <c r="AK159" s="408">
        <v>0.57</v>
      </c>
      <c r="AL159" s="412">
        <v>0.972</v>
      </c>
      <c r="AN159" s="50"/>
      <c r="AO159" s="100"/>
    </row>
    <row r="160" spans="1:41" ht="12.75">
      <c r="A160" s="51" t="s">
        <v>633</v>
      </c>
      <c r="B160" s="179" t="str">
        <f>IF(AND($D$29=0,$D$30=0,$D$31=0),"N.A.",IF(AND($D$29&gt;0,$D$30&gt;0,$D$30&lt;=0.5*$B$45,$D$31=0),"N.A.",IF(AND($D$29&gt;0,$D$30&gt;0,$D$30&lt;=0.5*$B$45,$D$31&gt;0),$N$356)))</f>
        <v>N.A.</v>
      </c>
      <c r="C160" s="10"/>
      <c r="D160" s="440" t="str">
        <f>IF(AND($D$29=0,$D$30=0,$D$31=0),"lambda = not applicable for uncoped beam",IF(AND($D$29&gt;0,$D$30&gt;0,$D$30&lt;=0.5*$B$45,$D$31=0),"lambda = not applicable for single coped beam",IF(AND($D$29&gt;0,$D$30&gt;0,$D$30&lt;=0.5*$B$45,$D$31&gt;0),$P$356)))</f>
        <v>lambda = not applicable for uncoped beam</v>
      </c>
      <c r="E160" s="10"/>
      <c r="F160" s="10"/>
      <c r="G160" s="25"/>
      <c r="H160" s="45"/>
      <c r="I160" s="389"/>
      <c r="M160" s="467" t="s">
        <v>18</v>
      </c>
      <c r="N160" s="468">
        <v>0</v>
      </c>
      <c r="O160" s="140">
        <v>0.1</v>
      </c>
      <c r="P160" s="140">
        <v>0.2</v>
      </c>
      <c r="Q160" s="469">
        <v>0.3</v>
      </c>
      <c r="R160" s="140">
        <v>0.4</v>
      </c>
      <c r="S160" s="469">
        <v>0.5</v>
      </c>
      <c r="T160" s="140">
        <v>0.6</v>
      </c>
      <c r="U160" s="469">
        <v>0.7</v>
      </c>
      <c r="V160" s="140">
        <v>0.8</v>
      </c>
      <c r="W160" s="469">
        <v>0.9</v>
      </c>
      <c r="X160" s="140">
        <v>1</v>
      </c>
      <c r="Y160" s="469">
        <v>1.2</v>
      </c>
      <c r="Z160" s="140">
        <v>1.4</v>
      </c>
      <c r="AA160" s="140">
        <v>1.6</v>
      </c>
      <c r="AB160" s="469">
        <v>1.8</v>
      </c>
      <c r="AC160" s="140">
        <v>2</v>
      </c>
      <c r="AF160" s="405" t="s">
        <v>853</v>
      </c>
      <c r="AG160" s="406">
        <v>13.5</v>
      </c>
      <c r="AH160" s="407">
        <v>18.1</v>
      </c>
      <c r="AI160" s="408">
        <v>0.36</v>
      </c>
      <c r="AJ160" s="409">
        <v>6.06</v>
      </c>
      <c r="AK160" s="408">
        <v>0.605</v>
      </c>
      <c r="AL160" s="410">
        <v>1.01</v>
      </c>
      <c r="AN160" s="50"/>
      <c r="AO160" s="100"/>
    </row>
    <row r="161" spans="1:38" ht="12.75">
      <c r="A161" s="51" t="s">
        <v>634</v>
      </c>
      <c r="B161" s="179" t="str">
        <f>IF(AND($D$29=0,$D$30=0,$D$31=0),"N.A.",IF(AND($D$29&gt;0,$D$30&gt;0,$D$30&lt;=0.5*$B$45,$D$31=0),"N.A.",IF(AND($D$29&gt;0,$D$30&gt;0,$D$30&lt;=0.5*$B$45,$D$31&gt;0),$N$357)))</f>
        <v>N.A.</v>
      </c>
      <c r="C161" s="10"/>
      <c r="D161" s="529" t="str">
        <f>IF(AND($D$29=0,$D$30=0,$D$31=0),"Q = not applicable for uncoped beam",IF(AND($D$29&gt;0,$D$30&gt;0,$D$30&lt;=0.5*$B$45,$D$31=0),"Q = not applicable for single coped beam",IF(AND($D$29&gt;0,$D$30&gt;0,$D$30&lt;=0.5*$B$45,$D$31&gt;0),$P$357)))</f>
        <v>Q = not applicable for uncoped beam</v>
      </c>
      <c r="E161" s="10"/>
      <c r="F161" s="10"/>
      <c r="G161" s="25"/>
      <c r="H161" s="45"/>
      <c r="I161" s="389"/>
      <c r="M161" s="471">
        <v>0</v>
      </c>
      <c r="N161" s="472">
        <v>2.34</v>
      </c>
      <c r="O161" s="473">
        <v>2.81</v>
      </c>
      <c r="P161" s="474">
        <v>3.28</v>
      </c>
      <c r="Q161" s="318">
        <v>3.74</v>
      </c>
      <c r="R161" s="474">
        <v>4.21</v>
      </c>
      <c r="S161" s="474">
        <v>4.68</v>
      </c>
      <c r="T161" s="474">
        <v>5.15</v>
      </c>
      <c r="U161" s="474">
        <v>5.62</v>
      </c>
      <c r="V161" s="474">
        <v>6.08</v>
      </c>
      <c r="W161" s="474">
        <v>6.55</v>
      </c>
      <c r="X161" s="318">
        <v>7.02</v>
      </c>
      <c r="Y161" s="474">
        <v>7.96</v>
      </c>
      <c r="Z161" s="475">
        <v>8.89</v>
      </c>
      <c r="AA161" s="474">
        <v>9.83</v>
      </c>
      <c r="AB161" s="474">
        <v>10.8</v>
      </c>
      <c r="AC161" s="476">
        <v>11.7</v>
      </c>
      <c r="AF161" s="405" t="s">
        <v>854</v>
      </c>
      <c r="AG161" s="406">
        <v>11.8</v>
      </c>
      <c r="AH161" s="407">
        <v>17.9</v>
      </c>
      <c r="AI161" s="408">
        <v>0.315</v>
      </c>
      <c r="AJ161" s="409">
        <v>6.02</v>
      </c>
      <c r="AK161" s="408">
        <v>0.525</v>
      </c>
      <c r="AL161" s="412">
        <v>0.927</v>
      </c>
    </row>
    <row r="162" spans="1:38" ht="12.75">
      <c r="A162" s="443" t="s">
        <v>107</v>
      </c>
      <c r="B162" s="179" t="str">
        <f>IF(AND($D$29=0,$D$30=0,$D$31=0),"N.A.",IF(AND($D$29&gt;0,$D$30&gt;0,$D$30&lt;=0.5*$B$45,$D$31=0),$N$318,IF(AND($D$29&gt;0,$D$30&gt;0,$D$30&lt;=0.5*$B$45,$D$31&gt;0),$N$358)))</f>
        <v>N.A.</v>
      </c>
      <c r="C162" s="110" t="s">
        <v>245</v>
      </c>
      <c r="D162" s="441" t="str">
        <f>IF(AND($D$29=0,$D$30=0,$D$31=0),"Fbc = not applicable for uncoped beam",IF(AND($D$29&gt;0,$D$30&gt;0,$D$30&lt;=0.5*$B$45,$D$31=0),$P$318,IF(AND($D$29&gt;0,$D$30&gt;0,$D$30&lt;=0.5*$B$45,$D$31&gt;0),$P$358)))</f>
        <v>Fbc = not applicable for uncoped beam</v>
      </c>
      <c r="E162" s="10"/>
      <c r="F162" s="60"/>
      <c r="G162" s="25"/>
      <c r="H162" s="80"/>
      <c r="I162" s="389"/>
      <c r="M162" s="477">
        <v>0.1</v>
      </c>
      <c r="N162" s="478">
        <v>2.24</v>
      </c>
      <c r="O162" s="479">
        <v>2.74</v>
      </c>
      <c r="P162" s="480">
        <v>3.24</v>
      </c>
      <c r="Q162" s="320">
        <v>3.74</v>
      </c>
      <c r="R162" s="480">
        <v>4.23</v>
      </c>
      <c r="S162" s="480">
        <v>4.73</v>
      </c>
      <c r="T162" s="480">
        <v>5.23</v>
      </c>
      <c r="U162" s="480">
        <v>5.72</v>
      </c>
      <c r="V162" s="480">
        <v>6.22</v>
      </c>
      <c r="W162" s="480">
        <v>6.71</v>
      </c>
      <c r="X162" s="480">
        <v>7.2</v>
      </c>
      <c r="Y162" s="480">
        <v>8.19</v>
      </c>
      <c r="Z162" s="481">
        <v>9.17</v>
      </c>
      <c r="AA162" s="480">
        <v>10.1</v>
      </c>
      <c r="AB162" s="480">
        <v>11.1</v>
      </c>
      <c r="AC162" s="482">
        <v>12.1</v>
      </c>
      <c r="AF162" s="405" t="s">
        <v>855</v>
      </c>
      <c r="AG162" s="406">
        <v>10.3</v>
      </c>
      <c r="AH162" s="407">
        <v>17.7</v>
      </c>
      <c r="AI162" s="408">
        <v>0.3</v>
      </c>
      <c r="AJ162" s="409">
        <v>6</v>
      </c>
      <c r="AK162" s="408">
        <v>0.425</v>
      </c>
      <c r="AL162" s="412">
        <v>0.827</v>
      </c>
    </row>
    <row r="163" spans="1:41" ht="12.75">
      <c r="A163" s="443" t="s">
        <v>104</v>
      </c>
      <c r="B163" s="183" t="str">
        <f>IF(AND($D$29=0,$D$30=0,$D$31=0),"N.A.",IF(AND($D$29&gt;0,$D$30&gt;0,$D$30&lt;=0.5*$B$45,$D$31=0),$N$319,IF(AND($D$29&gt;0,$D$30&gt;0,$D$30&lt;=0.5*$B$45,$D$31&gt;0),$N$359)))</f>
        <v>N.A.</v>
      </c>
      <c r="C163" s="110" t="s">
        <v>237</v>
      </c>
      <c r="D163" s="441" t="str">
        <f>IF(AND($D$29=0,$D$30=0,$D$31=0),"Rwb = not applicable for uncoped beam",IF(AND($D$29&gt;0,$D$30&gt;0,$D$30&lt;=0.5*$B$45,$D$31=0),$P$319,IF(AND($D$29&gt;0,$D$30&gt;0,$D$30&lt;=0.5*$B$45,$D$31&gt;0),$P$359)))</f>
        <v>Rwb = not applicable for uncoped beam</v>
      </c>
      <c r="E163" s="10"/>
      <c r="F163" s="445"/>
      <c r="G163" s="10"/>
      <c r="H163" s="10"/>
      <c r="I163" s="389">
        <f>IF(AND($D$29=0,$D$30=0,$D$31=0),"",IF($B$163&gt;=$D$16,"Rwb &gt;= R,  O.K.  ","Rwb &lt; R, N.G.  "))</f>
      </c>
      <c r="M163" s="483">
        <v>0.15</v>
      </c>
      <c r="N163" s="478">
        <v>2.09</v>
      </c>
      <c r="O163" s="479">
        <v>2.6</v>
      </c>
      <c r="P163" s="480">
        <v>3.09</v>
      </c>
      <c r="Q163" s="480">
        <v>3.58</v>
      </c>
      <c r="R163" s="480">
        <v>4.07</v>
      </c>
      <c r="S163" s="480">
        <v>4.57</v>
      </c>
      <c r="T163" s="320">
        <v>5.06</v>
      </c>
      <c r="U163" s="480">
        <v>5.56</v>
      </c>
      <c r="V163" s="480">
        <v>6.06</v>
      </c>
      <c r="W163" s="320">
        <v>6.55</v>
      </c>
      <c r="X163" s="480">
        <v>7.05</v>
      </c>
      <c r="Y163" s="480">
        <v>8.04</v>
      </c>
      <c r="Z163" s="481">
        <v>9.03</v>
      </c>
      <c r="AA163" s="480">
        <v>10</v>
      </c>
      <c r="AB163" s="480">
        <v>11</v>
      </c>
      <c r="AC163" s="482">
        <v>12</v>
      </c>
      <c r="AF163" s="405" t="s">
        <v>856</v>
      </c>
      <c r="AG163" s="406">
        <v>29.5</v>
      </c>
      <c r="AH163" s="407">
        <v>17</v>
      </c>
      <c r="AI163" s="408">
        <v>0.585</v>
      </c>
      <c r="AJ163" s="407">
        <v>10.4</v>
      </c>
      <c r="AK163" s="408">
        <v>0.985</v>
      </c>
      <c r="AL163" s="410">
        <v>1.39</v>
      </c>
      <c r="AN163" s="50" t="str">
        <f>IF(AO163="","N.A.","SR =")</f>
        <v>N.A.</v>
      </c>
      <c r="AO163" s="100">
        <f>IF(AND($D$29=0,$D$30=0,$D$31=0),"",$D$16/$B$163)</f>
      </c>
    </row>
    <row r="164" spans="1:41" ht="12.75">
      <c r="A164" s="19"/>
      <c r="B164" s="10"/>
      <c r="C164" s="10"/>
      <c r="D164" s="10"/>
      <c r="E164" s="10"/>
      <c r="F164" s="10"/>
      <c r="G164" s="10"/>
      <c r="H164" s="10"/>
      <c r="I164" s="14"/>
      <c r="M164" s="483">
        <v>0.2</v>
      </c>
      <c r="N164" s="478">
        <v>1.96</v>
      </c>
      <c r="O164" s="479">
        <v>2.44</v>
      </c>
      <c r="P164" s="480">
        <v>2.92</v>
      </c>
      <c r="Q164" s="480">
        <v>3.4</v>
      </c>
      <c r="R164" s="320">
        <v>3.88</v>
      </c>
      <c r="S164" s="480">
        <v>4.37</v>
      </c>
      <c r="T164" s="480">
        <v>4.86</v>
      </c>
      <c r="U164" s="480">
        <v>5.36</v>
      </c>
      <c r="V164" s="480">
        <v>5.85</v>
      </c>
      <c r="W164" s="480">
        <v>6.35</v>
      </c>
      <c r="X164" s="480">
        <v>6.84</v>
      </c>
      <c r="Y164" s="480">
        <v>7.83</v>
      </c>
      <c r="Z164" s="481">
        <v>8.83</v>
      </c>
      <c r="AA164" s="480">
        <v>9.82</v>
      </c>
      <c r="AB164" s="480">
        <v>10.8</v>
      </c>
      <c r="AC164" s="484">
        <v>11.8</v>
      </c>
      <c r="AF164" s="405" t="s">
        <v>857</v>
      </c>
      <c r="AG164" s="406">
        <v>26.2</v>
      </c>
      <c r="AH164" s="407">
        <v>16.8</v>
      </c>
      <c r="AI164" s="408">
        <v>0.525</v>
      </c>
      <c r="AJ164" s="407">
        <v>10.4</v>
      </c>
      <c r="AK164" s="408">
        <v>0.875</v>
      </c>
      <c r="AL164" s="410">
        <v>1.28</v>
      </c>
      <c r="AN164" s="50"/>
      <c r="AO164" s="100"/>
    </row>
    <row r="165" spans="1:38" ht="12.75">
      <c r="A165" s="64" t="s">
        <v>161</v>
      </c>
      <c r="B165" s="45"/>
      <c r="C165" s="121"/>
      <c r="D165" s="45"/>
      <c r="E165" s="45"/>
      <c r="F165" s="45"/>
      <c r="G165" s="45"/>
      <c r="H165" s="45"/>
      <c r="I165" s="389"/>
      <c r="M165" s="483">
        <v>0.25</v>
      </c>
      <c r="N165" s="478">
        <v>1.85</v>
      </c>
      <c r="O165" s="479">
        <v>2.29</v>
      </c>
      <c r="P165" s="480">
        <v>2.75</v>
      </c>
      <c r="Q165" s="480">
        <v>3.21</v>
      </c>
      <c r="R165" s="480">
        <v>3.68</v>
      </c>
      <c r="S165" s="480">
        <v>4.16</v>
      </c>
      <c r="T165" s="480">
        <v>4.64</v>
      </c>
      <c r="U165" s="480">
        <v>5.13</v>
      </c>
      <c r="V165" s="480">
        <v>5.62</v>
      </c>
      <c r="W165" s="480">
        <v>6.11</v>
      </c>
      <c r="X165" s="480">
        <v>6.6</v>
      </c>
      <c r="Y165" s="480">
        <v>7.58</v>
      </c>
      <c r="Z165" s="481">
        <v>8.58</v>
      </c>
      <c r="AA165" s="480">
        <v>9.59</v>
      </c>
      <c r="AB165" s="480">
        <v>1.6</v>
      </c>
      <c r="AC165" s="482">
        <v>11.6</v>
      </c>
      <c r="AF165" s="405" t="s">
        <v>858</v>
      </c>
      <c r="AG165" s="406">
        <v>22.6</v>
      </c>
      <c r="AH165" s="407">
        <v>16.5</v>
      </c>
      <c r="AI165" s="408">
        <v>0.455</v>
      </c>
      <c r="AJ165" s="407">
        <v>10.3</v>
      </c>
      <c r="AK165" s="408">
        <v>0.76</v>
      </c>
      <c r="AL165" s="410">
        <v>1.16</v>
      </c>
    </row>
    <row r="166" spans="1:41" ht="12.75">
      <c r="A166" s="442" t="s">
        <v>644</v>
      </c>
      <c r="B166" s="10"/>
      <c r="C166" s="10"/>
      <c r="D166" s="10"/>
      <c r="E166" s="10"/>
      <c r="F166" s="10"/>
      <c r="G166" s="10"/>
      <c r="H166" s="10"/>
      <c r="I166" s="389"/>
      <c r="M166" s="483">
        <v>0.3</v>
      </c>
      <c r="N166" s="478">
        <v>1.74</v>
      </c>
      <c r="O166" s="479">
        <v>2.15</v>
      </c>
      <c r="P166" s="480">
        <v>2.59</v>
      </c>
      <c r="Q166" s="480">
        <v>3.03</v>
      </c>
      <c r="R166" s="480">
        <v>3.48</v>
      </c>
      <c r="S166" s="480">
        <v>3.94</v>
      </c>
      <c r="T166" s="480">
        <v>4.41</v>
      </c>
      <c r="U166" s="320">
        <v>4.89</v>
      </c>
      <c r="V166" s="480">
        <v>5.38</v>
      </c>
      <c r="W166" s="480">
        <v>5.86</v>
      </c>
      <c r="X166" s="480">
        <v>6.34</v>
      </c>
      <c r="Y166" s="480">
        <v>7.32</v>
      </c>
      <c r="Z166" s="485">
        <v>8.31</v>
      </c>
      <c r="AA166" s="320">
        <v>9.32</v>
      </c>
      <c r="AB166" s="486">
        <v>10.3</v>
      </c>
      <c r="AC166" s="484">
        <v>11.3</v>
      </c>
      <c r="AF166" s="405" t="s">
        <v>859</v>
      </c>
      <c r="AG166" s="406">
        <v>19.7</v>
      </c>
      <c r="AH166" s="407">
        <v>16.3</v>
      </c>
      <c r="AI166" s="408">
        <v>0.395</v>
      </c>
      <c r="AJ166" s="407">
        <v>10.2</v>
      </c>
      <c r="AK166" s="408">
        <v>0.665</v>
      </c>
      <c r="AL166" s="410">
        <v>1.07</v>
      </c>
      <c r="AN166" s="50"/>
      <c r="AO166" s="100"/>
    </row>
    <row r="167" spans="1:41" ht="12.75">
      <c r="A167" s="439" t="s">
        <v>631</v>
      </c>
      <c r="B167" s="450">
        <f>$N$362</f>
        <v>7.125016348901795</v>
      </c>
      <c r="C167" s="456" t="s">
        <v>269</v>
      </c>
      <c r="D167" s="438" t="s">
        <v>630</v>
      </c>
      <c r="E167" s="10"/>
      <c r="F167" s="10"/>
      <c r="G167" s="45"/>
      <c r="H167" s="10"/>
      <c r="I167" s="389"/>
      <c r="M167" s="483">
        <v>0.4</v>
      </c>
      <c r="N167" s="478">
        <v>1.55</v>
      </c>
      <c r="O167" s="479">
        <v>1.91</v>
      </c>
      <c r="P167" s="480">
        <v>2.3</v>
      </c>
      <c r="Q167" s="480">
        <v>2.7</v>
      </c>
      <c r="R167" s="480">
        <v>3.12</v>
      </c>
      <c r="S167" s="480">
        <v>3.55</v>
      </c>
      <c r="T167" s="480">
        <v>3.99</v>
      </c>
      <c r="U167" s="480">
        <v>4.44</v>
      </c>
      <c r="V167" s="320">
        <v>4.91</v>
      </c>
      <c r="W167" s="480">
        <v>5.37</v>
      </c>
      <c r="X167" s="480">
        <v>5.83</v>
      </c>
      <c r="Y167" s="320">
        <v>6.77</v>
      </c>
      <c r="Z167" s="481">
        <v>7.75</v>
      </c>
      <c r="AA167" s="480">
        <v>8.75</v>
      </c>
      <c r="AB167" s="480">
        <v>9.77</v>
      </c>
      <c r="AC167" s="482">
        <v>10.8</v>
      </c>
      <c r="AF167" s="405" t="s">
        <v>860</v>
      </c>
      <c r="AG167" s="406">
        <v>16.8</v>
      </c>
      <c r="AH167" s="407">
        <v>16.4</v>
      </c>
      <c r="AI167" s="408">
        <v>0.43</v>
      </c>
      <c r="AJ167" s="409">
        <v>7.12</v>
      </c>
      <c r="AK167" s="408">
        <v>0.715</v>
      </c>
      <c r="AL167" s="410">
        <v>1.12</v>
      </c>
      <c r="AN167" s="50"/>
      <c r="AO167" s="100"/>
    </row>
    <row r="168" spans="1:41" ht="12.75">
      <c r="A168" s="457" t="s">
        <v>427</v>
      </c>
      <c r="B168" s="180">
        <f>$N$363</f>
        <v>82.77323612608444</v>
      </c>
      <c r="C168" s="456" t="s">
        <v>237</v>
      </c>
      <c r="D168" s="447" t="s">
        <v>643</v>
      </c>
      <c r="E168" s="10"/>
      <c r="F168" s="10"/>
      <c r="G168" s="10"/>
      <c r="H168" s="10"/>
      <c r="I168" s="389"/>
      <c r="M168" s="483">
        <v>0.5</v>
      </c>
      <c r="N168" s="478">
        <v>1.37</v>
      </c>
      <c r="O168" s="479">
        <v>1.7</v>
      </c>
      <c r="P168" s="480">
        <v>2.05</v>
      </c>
      <c r="Q168" s="480">
        <v>2.42</v>
      </c>
      <c r="R168" s="480">
        <v>2.8</v>
      </c>
      <c r="S168" s="480">
        <v>3.2</v>
      </c>
      <c r="T168" s="480">
        <v>3.61</v>
      </c>
      <c r="U168" s="320">
        <v>4.04</v>
      </c>
      <c r="V168" s="320">
        <v>4.48</v>
      </c>
      <c r="W168" s="320">
        <v>4.93</v>
      </c>
      <c r="X168" s="480">
        <v>5.37</v>
      </c>
      <c r="Y168" s="480">
        <v>6.27</v>
      </c>
      <c r="Z168" s="481">
        <v>7.22</v>
      </c>
      <c r="AA168" s="480">
        <v>8.2</v>
      </c>
      <c r="AB168" s="320">
        <v>9.2</v>
      </c>
      <c r="AC168" s="482">
        <v>10.2</v>
      </c>
      <c r="AF168" s="405" t="s">
        <v>861</v>
      </c>
      <c r="AG168" s="406">
        <v>14.7</v>
      </c>
      <c r="AH168" s="407">
        <v>16.3</v>
      </c>
      <c r="AI168" s="408">
        <v>0.38</v>
      </c>
      <c r="AJ168" s="409">
        <v>7.07</v>
      </c>
      <c r="AK168" s="408">
        <v>0.63</v>
      </c>
      <c r="AL168" s="410">
        <v>1.03</v>
      </c>
      <c r="AN168" s="50"/>
      <c r="AO168" s="100"/>
    </row>
    <row r="169" spans="1:41" ht="12.75">
      <c r="A169" s="457" t="s">
        <v>625</v>
      </c>
      <c r="B169" s="451">
        <f>$N$364</f>
        <v>0.23769230769230767</v>
      </c>
      <c r="C169" s="361" t="s">
        <v>268</v>
      </c>
      <c r="D169" s="459" t="s">
        <v>1178</v>
      </c>
      <c r="E169" s="10"/>
      <c r="F169" s="10"/>
      <c r="G169" s="10"/>
      <c r="H169" s="10"/>
      <c r="I169" s="389"/>
      <c r="M169" s="483">
        <v>0.6</v>
      </c>
      <c r="N169" s="478">
        <v>1.23</v>
      </c>
      <c r="O169" s="479">
        <v>1.52</v>
      </c>
      <c r="P169" s="480">
        <v>1.84</v>
      </c>
      <c r="Q169" s="480">
        <v>2.18</v>
      </c>
      <c r="R169" s="480">
        <v>2.53</v>
      </c>
      <c r="S169" s="480">
        <v>2.9</v>
      </c>
      <c r="T169" s="480">
        <v>3.29</v>
      </c>
      <c r="U169" s="320">
        <v>3.69</v>
      </c>
      <c r="V169" s="480">
        <v>4.11</v>
      </c>
      <c r="W169" s="480">
        <v>4.54</v>
      </c>
      <c r="X169" s="480">
        <v>4.96</v>
      </c>
      <c r="Y169" s="480">
        <v>5.83</v>
      </c>
      <c r="Z169" s="481">
        <v>6.72</v>
      </c>
      <c r="AA169" s="480">
        <v>7.67</v>
      </c>
      <c r="AB169" s="480">
        <v>8.65</v>
      </c>
      <c r="AC169" s="482">
        <v>9.64</v>
      </c>
      <c r="AF169" s="405" t="s">
        <v>862</v>
      </c>
      <c r="AG169" s="406">
        <v>13.3</v>
      </c>
      <c r="AH169" s="407">
        <v>16.1</v>
      </c>
      <c r="AI169" s="408">
        <v>0.345</v>
      </c>
      <c r="AJ169" s="409">
        <v>7.04</v>
      </c>
      <c r="AK169" s="408">
        <v>0.565</v>
      </c>
      <c r="AL169" s="412">
        <v>0.967</v>
      </c>
      <c r="AN169" s="50"/>
      <c r="AO169" s="100"/>
    </row>
    <row r="170" spans="1:41" ht="12.75">
      <c r="A170" s="457" t="s">
        <v>628</v>
      </c>
      <c r="B170" s="451" t="str">
        <f>$N$365</f>
        <v>No</v>
      </c>
      <c r="C170" s="361"/>
      <c r="D170" s="447" t="str">
        <f>$P$365</f>
        <v>Is tmin &gt; twc?  If so, Rwr' = Rwr* twc / tmin.  If not, Rwr' = Rwr</v>
      </c>
      <c r="E170" s="10"/>
      <c r="F170" s="10"/>
      <c r="G170" s="10"/>
      <c r="H170" s="10"/>
      <c r="I170" s="389"/>
      <c r="M170" s="483">
        <v>0.7</v>
      </c>
      <c r="N170" s="478">
        <v>1.11</v>
      </c>
      <c r="O170" s="479">
        <v>1.37</v>
      </c>
      <c r="P170" s="480">
        <v>1.66</v>
      </c>
      <c r="Q170" s="480">
        <v>1.97</v>
      </c>
      <c r="R170" s="480">
        <v>2.3</v>
      </c>
      <c r="S170" s="480">
        <v>2.65</v>
      </c>
      <c r="T170" s="480">
        <v>3.01</v>
      </c>
      <c r="U170" s="480">
        <v>3.39</v>
      </c>
      <c r="V170" s="320">
        <v>3.79</v>
      </c>
      <c r="W170" s="480">
        <v>4.2</v>
      </c>
      <c r="X170" s="480">
        <v>4.61</v>
      </c>
      <c r="Y170" s="480">
        <v>5.43</v>
      </c>
      <c r="Z170" s="481">
        <v>6.3</v>
      </c>
      <c r="AA170" s="480">
        <v>7.2</v>
      </c>
      <c r="AB170" s="480">
        <v>8.15</v>
      </c>
      <c r="AC170" s="482">
        <v>9.12</v>
      </c>
      <c r="AF170" s="405" t="s">
        <v>863</v>
      </c>
      <c r="AG170" s="406">
        <v>11.8</v>
      </c>
      <c r="AH170" s="407">
        <v>16</v>
      </c>
      <c r="AI170" s="408">
        <v>0.305</v>
      </c>
      <c r="AJ170" s="409">
        <v>7</v>
      </c>
      <c r="AK170" s="408">
        <v>0.505</v>
      </c>
      <c r="AL170" s="412">
        <v>0.907</v>
      </c>
      <c r="AN170" s="50"/>
      <c r="AO170" s="100"/>
    </row>
    <row r="171" spans="1:38" ht="12.75">
      <c r="A171" s="457" t="s">
        <v>624</v>
      </c>
      <c r="B171" s="180">
        <f>$N$366</f>
        <v>82.77323612608444</v>
      </c>
      <c r="C171" s="456" t="s">
        <v>237</v>
      </c>
      <c r="D171" s="449" t="str">
        <f>$P$366</f>
        <v>Rwr' = Rwr, tmin &lt; twc, no reduction in strength is needed</v>
      </c>
      <c r="E171" s="10"/>
      <c r="F171" s="10"/>
      <c r="G171" s="10"/>
      <c r="H171" s="10"/>
      <c r="I171" s="389"/>
      <c r="M171" s="483">
        <v>0.8</v>
      </c>
      <c r="N171" s="478">
        <v>1</v>
      </c>
      <c r="O171" s="479">
        <v>1.25</v>
      </c>
      <c r="P171" s="480">
        <v>1.51</v>
      </c>
      <c r="Q171" s="480">
        <v>1.8</v>
      </c>
      <c r="R171" s="480">
        <v>2.1</v>
      </c>
      <c r="S171" s="480">
        <v>2.43</v>
      </c>
      <c r="T171" s="320">
        <v>2.77</v>
      </c>
      <c r="U171" s="480">
        <v>3.13</v>
      </c>
      <c r="V171" s="320">
        <v>3.51</v>
      </c>
      <c r="W171" s="480">
        <v>3.9</v>
      </c>
      <c r="X171" s="480">
        <v>4.29</v>
      </c>
      <c r="Y171" s="480">
        <v>5.08</v>
      </c>
      <c r="Z171" s="481">
        <v>5.91</v>
      </c>
      <c r="AA171" s="480">
        <v>6.77</v>
      </c>
      <c r="AB171" s="480">
        <v>7.69</v>
      </c>
      <c r="AC171" s="321">
        <v>8.63</v>
      </c>
      <c r="AF171" s="405" t="s">
        <v>864</v>
      </c>
      <c r="AG171" s="406">
        <v>10.6</v>
      </c>
      <c r="AH171" s="407">
        <v>15.9</v>
      </c>
      <c r="AI171" s="408">
        <v>0.295</v>
      </c>
      <c r="AJ171" s="409">
        <v>6.99</v>
      </c>
      <c r="AK171" s="408">
        <v>0.43</v>
      </c>
      <c r="AL171" s="412">
        <v>0.832</v>
      </c>
    </row>
    <row r="172" spans="1:41" ht="12.75">
      <c r="A172" s="457" t="s">
        <v>428</v>
      </c>
      <c r="B172" s="180">
        <f>$N$367</f>
        <v>82.13405099191012</v>
      </c>
      <c r="C172" s="456" t="s">
        <v>237</v>
      </c>
      <c r="D172" s="448" t="s">
        <v>637</v>
      </c>
      <c r="E172" s="10"/>
      <c r="F172" s="10"/>
      <c r="G172" s="10"/>
      <c r="H172" s="10"/>
      <c r="I172" s="389" t="str">
        <f>IF($B$172&gt;=$D$16,"Rwv &gt;= R,  O.K.  ","Rwv &lt; R, N.G.  ")</f>
        <v>Rwv &gt;= R,  O.K.  </v>
      </c>
      <c r="M172" s="483">
        <v>0.9</v>
      </c>
      <c r="N172" s="478">
        <v>0.913</v>
      </c>
      <c r="O172" s="479">
        <v>1.14</v>
      </c>
      <c r="P172" s="480">
        <v>1.38</v>
      </c>
      <c r="Q172" s="480">
        <v>1.65</v>
      </c>
      <c r="R172" s="480">
        <v>1.93</v>
      </c>
      <c r="S172" s="480">
        <v>2.24</v>
      </c>
      <c r="T172" s="480">
        <v>2.56</v>
      </c>
      <c r="U172" s="480">
        <v>2.9</v>
      </c>
      <c r="V172" s="480">
        <v>3.26</v>
      </c>
      <c r="W172" s="480">
        <v>3.64</v>
      </c>
      <c r="X172" s="480">
        <v>4</v>
      </c>
      <c r="Y172" s="480">
        <v>4.76</v>
      </c>
      <c r="Z172" s="481">
        <v>5.56</v>
      </c>
      <c r="AA172" s="320">
        <v>6.39</v>
      </c>
      <c r="AB172" s="480">
        <v>7.27</v>
      </c>
      <c r="AC172" s="321">
        <v>8.18</v>
      </c>
      <c r="AF172" s="405" t="s">
        <v>865</v>
      </c>
      <c r="AG172" s="413">
        <v>9.13</v>
      </c>
      <c r="AH172" s="407">
        <v>15.9</v>
      </c>
      <c r="AI172" s="408">
        <v>0.275</v>
      </c>
      <c r="AJ172" s="409">
        <v>5.53</v>
      </c>
      <c r="AK172" s="408">
        <v>0.44</v>
      </c>
      <c r="AL172" s="412">
        <v>0.842</v>
      </c>
      <c r="AN172" s="50" t="s">
        <v>388</v>
      </c>
      <c r="AO172" s="100">
        <f>IF($D$16&gt;0,$D$16/$B$172,"")</f>
        <v>0.4870087316640433</v>
      </c>
    </row>
    <row r="173" spans="1:41" ht="12.75">
      <c r="A173" s="457" t="s">
        <v>429</v>
      </c>
      <c r="B173" s="181">
        <f>$N$368</f>
        <v>10.26675637398876</v>
      </c>
      <c r="C173" s="456" t="s">
        <v>237</v>
      </c>
      <c r="D173" s="448" t="s">
        <v>638</v>
      </c>
      <c r="E173" s="10"/>
      <c r="F173" s="10"/>
      <c r="G173" s="10"/>
      <c r="H173" s="10"/>
      <c r="I173" s="389" t="str">
        <f>IF($D$17&gt;0,IF($B$173&gt;=$D$17,"Rwa &gt;= P,  O.K.  ","Rwa &lt; P, N.G.  "),"")</f>
        <v>Rwa &gt;= P,  O.K.  </v>
      </c>
      <c r="M173" s="487">
        <v>1</v>
      </c>
      <c r="N173" s="478">
        <v>0.839</v>
      </c>
      <c r="O173" s="479">
        <v>1.05</v>
      </c>
      <c r="P173" s="320">
        <v>1.27</v>
      </c>
      <c r="Q173" s="480">
        <v>1.52</v>
      </c>
      <c r="R173" s="480">
        <v>1.79</v>
      </c>
      <c r="S173" s="480">
        <v>2.07</v>
      </c>
      <c r="T173" s="480">
        <v>2.38</v>
      </c>
      <c r="U173" s="480">
        <v>2.7</v>
      </c>
      <c r="V173" s="480">
        <v>3.05</v>
      </c>
      <c r="W173" s="480">
        <v>3.4</v>
      </c>
      <c r="X173" s="480">
        <v>3.75</v>
      </c>
      <c r="Y173" s="480">
        <v>4.47</v>
      </c>
      <c r="Z173" s="481">
        <v>5.23</v>
      </c>
      <c r="AA173" s="480">
        <v>6.04</v>
      </c>
      <c r="AB173" s="480">
        <v>6.89</v>
      </c>
      <c r="AC173" s="482">
        <v>7.77</v>
      </c>
      <c r="AF173" s="405" t="s">
        <v>866</v>
      </c>
      <c r="AG173" s="413">
        <v>7.68</v>
      </c>
      <c r="AH173" s="407">
        <v>15.7</v>
      </c>
      <c r="AI173" s="408">
        <v>0.25</v>
      </c>
      <c r="AJ173" s="409">
        <v>5.5</v>
      </c>
      <c r="AK173" s="408">
        <v>0.345</v>
      </c>
      <c r="AL173" s="412">
        <v>0.747</v>
      </c>
      <c r="AN173" s="50" t="str">
        <f>IF(AO173="","N.A.","SR =")</f>
        <v>SR =</v>
      </c>
      <c r="AO173" s="100">
        <f>IF($D$17&gt;0,$D$17/$B$173,"")</f>
        <v>0.48700873166404346</v>
      </c>
    </row>
    <row r="174" spans="1:38" ht="12.75">
      <c r="A174" s="457"/>
      <c r="B174" s="10"/>
      <c r="C174" s="10"/>
      <c r="D174" s="52"/>
      <c r="E174" s="10"/>
      <c r="F174" s="10"/>
      <c r="G174" s="10"/>
      <c r="H174" s="10"/>
      <c r="I174" s="389"/>
      <c r="M174" s="487">
        <v>1.2</v>
      </c>
      <c r="N174" s="478">
        <v>0.717</v>
      </c>
      <c r="O174" s="479">
        <v>0.899</v>
      </c>
      <c r="P174" s="480">
        <v>1.1</v>
      </c>
      <c r="Q174" s="480">
        <v>1.31</v>
      </c>
      <c r="R174" s="480">
        <v>1.55</v>
      </c>
      <c r="S174" s="480">
        <v>1.8</v>
      </c>
      <c r="T174" s="480">
        <v>2.08</v>
      </c>
      <c r="U174" s="480">
        <v>2.37</v>
      </c>
      <c r="V174" s="480">
        <v>2.68</v>
      </c>
      <c r="W174" s="480">
        <v>3</v>
      </c>
      <c r="X174" s="480">
        <v>3.31</v>
      </c>
      <c r="Y174" s="480">
        <v>3.97</v>
      </c>
      <c r="Z174" s="481">
        <v>4.68</v>
      </c>
      <c r="AA174" s="480">
        <v>5.42</v>
      </c>
      <c r="AB174" s="480">
        <v>6.21</v>
      </c>
      <c r="AC174" s="482">
        <v>7.04</v>
      </c>
      <c r="AF174" s="405" t="s">
        <v>867</v>
      </c>
      <c r="AG174" s="411">
        <v>215</v>
      </c>
      <c r="AH174" s="407">
        <v>22.4</v>
      </c>
      <c r="AI174" s="409">
        <v>3.07</v>
      </c>
      <c r="AJ174" s="407">
        <v>17.9</v>
      </c>
      <c r="AK174" s="409">
        <v>4.91</v>
      </c>
      <c r="AL174" s="410">
        <v>5.51</v>
      </c>
    </row>
    <row r="175" spans="1:38" ht="12.75">
      <c r="A175" s="73" t="s">
        <v>157</v>
      </c>
      <c r="B175" s="45"/>
      <c r="C175" s="121"/>
      <c r="D175" s="52" t="str">
        <f>$P$369</f>
        <v>(assume LRFD "yield line" theory and convert results back to ASD)</v>
      </c>
      <c r="E175" s="55"/>
      <c r="F175" s="10"/>
      <c r="G175" s="55"/>
      <c r="H175" s="89"/>
      <c r="I175" s="389"/>
      <c r="M175" s="487">
        <v>1.4</v>
      </c>
      <c r="N175" s="478">
        <v>0.625</v>
      </c>
      <c r="O175" s="479">
        <v>0.785</v>
      </c>
      <c r="P175" s="480">
        <v>0.96</v>
      </c>
      <c r="Q175" s="480">
        <v>1.15</v>
      </c>
      <c r="R175" s="480">
        <v>1.36</v>
      </c>
      <c r="S175" s="480">
        <v>1.59</v>
      </c>
      <c r="T175" s="480">
        <v>1.84</v>
      </c>
      <c r="U175" s="480">
        <v>2.11</v>
      </c>
      <c r="V175" s="480">
        <v>2.39</v>
      </c>
      <c r="W175" s="480">
        <v>2.67</v>
      </c>
      <c r="X175" s="480">
        <v>2.96</v>
      </c>
      <c r="Y175" s="480">
        <v>3.57</v>
      </c>
      <c r="Z175" s="481">
        <v>4.22</v>
      </c>
      <c r="AA175" s="480">
        <v>4.91</v>
      </c>
      <c r="AB175" s="320">
        <v>5.65</v>
      </c>
      <c r="AC175" s="482">
        <v>6.41</v>
      </c>
      <c r="AF175" s="405" t="s">
        <v>868</v>
      </c>
      <c r="AG175" s="411">
        <v>196</v>
      </c>
      <c r="AH175" s="407">
        <v>21.6</v>
      </c>
      <c r="AI175" s="409">
        <v>2.83</v>
      </c>
      <c r="AJ175" s="407">
        <v>17.7</v>
      </c>
      <c r="AK175" s="409">
        <v>4.52</v>
      </c>
      <c r="AL175" s="410">
        <v>5.12</v>
      </c>
    </row>
    <row r="176" spans="1:38" ht="12.75">
      <c r="A176" s="69" t="s">
        <v>125</v>
      </c>
      <c r="B176" s="362" t="str">
        <f>$N$370</f>
        <v>N.A.</v>
      </c>
      <c r="C176" s="113" t="s">
        <v>268</v>
      </c>
      <c r="D176" s="10" t="str">
        <f>$P$370</f>
        <v>twc = tw+td*(Fyd/Fyc)</v>
      </c>
      <c r="E176" s="10"/>
      <c r="F176" s="10"/>
      <c r="G176" s="10"/>
      <c r="H176" s="10"/>
      <c r="I176" s="389"/>
      <c r="M176" s="487">
        <v>1.6</v>
      </c>
      <c r="N176" s="478">
        <v>0.555</v>
      </c>
      <c r="O176" s="479">
        <v>0.696</v>
      </c>
      <c r="P176" s="480">
        <v>0.852</v>
      </c>
      <c r="Q176" s="480">
        <v>1.03</v>
      </c>
      <c r="R176" s="480">
        <v>1.21</v>
      </c>
      <c r="S176" s="480">
        <v>1.42</v>
      </c>
      <c r="T176" s="480">
        <v>1.65</v>
      </c>
      <c r="U176" s="480">
        <v>1.89</v>
      </c>
      <c r="V176" s="480">
        <v>2.15</v>
      </c>
      <c r="W176" s="480">
        <v>2.4</v>
      </c>
      <c r="X176" s="480">
        <v>2.67</v>
      </c>
      <c r="Y176" s="480">
        <v>3.22</v>
      </c>
      <c r="Z176" s="481">
        <v>3.83</v>
      </c>
      <c r="AA176" s="480">
        <v>4.47</v>
      </c>
      <c r="AB176" s="480">
        <v>5.15</v>
      </c>
      <c r="AC176" s="482">
        <v>5.88</v>
      </c>
      <c r="AF176" s="405" t="s">
        <v>869</v>
      </c>
      <c r="AG176" s="411">
        <v>178</v>
      </c>
      <c r="AH176" s="407">
        <v>20.9</v>
      </c>
      <c r="AI176" s="409">
        <v>2.6</v>
      </c>
      <c r="AJ176" s="407">
        <v>17.4</v>
      </c>
      <c r="AK176" s="409">
        <v>4.16</v>
      </c>
      <c r="AL176" s="410">
        <v>4.76</v>
      </c>
    </row>
    <row r="177" spans="1:38" ht="12.75">
      <c r="A177" s="77" t="s">
        <v>554</v>
      </c>
      <c r="B177" s="179" t="str">
        <f>$N$371</f>
        <v>N.A.</v>
      </c>
      <c r="C177" s="113" t="s">
        <v>237</v>
      </c>
      <c r="D177" s="52" t="str">
        <f>$P$371</f>
        <v>mp = 0.25*Fyc*twc^2</v>
      </c>
      <c r="E177" s="10"/>
      <c r="F177" s="55"/>
      <c r="G177" s="55"/>
      <c r="H177" s="59"/>
      <c r="I177" s="389"/>
      <c r="M177" s="487">
        <v>1.8</v>
      </c>
      <c r="N177" s="478">
        <v>0.497</v>
      </c>
      <c r="O177" s="324">
        <v>0.624</v>
      </c>
      <c r="P177" s="480">
        <v>0.765</v>
      </c>
      <c r="Q177" s="480">
        <v>0.923</v>
      </c>
      <c r="R177" s="480">
        <v>1.09</v>
      </c>
      <c r="S177" s="480">
        <v>1.29</v>
      </c>
      <c r="T177" s="480">
        <v>1.49</v>
      </c>
      <c r="U177" s="480">
        <v>1.71</v>
      </c>
      <c r="V177" s="480">
        <v>1.95</v>
      </c>
      <c r="W177" s="480">
        <v>2.18</v>
      </c>
      <c r="X177" s="480">
        <v>2.42</v>
      </c>
      <c r="Y177" s="480">
        <v>2.94</v>
      </c>
      <c r="Z177" s="481">
        <v>3.5</v>
      </c>
      <c r="AA177" s="480">
        <v>4.1</v>
      </c>
      <c r="AB177" s="480">
        <v>4.74</v>
      </c>
      <c r="AC177" s="321">
        <v>5.42</v>
      </c>
      <c r="AF177" s="405" t="s">
        <v>870</v>
      </c>
      <c r="AG177" s="411">
        <v>162</v>
      </c>
      <c r="AH177" s="407">
        <v>20.2</v>
      </c>
      <c r="AI177" s="409">
        <v>2.38</v>
      </c>
      <c r="AJ177" s="407">
        <v>17.2</v>
      </c>
      <c r="AK177" s="409">
        <v>3.82</v>
      </c>
      <c r="AL177" s="410">
        <v>4.42</v>
      </c>
    </row>
    <row r="178" spans="1:38" ht="12.75">
      <c r="A178" s="77" t="s">
        <v>556</v>
      </c>
      <c r="B178" s="176" t="str">
        <f>$N$372</f>
        <v>N.A.</v>
      </c>
      <c r="C178" s="113" t="s">
        <v>268</v>
      </c>
      <c r="D178" s="52" t="str">
        <f>$P$372</f>
        <v>Tc = dc-2*kc</v>
      </c>
      <c r="E178" s="45"/>
      <c r="F178" s="55"/>
      <c r="G178" s="55"/>
      <c r="H178" s="10"/>
      <c r="I178" s="389"/>
      <c r="M178" s="487">
        <v>2</v>
      </c>
      <c r="N178" s="478">
        <v>0.451</v>
      </c>
      <c r="O178" s="488">
        <v>0.565</v>
      </c>
      <c r="P178" s="489">
        <v>0.695</v>
      </c>
      <c r="Q178" s="489">
        <v>0.837</v>
      </c>
      <c r="R178" s="489">
        <v>0.995</v>
      </c>
      <c r="S178" s="489">
        <v>1.17</v>
      </c>
      <c r="T178" s="489">
        <v>1.36</v>
      </c>
      <c r="U178" s="489">
        <v>1.57</v>
      </c>
      <c r="V178" s="489">
        <v>1.77</v>
      </c>
      <c r="W178" s="489">
        <v>1.99</v>
      </c>
      <c r="X178" s="489">
        <v>2.21</v>
      </c>
      <c r="Y178" s="489">
        <v>2.69</v>
      </c>
      <c r="Z178" s="490">
        <v>3.21</v>
      </c>
      <c r="AA178" s="489">
        <v>3.78</v>
      </c>
      <c r="AB178" s="489">
        <v>4.38</v>
      </c>
      <c r="AC178" s="491">
        <v>5.02</v>
      </c>
      <c r="AF178" s="405" t="s">
        <v>871</v>
      </c>
      <c r="AG178" s="411">
        <v>147</v>
      </c>
      <c r="AH178" s="407">
        <v>19.6</v>
      </c>
      <c r="AI178" s="409">
        <v>2.19</v>
      </c>
      <c r="AJ178" s="407">
        <v>17</v>
      </c>
      <c r="AK178" s="409">
        <v>3.5</v>
      </c>
      <c r="AL178" s="410">
        <v>4.1</v>
      </c>
    </row>
    <row r="179" spans="1:38" ht="12.75">
      <c r="A179" s="372" t="s">
        <v>1032</v>
      </c>
      <c r="B179" s="176" t="str">
        <f>$N$373</f>
        <v>N.A.</v>
      </c>
      <c r="C179" s="113" t="s">
        <v>268</v>
      </c>
      <c r="D179" s="52" t="str">
        <f>$P$373</f>
        <v>a = (Tc-c)/2</v>
      </c>
      <c r="E179" s="10"/>
      <c r="F179" s="10"/>
      <c r="G179" s="10"/>
      <c r="H179" s="10"/>
      <c r="I179" s="389"/>
      <c r="M179" s="487">
        <v>2.2</v>
      </c>
      <c r="N179" s="492">
        <v>0.411</v>
      </c>
      <c r="O179" s="479">
        <v>0.517</v>
      </c>
      <c r="P179" s="480">
        <v>0.636</v>
      </c>
      <c r="Q179" s="480">
        <v>0.767</v>
      </c>
      <c r="R179" s="480">
        <v>0.913</v>
      </c>
      <c r="S179" s="480">
        <v>1.07</v>
      </c>
      <c r="T179" s="480">
        <v>1.25</v>
      </c>
      <c r="U179" s="480">
        <v>1.44</v>
      </c>
      <c r="V179" s="320">
        <v>1.63</v>
      </c>
      <c r="W179" s="480">
        <v>1.83</v>
      </c>
      <c r="X179" s="320">
        <v>2.04</v>
      </c>
      <c r="Y179" s="480">
        <v>2.49</v>
      </c>
      <c r="Z179" s="480">
        <v>2.97</v>
      </c>
      <c r="AA179" s="480">
        <v>3.5</v>
      </c>
      <c r="AB179" s="480">
        <v>4.06</v>
      </c>
      <c r="AC179" s="482">
        <v>4.67</v>
      </c>
      <c r="AF179" s="405" t="s">
        <v>872</v>
      </c>
      <c r="AG179" s="411">
        <v>134</v>
      </c>
      <c r="AH179" s="407">
        <v>19</v>
      </c>
      <c r="AI179" s="409">
        <v>2.02</v>
      </c>
      <c r="AJ179" s="407">
        <v>16.8</v>
      </c>
      <c r="AK179" s="409">
        <v>3.21</v>
      </c>
      <c r="AL179" s="410">
        <v>3.81</v>
      </c>
    </row>
    <row r="180" spans="1:38" ht="12.75">
      <c r="A180" s="372" t="s">
        <v>1031</v>
      </c>
      <c r="B180" s="176" t="str">
        <f>$N$374</f>
        <v>N.A.</v>
      </c>
      <c r="C180" s="113" t="s">
        <v>268</v>
      </c>
      <c r="D180" s="52" t="str">
        <f>$P$374</f>
        <v>b = a = (Tc-c)/2</v>
      </c>
      <c r="E180" s="10"/>
      <c r="F180" s="10"/>
      <c r="G180" s="10"/>
      <c r="H180" s="10"/>
      <c r="I180" s="389"/>
      <c r="M180" s="487">
        <v>2.4</v>
      </c>
      <c r="N180" s="478">
        <v>0.379</v>
      </c>
      <c r="O180" s="493">
        <v>0.476</v>
      </c>
      <c r="P180" s="494">
        <v>0.585</v>
      </c>
      <c r="Q180" s="326">
        <v>0.708</v>
      </c>
      <c r="R180" s="494">
        <v>0.843</v>
      </c>
      <c r="S180" s="494">
        <v>0.993</v>
      </c>
      <c r="T180" s="494">
        <v>1.16</v>
      </c>
      <c r="U180" s="494">
        <v>1.33</v>
      </c>
      <c r="V180" s="495">
        <v>1.51</v>
      </c>
      <c r="W180" s="494">
        <v>1.69</v>
      </c>
      <c r="X180" s="494">
        <v>1.89</v>
      </c>
      <c r="Y180" s="495">
        <v>2.3</v>
      </c>
      <c r="Z180" s="496">
        <v>2.76</v>
      </c>
      <c r="AA180" s="494">
        <v>3.25</v>
      </c>
      <c r="AB180" s="494">
        <v>3.79</v>
      </c>
      <c r="AC180" s="497">
        <v>4.36</v>
      </c>
      <c r="AF180" s="405" t="s">
        <v>873</v>
      </c>
      <c r="AG180" s="411">
        <v>125</v>
      </c>
      <c r="AH180" s="407">
        <v>18.7</v>
      </c>
      <c r="AI180" s="409">
        <v>1.88</v>
      </c>
      <c r="AJ180" s="407">
        <v>16.7</v>
      </c>
      <c r="AK180" s="409">
        <v>3.04</v>
      </c>
      <c r="AL180" s="410">
        <v>3.63</v>
      </c>
    </row>
    <row r="181" spans="1:38" ht="12.75">
      <c r="A181" s="372" t="s">
        <v>568</v>
      </c>
      <c r="B181" s="176" t="str">
        <f>$N$375</f>
        <v>N.A.</v>
      </c>
      <c r="C181" s="113" t="s">
        <v>268</v>
      </c>
      <c r="D181" s="52" t="str">
        <f>$P$375</f>
        <v>c = g (assume g = 5.5" and use theory from bolted connections)</v>
      </c>
      <c r="E181" s="10"/>
      <c r="F181" s="10"/>
      <c r="G181" s="10"/>
      <c r="H181" s="10"/>
      <c r="I181" s="389"/>
      <c r="M181" s="487">
        <v>2.6</v>
      </c>
      <c r="N181" s="478">
        <v>0.351</v>
      </c>
      <c r="O181" s="324">
        <v>0.441</v>
      </c>
      <c r="P181" s="480">
        <v>0.543</v>
      </c>
      <c r="Q181" s="480">
        <v>0.656</v>
      </c>
      <c r="R181" s="480">
        <v>0.783</v>
      </c>
      <c r="S181" s="480">
        <v>0.923</v>
      </c>
      <c r="T181" s="480">
        <v>1.08</v>
      </c>
      <c r="U181" s="319">
        <v>1.24</v>
      </c>
      <c r="V181" s="480">
        <v>1.4</v>
      </c>
      <c r="W181" s="480">
        <v>1.57</v>
      </c>
      <c r="X181" s="480">
        <v>1.76</v>
      </c>
      <c r="Y181" s="480">
        <v>2.15</v>
      </c>
      <c r="Z181" s="485">
        <v>2.58</v>
      </c>
      <c r="AA181" s="480">
        <v>3.04</v>
      </c>
      <c r="AB181" s="480">
        <v>3.55</v>
      </c>
      <c r="AC181" s="482">
        <v>4.09</v>
      </c>
      <c r="AF181" s="405" t="s">
        <v>874</v>
      </c>
      <c r="AG181" s="411">
        <v>117</v>
      </c>
      <c r="AH181" s="407">
        <v>18.3</v>
      </c>
      <c r="AI181" s="409">
        <v>1.77</v>
      </c>
      <c r="AJ181" s="407">
        <v>16.6</v>
      </c>
      <c r="AK181" s="409">
        <v>2.85</v>
      </c>
      <c r="AL181" s="410">
        <v>3.44</v>
      </c>
    </row>
    <row r="182" spans="1:38" ht="12.75">
      <c r="A182" s="69" t="s">
        <v>401</v>
      </c>
      <c r="B182" s="176" t="str">
        <f>$N$376</f>
        <v>N.A.</v>
      </c>
      <c r="C182" s="113" t="s">
        <v>268</v>
      </c>
      <c r="D182" s="52" t="str">
        <f>$P$376</f>
        <v>L = connection length</v>
      </c>
      <c r="E182" s="45"/>
      <c r="F182" s="55"/>
      <c r="G182" s="45"/>
      <c r="H182" s="10"/>
      <c r="I182" s="389"/>
      <c r="M182" s="487">
        <v>2.8</v>
      </c>
      <c r="N182" s="478">
        <v>0.327</v>
      </c>
      <c r="O182" s="479">
        <v>0.411</v>
      </c>
      <c r="P182" s="480">
        <v>0.505</v>
      </c>
      <c r="Q182" s="480">
        <v>0.611</v>
      </c>
      <c r="R182" s="480">
        <v>0.731</v>
      </c>
      <c r="S182" s="480">
        <v>0.861</v>
      </c>
      <c r="T182" s="480">
        <v>1</v>
      </c>
      <c r="U182" s="480">
        <v>1.16</v>
      </c>
      <c r="V182" s="480">
        <v>1.31</v>
      </c>
      <c r="W182" s="480">
        <v>1.47</v>
      </c>
      <c r="X182" s="480">
        <v>1.64</v>
      </c>
      <c r="Y182" s="480">
        <v>2.01</v>
      </c>
      <c r="Z182" s="481">
        <v>2.41</v>
      </c>
      <c r="AA182" s="320">
        <v>2.86</v>
      </c>
      <c r="AB182" s="480">
        <v>3.33</v>
      </c>
      <c r="AC182" s="482">
        <v>3.84</v>
      </c>
      <c r="AF182" s="405" t="s">
        <v>875</v>
      </c>
      <c r="AG182" s="411">
        <v>109</v>
      </c>
      <c r="AH182" s="407">
        <v>17.9</v>
      </c>
      <c r="AI182" s="409">
        <v>1.66</v>
      </c>
      <c r="AJ182" s="407">
        <v>16.5</v>
      </c>
      <c r="AK182" s="409">
        <v>2.66</v>
      </c>
      <c r="AL182" s="410">
        <v>3.26</v>
      </c>
    </row>
    <row r="183" spans="1:38" ht="12.75">
      <c r="A183" s="81" t="s">
        <v>558</v>
      </c>
      <c r="B183" s="179" t="str">
        <f>$N$377</f>
        <v>N.A.</v>
      </c>
      <c r="C183" s="113"/>
      <c r="D183" s="82" t="s">
        <v>560</v>
      </c>
      <c r="E183" s="45"/>
      <c r="F183" s="55"/>
      <c r="G183" s="99"/>
      <c r="H183" s="10"/>
      <c r="I183" s="389"/>
      <c r="M183" s="498">
        <v>3</v>
      </c>
      <c r="N183" s="499">
        <v>0.305</v>
      </c>
      <c r="O183" s="500">
        <v>0.384</v>
      </c>
      <c r="P183" s="501">
        <v>0.473</v>
      </c>
      <c r="Q183" s="501">
        <v>0.572</v>
      </c>
      <c r="R183" s="322">
        <v>0.684</v>
      </c>
      <c r="S183" s="501">
        <v>0.808</v>
      </c>
      <c r="T183" s="501">
        <v>0.943</v>
      </c>
      <c r="U183" s="501">
        <v>1.09</v>
      </c>
      <c r="V183" s="501">
        <v>1.23</v>
      </c>
      <c r="W183" s="501">
        <v>1.38</v>
      </c>
      <c r="X183" s="501">
        <v>1.54</v>
      </c>
      <c r="Y183" s="501">
        <v>1.89</v>
      </c>
      <c r="Z183" s="502">
        <v>2.27</v>
      </c>
      <c r="AA183" s="501">
        <v>2.69</v>
      </c>
      <c r="AB183" s="501">
        <v>3.14</v>
      </c>
      <c r="AC183" s="503">
        <v>3.62</v>
      </c>
      <c r="AF183" s="405" t="s">
        <v>876</v>
      </c>
      <c r="AG183" s="411">
        <v>101</v>
      </c>
      <c r="AH183" s="407">
        <v>17.5</v>
      </c>
      <c r="AI183" s="409">
        <v>1.54</v>
      </c>
      <c r="AJ183" s="407">
        <v>16.4</v>
      </c>
      <c r="AK183" s="409">
        <v>2.47</v>
      </c>
      <c r="AL183" s="410">
        <v>3.07</v>
      </c>
    </row>
    <row r="184" spans="1:38" ht="12.75">
      <c r="A184" s="81" t="s">
        <v>559</v>
      </c>
      <c r="B184" s="179" t="str">
        <f>$N$378</f>
        <v>N.A.</v>
      </c>
      <c r="C184" s="113" t="s">
        <v>237</v>
      </c>
      <c r="D184" s="82" t="s">
        <v>562</v>
      </c>
      <c r="E184" s="55"/>
      <c r="F184" s="45"/>
      <c r="G184" s="45"/>
      <c r="H184" s="45"/>
      <c r="I184" s="389"/>
      <c r="M184" s="504" t="s">
        <v>526</v>
      </c>
      <c r="N184" s="505">
        <v>0</v>
      </c>
      <c r="O184" s="325">
        <v>0.008</v>
      </c>
      <c r="P184" s="322">
        <v>0.029</v>
      </c>
      <c r="Q184" s="322">
        <v>0.056</v>
      </c>
      <c r="R184" s="322">
        <v>0.089</v>
      </c>
      <c r="S184" s="322">
        <v>0.125</v>
      </c>
      <c r="T184" s="322">
        <v>0.164</v>
      </c>
      <c r="U184" s="322">
        <v>0.204</v>
      </c>
      <c r="V184" s="322">
        <v>0.246</v>
      </c>
      <c r="W184" s="322">
        <v>0.289</v>
      </c>
      <c r="X184" s="322">
        <v>0.333</v>
      </c>
      <c r="Y184" s="322">
        <v>0.424</v>
      </c>
      <c r="Z184" s="506">
        <v>0.516</v>
      </c>
      <c r="AA184" s="322">
        <v>0.61</v>
      </c>
      <c r="AB184" s="322">
        <v>0.704</v>
      </c>
      <c r="AC184" s="323">
        <v>0.8</v>
      </c>
      <c r="AF184" s="405" t="s">
        <v>877</v>
      </c>
      <c r="AG184" s="406">
        <v>91.4</v>
      </c>
      <c r="AH184" s="407">
        <v>17.1</v>
      </c>
      <c r="AI184" s="409">
        <v>1.41</v>
      </c>
      <c r="AJ184" s="407">
        <v>16.2</v>
      </c>
      <c r="AK184" s="409">
        <v>2.26</v>
      </c>
      <c r="AL184" s="410">
        <v>2.86</v>
      </c>
    </row>
    <row r="185" spans="1:38" ht="12.75">
      <c r="A185" s="69" t="s">
        <v>557</v>
      </c>
      <c r="B185" s="181" t="str">
        <f>$N$379</f>
        <v>N.A.</v>
      </c>
      <c r="C185" s="361" t="s">
        <v>237</v>
      </c>
      <c r="D185" s="52" t="s">
        <v>566</v>
      </c>
      <c r="E185" s="10"/>
      <c r="F185" s="10"/>
      <c r="G185" s="10"/>
      <c r="H185" s="10"/>
      <c r="I185" s="389"/>
      <c r="AF185" s="405" t="s">
        <v>878</v>
      </c>
      <c r="AG185" s="406">
        <v>83.3</v>
      </c>
      <c r="AH185" s="407">
        <v>16.7</v>
      </c>
      <c r="AI185" s="409">
        <v>1.29</v>
      </c>
      <c r="AJ185" s="407">
        <v>16.1</v>
      </c>
      <c r="AK185" s="409">
        <v>2.07</v>
      </c>
      <c r="AL185" s="410">
        <v>2.67</v>
      </c>
    </row>
    <row r="186" spans="1:41" ht="12.75">
      <c r="A186" s="19"/>
      <c r="B186" s="10"/>
      <c r="C186" s="10"/>
      <c r="D186" s="10"/>
      <c r="E186" s="10"/>
      <c r="F186" s="10"/>
      <c r="G186" s="10"/>
      <c r="H186" s="80"/>
      <c r="I186" s="389">
        <f>IF($D$17&gt;0,IF($D$34="Yes",IF($B$185&gt;=$D$17,"Pa &gt;= P,  O.K.  ","Pa &lt; P, N.G.  "),""),"")</f>
      </c>
      <c r="M186" s="141" t="s">
        <v>532</v>
      </c>
      <c r="N186" s="463"/>
      <c r="O186" s="107"/>
      <c r="P186" s="463"/>
      <c r="Q186" s="463"/>
      <c r="R186" s="143"/>
      <c r="S186" s="143"/>
      <c r="T186" s="143"/>
      <c r="U186" s="142"/>
      <c r="V186" s="143"/>
      <c r="W186" s="143"/>
      <c r="X186" s="143"/>
      <c r="Y186" s="143"/>
      <c r="Z186" s="144"/>
      <c r="AA186" s="143"/>
      <c r="AB186" s="143"/>
      <c r="AC186" s="144"/>
      <c r="AF186" s="405" t="s">
        <v>879</v>
      </c>
      <c r="AG186" s="406">
        <v>75.6</v>
      </c>
      <c r="AH186" s="407">
        <v>16.4</v>
      </c>
      <c r="AI186" s="409">
        <v>1.18</v>
      </c>
      <c r="AJ186" s="407">
        <v>16</v>
      </c>
      <c r="AK186" s="409">
        <v>1.89</v>
      </c>
      <c r="AL186" s="410">
        <v>2.49</v>
      </c>
      <c r="AN186" s="50" t="str">
        <f>IF(AO186="","N.A.","SR =")</f>
        <v>N.A.</v>
      </c>
      <c r="AO186" s="100">
        <f>IF($D$17&gt;0,IF($D$34="Yes",$D$17/$B$185,""),"")</f>
      </c>
    </row>
    <row r="187" spans="1:41" ht="12.75">
      <c r="A187" s="19"/>
      <c r="B187" s="10"/>
      <c r="C187" s="10"/>
      <c r="D187" s="10"/>
      <c r="E187" s="10"/>
      <c r="F187" s="10"/>
      <c r="G187" s="10"/>
      <c r="H187" s="10"/>
      <c r="I187" s="389"/>
      <c r="M187" s="464"/>
      <c r="N187" s="141" t="s">
        <v>323</v>
      </c>
      <c r="O187" s="107"/>
      <c r="P187" s="143"/>
      <c r="Q187" s="143"/>
      <c r="R187" s="143"/>
      <c r="S187" s="143"/>
      <c r="T187" s="465"/>
      <c r="U187" s="143"/>
      <c r="V187" s="143"/>
      <c r="W187" s="143"/>
      <c r="X187" s="143"/>
      <c r="Y187" s="156"/>
      <c r="Z187" s="144"/>
      <c r="AA187" s="143"/>
      <c r="AB187" s="156"/>
      <c r="AC187" s="144"/>
      <c r="AF187" s="405" t="s">
        <v>880</v>
      </c>
      <c r="AG187" s="406">
        <v>68.5</v>
      </c>
      <c r="AH187" s="407">
        <v>16</v>
      </c>
      <c r="AI187" s="409">
        <v>1.07</v>
      </c>
      <c r="AJ187" s="407">
        <v>15.9</v>
      </c>
      <c r="AK187" s="409">
        <v>1.72</v>
      </c>
      <c r="AL187" s="410">
        <v>2.32</v>
      </c>
      <c r="AN187" s="50"/>
      <c r="AO187" s="100"/>
    </row>
    <row r="188" spans="1:41" ht="12.75">
      <c r="A188" s="73" t="s">
        <v>160</v>
      </c>
      <c r="B188" s="45"/>
      <c r="C188" s="121"/>
      <c r="D188" s="52"/>
      <c r="E188" s="55"/>
      <c r="F188" s="55"/>
      <c r="G188" s="45"/>
      <c r="H188" s="45"/>
      <c r="I188" s="389"/>
      <c r="M188" s="467" t="s">
        <v>18</v>
      </c>
      <c r="N188" s="468">
        <v>0</v>
      </c>
      <c r="O188" s="140">
        <v>0.1</v>
      </c>
      <c r="P188" s="140">
        <v>0.2</v>
      </c>
      <c r="Q188" s="469">
        <v>0.3</v>
      </c>
      <c r="R188" s="140">
        <v>0.4</v>
      </c>
      <c r="S188" s="469">
        <v>0.5</v>
      </c>
      <c r="T188" s="140">
        <v>0.6</v>
      </c>
      <c r="U188" s="469">
        <v>0.7</v>
      </c>
      <c r="V188" s="140">
        <v>0.8</v>
      </c>
      <c r="W188" s="469">
        <v>0.9</v>
      </c>
      <c r="X188" s="140">
        <v>1</v>
      </c>
      <c r="Y188" s="469">
        <v>1.2</v>
      </c>
      <c r="Z188" s="140">
        <v>1.4</v>
      </c>
      <c r="AA188" s="140">
        <v>1.6</v>
      </c>
      <c r="AB188" s="469">
        <v>1.8</v>
      </c>
      <c r="AC188" s="140">
        <v>2</v>
      </c>
      <c r="AF188" s="405" t="s">
        <v>881</v>
      </c>
      <c r="AG188" s="406">
        <v>62</v>
      </c>
      <c r="AH188" s="407">
        <v>15.7</v>
      </c>
      <c r="AI188" s="408">
        <v>0.98</v>
      </c>
      <c r="AJ188" s="407">
        <v>15.8</v>
      </c>
      <c r="AK188" s="409">
        <v>1.56</v>
      </c>
      <c r="AL188" s="410">
        <v>2.16</v>
      </c>
      <c r="AN188" s="50"/>
      <c r="AO188" s="100"/>
    </row>
    <row r="189" spans="1:41" ht="12.75">
      <c r="A189" s="69" t="s">
        <v>346</v>
      </c>
      <c r="B189" s="593">
        <f>$N$381</f>
        <v>4</v>
      </c>
      <c r="C189" s="10"/>
      <c r="D189" s="52" t="str">
        <f>$P$381</f>
        <v>Nb = 1+FLOOR((L-3)/3,1 (Number of bolts to use for bolt theory)</v>
      </c>
      <c r="E189" s="10"/>
      <c r="F189" s="10"/>
      <c r="G189" s="10"/>
      <c r="H189" s="10"/>
      <c r="I189" s="389"/>
      <c r="M189" s="471">
        <v>0</v>
      </c>
      <c r="N189" s="472">
        <v>2.57</v>
      </c>
      <c r="O189" s="473">
        <v>3.01</v>
      </c>
      <c r="P189" s="474">
        <v>3.45</v>
      </c>
      <c r="Q189" s="318">
        <v>3.88</v>
      </c>
      <c r="R189" s="474">
        <v>4.32</v>
      </c>
      <c r="S189" s="474">
        <v>4.76</v>
      </c>
      <c r="T189" s="474">
        <v>5.2</v>
      </c>
      <c r="U189" s="474">
        <v>5.63</v>
      </c>
      <c r="V189" s="474">
        <v>6.07</v>
      </c>
      <c r="W189" s="474">
        <v>6.51</v>
      </c>
      <c r="X189" s="318">
        <v>6.94</v>
      </c>
      <c r="Y189" s="474">
        <v>7.82</v>
      </c>
      <c r="Z189" s="475">
        <v>8.69</v>
      </c>
      <c r="AA189" s="474">
        <v>9.57</v>
      </c>
      <c r="AB189" s="474">
        <v>10.4</v>
      </c>
      <c r="AC189" s="476">
        <v>11.3</v>
      </c>
      <c r="AF189" s="405" t="s">
        <v>882</v>
      </c>
      <c r="AG189" s="406">
        <v>56.8</v>
      </c>
      <c r="AH189" s="407">
        <v>15.5</v>
      </c>
      <c r="AI189" s="408">
        <v>0.89</v>
      </c>
      <c r="AJ189" s="407">
        <v>15.7</v>
      </c>
      <c r="AK189" s="409">
        <v>1.44</v>
      </c>
      <c r="AL189" s="410">
        <v>2.04</v>
      </c>
      <c r="AN189" s="50"/>
      <c r="AO189" s="100"/>
    </row>
    <row r="190" spans="1:38" ht="12.75">
      <c r="A190" s="69" t="s">
        <v>125</v>
      </c>
      <c r="B190" s="435" t="str">
        <f>$N$382</f>
        <v>N.A.</v>
      </c>
      <c r="C190" s="113" t="s">
        <v>268</v>
      </c>
      <c r="D190" s="52" t="str">
        <f>$P$382</f>
        <v>twc = tw+td*(Fyd/Fyc)</v>
      </c>
      <c r="E190" s="10"/>
      <c r="F190" s="55"/>
      <c r="G190" s="10"/>
      <c r="H190" s="10"/>
      <c r="I190" s="389"/>
      <c r="M190" s="477">
        <v>0.1</v>
      </c>
      <c r="N190" s="478">
        <v>2.43</v>
      </c>
      <c r="O190" s="479">
        <v>2.86</v>
      </c>
      <c r="P190" s="480">
        <v>3.3</v>
      </c>
      <c r="Q190" s="320">
        <v>3.75</v>
      </c>
      <c r="R190" s="480">
        <v>4.21</v>
      </c>
      <c r="S190" s="480">
        <v>4.68</v>
      </c>
      <c r="T190" s="480">
        <v>5.14</v>
      </c>
      <c r="U190" s="480">
        <v>5.61</v>
      </c>
      <c r="V190" s="480">
        <v>6.07</v>
      </c>
      <c r="W190" s="480">
        <v>6.53</v>
      </c>
      <c r="X190" s="480">
        <v>6.99</v>
      </c>
      <c r="Y190" s="480">
        <v>7.89</v>
      </c>
      <c r="Z190" s="481">
        <v>8.78</v>
      </c>
      <c r="AA190" s="480">
        <v>9.66</v>
      </c>
      <c r="AB190" s="480">
        <v>10.5</v>
      </c>
      <c r="AC190" s="482">
        <v>11.4</v>
      </c>
      <c r="AF190" s="405" t="s">
        <v>883</v>
      </c>
      <c r="AG190" s="406">
        <v>51.8</v>
      </c>
      <c r="AH190" s="407">
        <v>15.2</v>
      </c>
      <c r="AI190" s="408">
        <v>0.83</v>
      </c>
      <c r="AJ190" s="407">
        <v>15.7</v>
      </c>
      <c r="AK190" s="409">
        <v>1.31</v>
      </c>
      <c r="AL190" s="410">
        <v>1.91</v>
      </c>
    </row>
    <row r="191" spans="1:38" ht="12.75">
      <c r="A191" s="69" t="s">
        <v>232</v>
      </c>
      <c r="B191" s="179" t="str">
        <f>$N$383</f>
        <v>N.A.</v>
      </c>
      <c r="C191" s="113" t="s">
        <v>245</v>
      </c>
      <c r="D191" s="52" t="str">
        <f>$P$383</f>
        <v>fv = (P/Nb)/(twc*(S-dhc)), assume S = 3in. And dhg = 0.875 in.</v>
      </c>
      <c r="E191" s="55"/>
      <c r="F191" s="10"/>
      <c r="G191" s="45"/>
      <c r="H191" s="10"/>
      <c r="I191" s="389"/>
      <c r="M191" s="483">
        <v>0.15</v>
      </c>
      <c r="N191" s="478">
        <v>2.31</v>
      </c>
      <c r="O191" s="479">
        <v>2.74</v>
      </c>
      <c r="P191" s="480">
        <v>3.17</v>
      </c>
      <c r="Q191" s="480">
        <v>3.62</v>
      </c>
      <c r="R191" s="480">
        <v>4.07</v>
      </c>
      <c r="S191" s="480">
        <v>4.54</v>
      </c>
      <c r="T191" s="320">
        <v>5.01</v>
      </c>
      <c r="U191" s="480">
        <v>5.49</v>
      </c>
      <c r="V191" s="480">
        <v>5.96</v>
      </c>
      <c r="W191" s="320">
        <v>6.44</v>
      </c>
      <c r="X191" s="480">
        <v>6.91</v>
      </c>
      <c r="Y191" s="480">
        <v>7.83</v>
      </c>
      <c r="Z191" s="481">
        <v>8.74</v>
      </c>
      <c r="AA191" s="480">
        <v>9.63</v>
      </c>
      <c r="AB191" s="480">
        <v>10.5</v>
      </c>
      <c r="AC191" s="482">
        <v>11.4</v>
      </c>
      <c r="AF191" s="405" t="s">
        <v>884</v>
      </c>
      <c r="AG191" s="406">
        <v>46.7</v>
      </c>
      <c r="AH191" s="407">
        <v>15</v>
      </c>
      <c r="AI191" s="408">
        <v>0.745</v>
      </c>
      <c r="AJ191" s="407">
        <v>15.6</v>
      </c>
      <c r="AK191" s="409">
        <v>1.19</v>
      </c>
      <c r="AL191" s="410">
        <v>1.79</v>
      </c>
    </row>
    <row r="192" spans="1:41" ht="12.75">
      <c r="A192" s="69" t="s">
        <v>247</v>
      </c>
      <c r="B192" s="183" t="str">
        <f>$N$384</f>
        <v>N.A.</v>
      </c>
      <c r="C192" s="113" t="s">
        <v>245</v>
      </c>
      <c r="D192" s="52" t="str">
        <f>$P$384</f>
        <v>Fv = (1/1.5)*0.6*Fyc</v>
      </c>
      <c r="E192" s="55"/>
      <c r="F192" s="55"/>
      <c r="G192" s="45"/>
      <c r="H192" s="80"/>
      <c r="I192" s="389">
        <f>IF($D$17&gt;0,IF($D$34="Yes",IF($B$192&gt;=$B$191,"Fv &gt;= fv,  O.K.  ","Fv &lt; fv, N.G.  "),""),"")</f>
      </c>
      <c r="M192" s="483">
        <v>0.2</v>
      </c>
      <c r="N192" s="478">
        <v>2.18</v>
      </c>
      <c r="O192" s="479">
        <v>2.61</v>
      </c>
      <c r="P192" s="480">
        <v>3.04</v>
      </c>
      <c r="Q192" s="480">
        <v>3.47</v>
      </c>
      <c r="R192" s="320">
        <v>3.92</v>
      </c>
      <c r="S192" s="480">
        <v>4.39</v>
      </c>
      <c r="T192" s="480">
        <v>4.86</v>
      </c>
      <c r="U192" s="480">
        <v>5.34</v>
      </c>
      <c r="V192" s="480">
        <v>5.83</v>
      </c>
      <c r="W192" s="480">
        <v>6.31</v>
      </c>
      <c r="X192" s="480">
        <v>6.79</v>
      </c>
      <c r="Y192" s="480">
        <v>7.73</v>
      </c>
      <c r="Z192" s="481">
        <v>8.66</v>
      </c>
      <c r="AA192" s="480">
        <v>9.57</v>
      </c>
      <c r="AB192" s="480">
        <v>10.5</v>
      </c>
      <c r="AC192" s="484">
        <v>11.4</v>
      </c>
      <c r="AF192" s="405" t="s">
        <v>885</v>
      </c>
      <c r="AG192" s="406">
        <v>42.7</v>
      </c>
      <c r="AH192" s="407">
        <v>14.8</v>
      </c>
      <c r="AI192" s="408">
        <v>0.68</v>
      </c>
      <c r="AJ192" s="407">
        <v>15.5</v>
      </c>
      <c r="AK192" s="409">
        <v>1.09</v>
      </c>
      <c r="AL192" s="410">
        <v>1.69</v>
      </c>
      <c r="AN192" s="50" t="str">
        <f>IF(AO192="","N.A.","SR =")</f>
        <v>N.A.</v>
      </c>
      <c r="AO192" s="100">
        <f>IF($D$17&gt;0,IF($D$34="Yes",$B$191/$B$192,""),"")</f>
      </c>
    </row>
    <row r="193" spans="1:41" ht="12.75">
      <c r="A193" s="19"/>
      <c r="B193" s="10"/>
      <c r="C193" s="112"/>
      <c r="D193" s="10"/>
      <c r="E193" s="10"/>
      <c r="F193" s="55"/>
      <c r="G193" s="45"/>
      <c r="H193" s="45"/>
      <c r="I193" s="389"/>
      <c r="M193" s="483">
        <v>0.25</v>
      </c>
      <c r="N193" s="478">
        <v>2.07</v>
      </c>
      <c r="O193" s="479">
        <v>2.49</v>
      </c>
      <c r="P193" s="480">
        <v>2.91</v>
      </c>
      <c r="Q193" s="480">
        <v>3.33</v>
      </c>
      <c r="R193" s="480">
        <v>3.77</v>
      </c>
      <c r="S193" s="480">
        <v>4.23</v>
      </c>
      <c r="T193" s="480">
        <v>4.7</v>
      </c>
      <c r="U193" s="480">
        <v>5.18</v>
      </c>
      <c r="V193" s="480">
        <v>5.67</v>
      </c>
      <c r="W193" s="480">
        <v>6.16</v>
      </c>
      <c r="X193" s="480">
        <v>6.64</v>
      </c>
      <c r="Y193" s="480">
        <v>7.61</v>
      </c>
      <c r="Z193" s="481">
        <v>8.55</v>
      </c>
      <c r="AA193" s="480">
        <v>9.48</v>
      </c>
      <c r="AB193" s="480">
        <v>10.4</v>
      </c>
      <c r="AC193" s="482">
        <v>11.3</v>
      </c>
      <c r="AF193" s="405" t="s">
        <v>886</v>
      </c>
      <c r="AG193" s="406">
        <v>38.8</v>
      </c>
      <c r="AH193" s="407">
        <v>14.7</v>
      </c>
      <c r="AI193" s="408">
        <v>0.645</v>
      </c>
      <c r="AJ193" s="407">
        <v>14.7</v>
      </c>
      <c r="AK193" s="409">
        <v>1.03</v>
      </c>
      <c r="AL193" s="410">
        <v>1.63</v>
      </c>
      <c r="AO193" s="100"/>
    </row>
    <row r="194" spans="1:41" ht="12.75">
      <c r="A194" s="79" t="s">
        <v>128</v>
      </c>
      <c r="B194" s="55"/>
      <c r="C194" s="121"/>
      <c r="D194" s="63"/>
      <c r="E194" s="55"/>
      <c r="F194" s="55"/>
      <c r="G194" s="45"/>
      <c r="H194" s="45"/>
      <c r="I194" s="389"/>
      <c r="M194" s="483">
        <v>0.3</v>
      </c>
      <c r="N194" s="478">
        <v>1.96</v>
      </c>
      <c r="O194" s="479">
        <v>2.37</v>
      </c>
      <c r="P194" s="480">
        <v>2.78</v>
      </c>
      <c r="Q194" s="480">
        <v>3.2</v>
      </c>
      <c r="R194" s="480">
        <v>3.63</v>
      </c>
      <c r="S194" s="480">
        <v>4.07</v>
      </c>
      <c r="T194" s="480">
        <v>4.54</v>
      </c>
      <c r="U194" s="320">
        <v>5.02</v>
      </c>
      <c r="V194" s="480">
        <v>5.51</v>
      </c>
      <c r="W194" s="480">
        <v>5.99</v>
      </c>
      <c r="X194" s="480">
        <v>6.49</v>
      </c>
      <c r="Y194" s="480">
        <v>7.46</v>
      </c>
      <c r="Z194" s="485">
        <v>8.42</v>
      </c>
      <c r="AA194" s="320">
        <v>9.36</v>
      </c>
      <c r="AB194" s="486">
        <v>10.3</v>
      </c>
      <c r="AC194" s="484">
        <v>11.2</v>
      </c>
      <c r="AF194" s="405" t="s">
        <v>887</v>
      </c>
      <c r="AG194" s="406">
        <v>35.3</v>
      </c>
      <c r="AH194" s="407">
        <v>14.5</v>
      </c>
      <c r="AI194" s="408">
        <v>0.59</v>
      </c>
      <c r="AJ194" s="407">
        <v>14.7</v>
      </c>
      <c r="AK194" s="408">
        <v>0.94</v>
      </c>
      <c r="AL194" s="410">
        <v>1.54</v>
      </c>
      <c r="AO194" s="100"/>
    </row>
    <row r="195" spans="1:41" ht="12.75">
      <c r="A195" s="77" t="s">
        <v>129</v>
      </c>
      <c r="B195" s="174" t="str">
        <f>$N$386</f>
        <v>N.A.</v>
      </c>
      <c r="C195" s="113" t="s">
        <v>268</v>
      </c>
      <c r="D195" s="52" t="str">
        <f>$P$386</f>
        <v>Ldw = 2*L</v>
      </c>
      <c r="E195" s="55"/>
      <c r="F195" s="55"/>
      <c r="G195" s="45"/>
      <c r="H195" s="99"/>
      <c r="I195" s="389"/>
      <c r="M195" s="483">
        <v>0.4</v>
      </c>
      <c r="N195" s="478">
        <v>1.79</v>
      </c>
      <c r="O195" s="479">
        <v>2.16</v>
      </c>
      <c r="P195" s="480">
        <v>2.54</v>
      </c>
      <c r="Q195" s="480">
        <v>2.94</v>
      </c>
      <c r="R195" s="480">
        <v>3.35</v>
      </c>
      <c r="S195" s="480">
        <v>3.77</v>
      </c>
      <c r="T195" s="480">
        <v>4.22</v>
      </c>
      <c r="U195" s="480">
        <v>4.69</v>
      </c>
      <c r="V195" s="320">
        <v>5.17</v>
      </c>
      <c r="W195" s="480">
        <v>5.66</v>
      </c>
      <c r="X195" s="480">
        <v>6.15</v>
      </c>
      <c r="Y195" s="320">
        <v>7.14</v>
      </c>
      <c r="Z195" s="481">
        <v>8.12</v>
      </c>
      <c r="AA195" s="480">
        <v>9.09</v>
      </c>
      <c r="AB195" s="480">
        <v>10</v>
      </c>
      <c r="AC195" s="482">
        <v>11</v>
      </c>
      <c r="AF195" s="405" t="s">
        <v>888</v>
      </c>
      <c r="AG195" s="406">
        <v>32</v>
      </c>
      <c r="AH195" s="407">
        <v>14.3</v>
      </c>
      <c r="AI195" s="408">
        <v>0.525</v>
      </c>
      <c r="AJ195" s="407">
        <v>14.6</v>
      </c>
      <c r="AK195" s="408">
        <v>0.86</v>
      </c>
      <c r="AL195" s="410">
        <v>1.46</v>
      </c>
      <c r="AO195" s="100"/>
    </row>
    <row r="196" spans="1:41" ht="12.75">
      <c r="A196" s="77" t="s">
        <v>119</v>
      </c>
      <c r="B196" s="179" t="str">
        <f>$N$387</f>
        <v>N.A.</v>
      </c>
      <c r="C196" s="113" t="s">
        <v>120</v>
      </c>
      <c r="D196" s="52" t="str">
        <f>$P$387</f>
        <v>fw = P/Ldw</v>
      </c>
      <c r="E196" s="55"/>
      <c r="F196" s="55"/>
      <c r="G196" s="10"/>
      <c r="H196" s="10"/>
      <c r="I196" s="389"/>
      <c r="M196" s="483">
        <v>0.5</v>
      </c>
      <c r="N196" s="478">
        <v>1.63</v>
      </c>
      <c r="O196" s="479">
        <v>1.97</v>
      </c>
      <c r="P196" s="480">
        <v>2.33</v>
      </c>
      <c r="Q196" s="480">
        <v>2.71</v>
      </c>
      <c r="R196" s="480">
        <v>3.09</v>
      </c>
      <c r="S196" s="480">
        <v>3.5</v>
      </c>
      <c r="T196" s="480">
        <v>3.93</v>
      </c>
      <c r="U196" s="320">
        <v>4.38</v>
      </c>
      <c r="V196" s="320">
        <v>4.85</v>
      </c>
      <c r="W196" s="320">
        <v>5.33</v>
      </c>
      <c r="X196" s="480">
        <v>5.81</v>
      </c>
      <c r="Y196" s="480">
        <v>6.8</v>
      </c>
      <c r="Z196" s="481">
        <v>7.79</v>
      </c>
      <c r="AA196" s="480">
        <v>8.77</v>
      </c>
      <c r="AB196" s="320">
        <v>9.73</v>
      </c>
      <c r="AC196" s="482">
        <v>10.7</v>
      </c>
      <c r="AF196" s="405" t="s">
        <v>889</v>
      </c>
      <c r="AG196" s="406">
        <v>29.1</v>
      </c>
      <c r="AH196" s="407">
        <v>14.2</v>
      </c>
      <c r="AI196" s="408">
        <v>0.485</v>
      </c>
      <c r="AJ196" s="407">
        <v>14.6</v>
      </c>
      <c r="AK196" s="408">
        <v>0.78</v>
      </c>
      <c r="AL196" s="410">
        <v>1.38</v>
      </c>
      <c r="AO196" s="100"/>
    </row>
    <row r="197" spans="1:41" ht="12.75">
      <c r="A197" s="81" t="s">
        <v>126</v>
      </c>
      <c r="B197" s="179" t="str">
        <f>$N$388</f>
        <v>N.A.</v>
      </c>
      <c r="C197" s="113" t="s">
        <v>393</v>
      </c>
      <c r="D197" s="82" t="s">
        <v>156</v>
      </c>
      <c r="E197" s="55"/>
      <c r="F197" s="45"/>
      <c r="G197" s="159"/>
      <c r="H197" s="159"/>
      <c r="I197" s="389"/>
      <c r="M197" s="483">
        <v>0.6</v>
      </c>
      <c r="N197" s="478">
        <v>1.49</v>
      </c>
      <c r="O197" s="479">
        <v>1.81</v>
      </c>
      <c r="P197" s="480">
        <v>2.15</v>
      </c>
      <c r="Q197" s="480">
        <v>2.5</v>
      </c>
      <c r="R197" s="480">
        <v>2.87</v>
      </c>
      <c r="S197" s="480">
        <v>3.26</v>
      </c>
      <c r="T197" s="480">
        <v>3.67</v>
      </c>
      <c r="U197" s="320">
        <v>4.1</v>
      </c>
      <c r="V197" s="480">
        <v>4.55</v>
      </c>
      <c r="W197" s="480">
        <v>5.02</v>
      </c>
      <c r="X197" s="480">
        <v>5.5</v>
      </c>
      <c r="Y197" s="480">
        <v>6.48</v>
      </c>
      <c r="Z197" s="481">
        <v>7.46</v>
      </c>
      <c r="AA197" s="480">
        <v>8.42</v>
      </c>
      <c r="AB197" s="480">
        <v>9.38</v>
      </c>
      <c r="AC197" s="482">
        <v>10.3</v>
      </c>
      <c r="AF197" s="405" t="s">
        <v>890</v>
      </c>
      <c r="AG197" s="406">
        <v>26.5</v>
      </c>
      <c r="AH197" s="407">
        <v>14</v>
      </c>
      <c r="AI197" s="408">
        <v>0.44</v>
      </c>
      <c r="AJ197" s="407">
        <v>14.5</v>
      </c>
      <c r="AK197" s="408">
        <v>0.71</v>
      </c>
      <c r="AL197" s="410">
        <v>1.31</v>
      </c>
      <c r="AO197" s="100"/>
    </row>
    <row r="198" spans="1:41" ht="12.75">
      <c r="A198" s="81" t="s">
        <v>256</v>
      </c>
      <c r="B198" s="183" t="str">
        <f>$N$389</f>
        <v>N.A.</v>
      </c>
      <c r="C198" s="113" t="s">
        <v>393</v>
      </c>
      <c r="D198" s="82" t="s">
        <v>256</v>
      </c>
      <c r="E198" s="52" t="str">
        <f>$Q$389</f>
        <v>0.40*Fyd*td/((SQRT(2)/2)*0.30*70)</v>
      </c>
      <c r="F198" s="159"/>
      <c r="G198" s="10"/>
      <c r="H198" s="10"/>
      <c r="I198" s="389"/>
      <c r="M198" s="483">
        <v>0.7</v>
      </c>
      <c r="N198" s="478">
        <v>1.37</v>
      </c>
      <c r="O198" s="479">
        <v>1.67</v>
      </c>
      <c r="P198" s="480">
        <v>1.99</v>
      </c>
      <c r="Q198" s="480">
        <v>2.32</v>
      </c>
      <c r="R198" s="480">
        <v>2.67</v>
      </c>
      <c r="S198" s="480">
        <v>3.04</v>
      </c>
      <c r="T198" s="480">
        <v>3.44</v>
      </c>
      <c r="U198" s="480">
        <v>3.85</v>
      </c>
      <c r="V198" s="320">
        <v>4.29</v>
      </c>
      <c r="W198" s="480">
        <v>4.74</v>
      </c>
      <c r="X198" s="480">
        <v>5.21</v>
      </c>
      <c r="Y198" s="480">
        <v>6.16</v>
      </c>
      <c r="Z198" s="481">
        <v>7.11</v>
      </c>
      <c r="AA198" s="480">
        <v>8.07</v>
      </c>
      <c r="AB198" s="480">
        <v>9.03</v>
      </c>
      <c r="AC198" s="482">
        <v>10</v>
      </c>
      <c r="AF198" s="405" t="s">
        <v>891</v>
      </c>
      <c r="AG198" s="406">
        <v>24</v>
      </c>
      <c r="AH198" s="407">
        <v>14.3</v>
      </c>
      <c r="AI198" s="408">
        <v>0.51</v>
      </c>
      <c r="AJ198" s="407">
        <v>10.1</v>
      </c>
      <c r="AK198" s="408">
        <v>0.855</v>
      </c>
      <c r="AL198" s="410">
        <v>1.45</v>
      </c>
      <c r="AO198" s="100"/>
    </row>
    <row r="199" spans="1:41" ht="12.75">
      <c r="A199" s="81"/>
      <c r="B199" s="47"/>
      <c r="C199" s="113"/>
      <c r="D199" s="82"/>
      <c r="E199" s="52"/>
      <c r="F199" s="55"/>
      <c r="G199" s="59"/>
      <c r="H199" s="10"/>
      <c r="I199" s="389">
        <f>IF($D$17&gt;0,IF($D$34="Yes",IF($D$32&gt;0,IF($B$197&lt;=$B$198,"Weld size &lt;= weld max., O.K.","Weld size &gt; weld max."),""),""),"")</f>
      </c>
      <c r="M199" s="483">
        <v>0.8</v>
      </c>
      <c r="N199" s="478">
        <v>1.26</v>
      </c>
      <c r="O199" s="479">
        <v>1.54</v>
      </c>
      <c r="P199" s="480">
        <v>1.84</v>
      </c>
      <c r="Q199" s="480">
        <v>2.16</v>
      </c>
      <c r="R199" s="480">
        <v>2.49</v>
      </c>
      <c r="S199" s="480">
        <v>2.85</v>
      </c>
      <c r="T199" s="320">
        <v>3.23</v>
      </c>
      <c r="U199" s="480">
        <v>3.63</v>
      </c>
      <c r="V199" s="320">
        <v>4.05</v>
      </c>
      <c r="W199" s="480">
        <v>4.48</v>
      </c>
      <c r="X199" s="480">
        <v>4.93</v>
      </c>
      <c r="Y199" s="480">
        <v>5.85</v>
      </c>
      <c r="Z199" s="481">
        <v>6.78</v>
      </c>
      <c r="AA199" s="480">
        <v>7.73</v>
      </c>
      <c r="AB199" s="480">
        <v>8.69</v>
      </c>
      <c r="AC199" s="321">
        <v>9.65</v>
      </c>
      <c r="AF199" s="405" t="s">
        <v>892</v>
      </c>
      <c r="AG199" s="406">
        <v>21.8</v>
      </c>
      <c r="AH199" s="407">
        <v>14.2</v>
      </c>
      <c r="AI199" s="408">
        <v>0.45</v>
      </c>
      <c r="AJ199" s="407">
        <v>10.1</v>
      </c>
      <c r="AK199" s="408">
        <v>0.785</v>
      </c>
      <c r="AL199" s="410">
        <v>1.38</v>
      </c>
      <c r="AN199" s="50" t="str">
        <f>IF(AO199="","N.A.","SR =")</f>
        <v>N.A.</v>
      </c>
      <c r="AO199" s="100">
        <f>IF($D$17&gt;0,IF($D$34="Yes",IF($D$32&gt;0,$B$197/$B$198,""),""),"")</f>
      </c>
    </row>
    <row r="200" spans="1:41" ht="12.75">
      <c r="A200" s="588"/>
      <c r="B200" s="164"/>
      <c r="C200" s="163"/>
      <c r="D200" s="589"/>
      <c r="E200" s="590"/>
      <c r="F200" s="164"/>
      <c r="G200" s="78"/>
      <c r="H200" s="21"/>
      <c r="I200" s="453"/>
      <c r="M200" s="483">
        <v>0.9</v>
      </c>
      <c r="N200" s="478">
        <v>1.17</v>
      </c>
      <c r="O200" s="479">
        <v>1.43</v>
      </c>
      <c r="P200" s="480">
        <v>1.71</v>
      </c>
      <c r="Q200" s="480">
        <v>2.01</v>
      </c>
      <c r="R200" s="480">
        <v>2.33</v>
      </c>
      <c r="S200" s="480">
        <v>2.67</v>
      </c>
      <c r="T200" s="480">
        <v>3.04</v>
      </c>
      <c r="U200" s="480">
        <v>3.43</v>
      </c>
      <c r="V200" s="480">
        <v>3.83</v>
      </c>
      <c r="W200" s="480">
        <v>4.24</v>
      </c>
      <c r="X200" s="480">
        <v>4.68</v>
      </c>
      <c r="Y200" s="480">
        <v>5.56</v>
      </c>
      <c r="Z200" s="481">
        <v>6.47</v>
      </c>
      <c r="AA200" s="320">
        <v>7.4</v>
      </c>
      <c r="AB200" s="480">
        <v>8.35</v>
      </c>
      <c r="AC200" s="321">
        <v>9.31</v>
      </c>
      <c r="AF200" s="405" t="s">
        <v>893</v>
      </c>
      <c r="AG200" s="406">
        <v>20</v>
      </c>
      <c r="AH200" s="407">
        <v>14</v>
      </c>
      <c r="AI200" s="408">
        <v>0.415</v>
      </c>
      <c r="AJ200" s="407">
        <v>10</v>
      </c>
      <c r="AK200" s="408">
        <v>0.72</v>
      </c>
      <c r="AL200" s="410">
        <v>1.31</v>
      </c>
      <c r="AN200" s="50"/>
      <c r="AO200" s="100"/>
    </row>
    <row r="201" spans="1:41" ht="12.75">
      <c r="A201" s="18"/>
      <c r="B201" s="18"/>
      <c r="C201" s="18"/>
      <c r="D201" s="18"/>
      <c r="E201" s="18"/>
      <c r="F201" s="18"/>
      <c r="G201" s="18"/>
      <c r="H201" s="18"/>
      <c r="I201" s="591"/>
      <c r="M201" s="487">
        <v>1</v>
      </c>
      <c r="N201" s="478">
        <v>1.08</v>
      </c>
      <c r="O201" s="479">
        <v>1.33</v>
      </c>
      <c r="P201" s="320">
        <v>1.6</v>
      </c>
      <c r="Q201" s="480">
        <v>1.89</v>
      </c>
      <c r="R201" s="480">
        <v>2.19</v>
      </c>
      <c r="S201" s="480">
        <v>2.52</v>
      </c>
      <c r="T201" s="480">
        <v>2.87</v>
      </c>
      <c r="U201" s="480">
        <v>3.24</v>
      </c>
      <c r="V201" s="480">
        <v>3.63</v>
      </c>
      <c r="W201" s="480">
        <v>4.03</v>
      </c>
      <c r="X201" s="480">
        <v>4.45</v>
      </c>
      <c r="Y201" s="480">
        <v>5.3</v>
      </c>
      <c r="Z201" s="481">
        <v>6.17</v>
      </c>
      <c r="AA201" s="480">
        <v>7.09</v>
      </c>
      <c r="AB201" s="480">
        <v>8.02</v>
      </c>
      <c r="AC201" s="482">
        <v>8.97</v>
      </c>
      <c r="AF201" s="405" t="s">
        <v>894</v>
      </c>
      <c r="AG201" s="406">
        <v>17.9</v>
      </c>
      <c r="AH201" s="407">
        <v>13.9</v>
      </c>
      <c r="AI201" s="408">
        <v>0.375</v>
      </c>
      <c r="AJ201" s="407">
        <v>10</v>
      </c>
      <c r="AK201" s="408">
        <v>0.645</v>
      </c>
      <c r="AL201" s="410">
        <v>1.24</v>
      </c>
      <c r="AN201" s="50"/>
      <c r="AO201" s="100"/>
    </row>
    <row r="202" spans="13:41" ht="12.75">
      <c r="M202" s="487">
        <v>1.2</v>
      </c>
      <c r="N202" s="478">
        <v>0.945</v>
      </c>
      <c r="O202" s="479">
        <v>1.17</v>
      </c>
      <c r="P202" s="480">
        <v>1.41</v>
      </c>
      <c r="Q202" s="480">
        <v>1.67</v>
      </c>
      <c r="R202" s="480">
        <v>1.95</v>
      </c>
      <c r="S202" s="480">
        <v>2.25</v>
      </c>
      <c r="T202" s="480">
        <v>2.57</v>
      </c>
      <c r="U202" s="480">
        <v>2.92</v>
      </c>
      <c r="V202" s="480">
        <v>3.28</v>
      </c>
      <c r="W202" s="480">
        <v>3.65</v>
      </c>
      <c r="X202" s="480">
        <v>4.04</v>
      </c>
      <c r="Y202" s="480">
        <v>4.82</v>
      </c>
      <c r="Z202" s="481">
        <v>5.65</v>
      </c>
      <c r="AA202" s="480">
        <v>6.52</v>
      </c>
      <c r="AB202" s="480">
        <v>7.42</v>
      </c>
      <c r="AC202" s="482">
        <v>8.34</v>
      </c>
      <c r="AF202" s="405" t="s">
        <v>895</v>
      </c>
      <c r="AG202" s="406">
        <v>15.6</v>
      </c>
      <c r="AH202" s="407">
        <v>13.9</v>
      </c>
      <c r="AI202" s="408">
        <v>0.37</v>
      </c>
      <c r="AJ202" s="409">
        <v>8.06</v>
      </c>
      <c r="AK202" s="408">
        <v>0.66</v>
      </c>
      <c r="AL202" s="410">
        <v>1.25</v>
      </c>
      <c r="AN202" s="50"/>
      <c r="AO202" s="100"/>
    </row>
    <row r="203" spans="13:41" ht="12.75">
      <c r="M203" s="487">
        <v>1.4</v>
      </c>
      <c r="N203" s="478">
        <v>0.835</v>
      </c>
      <c r="O203" s="479">
        <v>1.03</v>
      </c>
      <c r="P203" s="480">
        <v>1.25</v>
      </c>
      <c r="Q203" s="480">
        <v>1.49</v>
      </c>
      <c r="R203" s="480">
        <v>1.75</v>
      </c>
      <c r="S203" s="480">
        <v>2.03</v>
      </c>
      <c r="T203" s="480">
        <v>2.33</v>
      </c>
      <c r="U203" s="480">
        <v>2.65</v>
      </c>
      <c r="V203" s="480">
        <v>2.98</v>
      </c>
      <c r="W203" s="480">
        <v>3.32</v>
      </c>
      <c r="X203" s="480">
        <v>3.68</v>
      </c>
      <c r="Y203" s="480">
        <v>4.42</v>
      </c>
      <c r="Z203" s="481">
        <v>5.18</v>
      </c>
      <c r="AA203" s="480">
        <v>6.01</v>
      </c>
      <c r="AB203" s="320">
        <v>6.87</v>
      </c>
      <c r="AC203" s="482">
        <v>7.76</v>
      </c>
      <c r="AF203" s="405" t="s">
        <v>896</v>
      </c>
      <c r="AG203" s="406">
        <v>14.1</v>
      </c>
      <c r="AH203" s="407">
        <v>13.8</v>
      </c>
      <c r="AI203" s="408">
        <v>0.34</v>
      </c>
      <c r="AJ203" s="409">
        <v>8.03</v>
      </c>
      <c r="AK203" s="408">
        <v>0.595</v>
      </c>
      <c r="AL203" s="410">
        <v>1.19</v>
      </c>
      <c r="AN203" s="50"/>
      <c r="AO203" s="100"/>
    </row>
    <row r="204" spans="1:41" ht="12.75">
      <c r="A204" s="45"/>
      <c r="B204" s="45"/>
      <c r="C204" s="121"/>
      <c r="D204" s="45"/>
      <c r="E204" s="45"/>
      <c r="F204" s="45"/>
      <c r="G204" s="45"/>
      <c r="H204" s="10"/>
      <c r="I204" s="235"/>
      <c r="M204" s="487">
        <v>1.6</v>
      </c>
      <c r="N204" s="478">
        <v>0.747</v>
      </c>
      <c r="O204" s="479">
        <v>0.928</v>
      </c>
      <c r="P204" s="480">
        <v>1.13</v>
      </c>
      <c r="Q204" s="480">
        <v>1.34</v>
      </c>
      <c r="R204" s="480">
        <v>1.58</v>
      </c>
      <c r="S204" s="480">
        <v>1.84</v>
      </c>
      <c r="T204" s="480">
        <v>2.12</v>
      </c>
      <c r="U204" s="480">
        <v>2.41</v>
      </c>
      <c r="V204" s="480">
        <v>2.72</v>
      </c>
      <c r="W204" s="480">
        <v>3.05</v>
      </c>
      <c r="X204" s="480">
        <v>3.38</v>
      </c>
      <c r="Y204" s="480">
        <v>4.07</v>
      </c>
      <c r="Z204" s="481">
        <v>4.79</v>
      </c>
      <c r="AA204" s="480">
        <v>5.56</v>
      </c>
      <c r="AB204" s="480">
        <v>6.38</v>
      </c>
      <c r="AC204" s="482">
        <v>7.24</v>
      </c>
      <c r="AF204" s="405" t="s">
        <v>897</v>
      </c>
      <c r="AG204" s="406">
        <v>12.6</v>
      </c>
      <c r="AH204" s="407">
        <v>13.7</v>
      </c>
      <c r="AI204" s="408">
        <v>0.305</v>
      </c>
      <c r="AJ204" s="409">
        <v>8</v>
      </c>
      <c r="AK204" s="408">
        <v>0.53</v>
      </c>
      <c r="AL204" s="410">
        <v>1.12</v>
      </c>
      <c r="AN204" s="50"/>
      <c r="AO204" s="100"/>
    </row>
    <row r="205" spans="1:41" ht="12.75">
      <c r="A205" s="10"/>
      <c r="B205" s="10"/>
      <c r="C205" s="10"/>
      <c r="D205" s="10"/>
      <c r="E205" s="10"/>
      <c r="F205" s="10"/>
      <c r="G205" s="10"/>
      <c r="H205" s="10"/>
      <c r="I205" s="10"/>
      <c r="M205" s="487">
        <v>1.8</v>
      </c>
      <c r="N205" s="478">
        <v>0.675</v>
      </c>
      <c r="O205" s="324">
        <v>0.84</v>
      </c>
      <c r="P205" s="480">
        <v>1.02</v>
      </c>
      <c r="Q205" s="480">
        <v>1.22</v>
      </c>
      <c r="R205" s="480">
        <v>1.44</v>
      </c>
      <c r="S205" s="480">
        <v>1.68</v>
      </c>
      <c r="T205" s="480">
        <v>1.94</v>
      </c>
      <c r="U205" s="480">
        <v>2.22</v>
      </c>
      <c r="V205" s="480">
        <v>2.51</v>
      </c>
      <c r="W205" s="480">
        <v>2.81</v>
      </c>
      <c r="X205" s="480">
        <v>3.12</v>
      </c>
      <c r="Y205" s="480">
        <v>3.76</v>
      </c>
      <c r="Z205" s="481">
        <v>4.44</v>
      </c>
      <c r="AA205" s="480">
        <v>5.17</v>
      </c>
      <c r="AB205" s="480">
        <v>5.95</v>
      </c>
      <c r="AC205" s="321">
        <v>6.76</v>
      </c>
      <c r="AF205" s="405" t="s">
        <v>898</v>
      </c>
      <c r="AG205" s="406">
        <v>11.2</v>
      </c>
      <c r="AH205" s="407">
        <v>14.1</v>
      </c>
      <c r="AI205" s="408">
        <v>0.31</v>
      </c>
      <c r="AJ205" s="409">
        <v>6.77</v>
      </c>
      <c r="AK205" s="408">
        <v>0.515</v>
      </c>
      <c r="AL205" s="412">
        <v>0.915</v>
      </c>
      <c r="AN205" s="50"/>
      <c r="AO205" s="100"/>
    </row>
    <row r="206" spans="1:41" ht="12.75">
      <c r="A206" s="582"/>
      <c r="B206" s="10"/>
      <c r="C206" s="10"/>
      <c r="D206" s="10"/>
      <c r="E206" s="10"/>
      <c r="F206" s="10"/>
      <c r="G206" s="10"/>
      <c r="H206" s="10"/>
      <c r="I206" s="60"/>
      <c r="M206" s="487">
        <v>2</v>
      </c>
      <c r="N206" s="478">
        <v>0.615</v>
      </c>
      <c r="O206" s="488">
        <v>0.767</v>
      </c>
      <c r="P206" s="489">
        <v>0.935</v>
      </c>
      <c r="Q206" s="489">
        <v>1.12</v>
      </c>
      <c r="R206" s="489">
        <v>1.32</v>
      </c>
      <c r="S206" s="489">
        <v>1.55</v>
      </c>
      <c r="T206" s="489">
        <v>1.79</v>
      </c>
      <c r="U206" s="489">
        <v>2.05</v>
      </c>
      <c r="V206" s="489">
        <v>2.32</v>
      </c>
      <c r="W206" s="489">
        <v>2.6</v>
      </c>
      <c r="X206" s="489">
        <v>2.89</v>
      </c>
      <c r="Y206" s="489">
        <v>3.49</v>
      </c>
      <c r="Z206" s="490">
        <v>4.14</v>
      </c>
      <c r="AA206" s="489">
        <v>4.83</v>
      </c>
      <c r="AB206" s="489">
        <v>5.56</v>
      </c>
      <c r="AC206" s="491">
        <v>6.34</v>
      </c>
      <c r="AF206" s="405" t="s">
        <v>899</v>
      </c>
      <c r="AG206" s="406">
        <v>10</v>
      </c>
      <c r="AH206" s="407">
        <v>14</v>
      </c>
      <c r="AI206" s="408">
        <v>0.285</v>
      </c>
      <c r="AJ206" s="409">
        <v>6.75</v>
      </c>
      <c r="AK206" s="408">
        <v>0.455</v>
      </c>
      <c r="AL206" s="412">
        <v>0.855</v>
      </c>
      <c r="AN206" s="50"/>
      <c r="AO206" s="100"/>
    </row>
    <row r="207" spans="1:41" ht="12.75">
      <c r="A207" s="52"/>
      <c r="B207" s="444"/>
      <c r="C207" s="68"/>
      <c r="D207" s="68"/>
      <c r="E207" s="68"/>
      <c r="F207" s="10"/>
      <c r="G207" s="45"/>
      <c r="H207" s="10"/>
      <c r="I207" s="60"/>
      <c r="M207" s="487">
        <v>2.2</v>
      </c>
      <c r="N207" s="492">
        <v>0.564</v>
      </c>
      <c r="O207" s="479">
        <v>0.704</v>
      </c>
      <c r="P207" s="480">
        <v>0.86</v>
      </c>
      <c r="Q207" s="480">
        <v>1.03</v>
      </c>
      <c r="R207" s="480">
        <v>1.22</v>
      </c>
      <c r="S207" s="480">
        <v>1.43</v>
      </c>
      <c r="T207" s="480">
        <v>1.66</v>
      </c>
      <c r="U207" s="480">
        <v>1.9</v>
      </c>
      <c r="V207" s="320">
        <v>2.15</v>
      </c>
      <c r="W207" s="480">
        <v>2.42</v>
      </c>
      <c r="X207" s="320">
        <v>2.69</v>
      </c>
      <c r="Y207" s="480">
        <v>3.26</v>
      </c>
      <c r="Z207" s="480">
        <v>3.87</v>
      </c>
      <c r="AA207" s="480">
        <v>4.52</v>
      </c>
      <c r="AB207" s="480">
        <v>5.22</v>
      </c>
      <c r="AC207" s="482">
        <v>5.96</v>
      </c>
      <c r="AF207" s="405" t="s">
        <v>900</v>
      </c>
      <c r="AG207" s="413">
        <v>8.85</v>
      </c>
      <c r="AH207" s="407">
        <v>13.8</v>
      </c>
      <c r="AI207" s="408">
        <v>0.27</v>
      </c>
      <c r="AJ207" s="409">
        <v>6.73</v>
      </c>
      <c r="AK207" s="408">
        <v>0.385</v>
      </c>
      <c r="AL207" s="412">
        <v>0.785</v>
      </c>
      <c r="AN207" s="50"/>
      <c r="AO207" s="100"/>
    </row>
    <row r="208" spans="1:41" ht="12.75">
      <c r="A208" s="592"/>
      <c r="B208" s="6"/>
      <c r="C208" s="10"/>
      <c r="D208" s="440"/>
      <c r="E208" s="10"/>
      <c r="F208" s="10"/>
      <c r="G208" s="45"/>
      <c r="H208" s="10"/>
      <c r="I208" s="60"/>
      <c r="M208" s="487">
        <v>2.4</v>
      </c>
      <c r="N208" s="478">
        <v>0.521</v>
      </c>
      <c r="O208" s="493">
        <v>0.652</v>
      </c>
      <c r="P208" s="494">
        <v>0.796</v>
      </c>
      <c r="Q208" s="326">
        <v>0.957</v>
      </c>
      <c r="R208" s="494">
        <v>1.13</v>
      </c>
      <c r="S208" s="494">
        <v>1.33</v>
      </c>
      <c r="T208" s="494">
        <v>1.54</v>
      </c>
      <c r="U208" s="494">
        <v>1.77</v>
      </c>
      <c r="V208" s="495">
        <v>2.01</v>
      </c>
      <c r="W208" s="494">
        <v>2.26</v>
      </c>
      <c r="X208" s="494">
        <v>2.51</v>
      </c>
      <c r="Y208" s="495">
        <v>3.05</v>
      </c>
      <c r="Z208" s="496">
        <v>3.63</v>
      </c>
      <c r="AA208" s="494">
        <v>4.25</v>
      </c>
      <c r="AB208" s="494">
        <v>4.91</v>
      </c>
      <c r="AC208" s="497">
        <v>5.61</v>
      </c>
      <c r="AF208" s="405" t="s">
        <v>901</v>
      </c>
      <c r="AG208" s="413">
        <v>7.69</v>
      </c>
      <c r="AH208" s="407">
        <v>13.9</v>
      </c>
      <c r="AI208" s="408">
        <v>0.255</v>
      </c>
      <c r="AJ208" s="409">
        <v>5.03</v>
      </c>
      <c r="AK208" s="408">
        <v>0.42</v>
      </c>
      <c r="AL208" s="412">
        <v>0.82</v>
      </c>
      <c r="AN208" s="50"/>
      <c r="AO208" s="100"/>
    </row>
    <row r="209" spans="1:41" ht="12.75">
      <c r="A209" s="592"/>
      <c r="B209" s="6"/>
      <c r="C209" s="10"/>
      <c r="D209" s="440"/>
      <c r="E209" s="10"/>
      <c r="F209" s="10"/>
      <c r="G209" s="45"/>
      <c r="H209" s="10"/>
      <c r="I209" s="60"/>
      <c r="M209" s="487">
        <v>2.6</v>
      </c>
      <c r="N209" s="478">
        <v>0.484</v>
      </c>
      <c r="O209" s="324">
        <v>0.605</v>
      </c>
      <c r="P209" s="480">
        <v>0.741</v>
      </c>
      <c r="Q209" s="480">
        <v>0.892</v>
      </c>
      <c r="R209" s="480">
        <v>1.06</v>
      </c>
      <c r="S209" s="480">
        <v>1.24</v>
      </c>
      <c r="T209" s="480">
        <v>1.44</v>
      </c>
      <c r="U209" s="319">
        <v>1.66</v>
      </c>
      <c r="V209" s="480">
        <v>1.88</v>
      </c>
      <c r="W209" s="480">
        <v>2.12</v>
      </c>
      <c r="X209" s="480">
        <v>2.36</v>
      </c>
      <c r="Y209" s="480">
        <v>2.86</v>
      </c>
      <c r="Z209" s="485">
        <v>3.41</v>
      </c>
      <c r="AA209" s="480">
        <v>4.01</v>
      </c>
      <c r="AB209" s="480">
        <v>4.64</v>
      </c>
      <c r="AC209" s="482">
        <v>5.31</v>
      </c>
      <c r="AF209" s="405" t="s">
        <v>902</v>
      </c>
      <c r="AG209" s="413">
        <v>6.49</v>
      </c>
      <c r="AH209" s="407">
        <v>13.7</v>
      </c>
      <c r="AI209" s="408">
        <v>0.23</v>
      </c>
      <c r="AJ209" s="409">
        <v>5</v>
      </c>
      <c r="AK209" s="408">
        <v>0.335</v>
      </c>
      <c r="AL209" s="412">
        <v>0.735</v>
      </c>
      <c r="AN209" s="50"/>
      <c r="AO209" s="100"/>
    </row>
    <row r="210" spans="1:41" ht="12.75">
      <c r="A210" s="592"/>
      <c r="B210" s="6"/>
      <c r="C210" s="10"/>
      <c r="D210" s="440"/>
      <c r="E210" s="10"/>
      <c r="F210" s="10"/>
      <c r="G210" s="45"/>
      <c r="H210" s="10"/>
      <c r="I210" s="60"/>
      <c r="M210" s="487">
        <v>2.8</v>
      </c>
      <c r="N210" s="478">
        <v>0.452</v>
      </c>
      <c r="O210" s="479">
        <v>0.565</v>
      </c>
      <c r="P210" s="480">
        <v>0.692</v>
      </c>
      <c r="Q210" s="480">
        <v>0.833</v>
      </c>
      <c r="R210" s="480">
        <v>0.992</v>
      </c>
      <c r="S210" s="480">
        <v>1.17</v>
      </c>
      <c r="T210" s="480">
        <v>1.35</v>
      </c>
      <c r="U210" s="480">
        <v>1.56</v>
      </c>
      <c r="V210" s="480">
        <v>1.77</v>
      </c>
      <c r="W210" s="480">
        <v>1.99</v>
      </c>
      <c r="X210" s="480">
        <v>2.21</v>
      </c>
      <c r="Y210" s="480">
        <v>2.7</v>
      </c>
      <c r="Z210" s="481">
        <v>3.22</v>
      </c>
      <c r="AA210" s="320">
        <v>3.79</v>
      </c>
      <c r="AB210" s="480">
        <v>4.39</v>
      </c>
      <c r="AC210" s="482">
        <v>5.03</v>
      </c>
      <c r="AF210" s="405" t="s">
        <v>903</v>
      </c>
      <c r="AG210" s="406">
        <v>98.8</v>
      </c>
      <c r="AH210" s="407">
        <v>16.8</v>
      </c>
      <c r="AI210" s="409">
        <v>1.78</v>
      </c>
      <c r="AJ210" s="407">
        <v>13.4</v>
      </c>
      <c r="AK210" s="409">
        <v>2.96</v>
      </c>
      <c r="AL210" s="410">
        <v>3.55</v>
      </c>
      <c r="AN210" s="50"/>
      <c r="AO210" s="100"/>
    </row>
    <row r="211" spans="1:41" ht="12.75">
      <c r="A211" s="592"/>
      <c r="B211" s="3"/>
      <c r="C211" s="10"/>
      <c r="D211" s="440"/>
      <c r="E211" s="10"/>
      <c r="F211" s="10"/>
      <c r="G211" s="45"/>
      <c r="H211" s="45"/>
      <c r="I211" s="60"/>
      <c r="M211" s="498">
        <v>3</v>
      </c>
      <c r="N211" s="499">
        <v>0.423</v>
      </c>
      <c r="O211" s="500">
        <v>0.531</v>
      </c>
      <c r="P211" s="501">
        <v>0.651</v>
      </c>
      <c r="Q211" s="501">
        <v>0.783</v>
      </c>
      <c r="R211" s="322">
        <v>0.933</v>
      </c>
      <c r="S211" s="501">
        <v>1.1</v>
      </c>
      <c r="T211" s="501">
        <v>1.27</v>
      </c>
      <c r="U211" s="501">
        <v>1.47</v>
      </c>
      <c r="V211" s="501">
        <v>1.67</v>
      </c>
      <c r="W211" s="501">
        <v>1.88</v>
      </c>
      <c r="X211" s="501">
        <v>2.09</v>
      </c>
      <c r="Y211" s="501">
        <v>2.55</v>
      </c>
      <c r="Z211" s="502">
        <v>3.05</v>
      </c>
      <c r="AA211" s="501">
        <v>3.59</v>
      </c>
      <c r="AB211" s="501">
        <v>4.16</v>
      </c>
      <c r="AC211" s="503">
        <v>4.78</v>
      </c>
      <c r="AF211" s="405" t="s">
        <v>904</v>
      </c>
      <c r="AG211" s="406">
        <v>89.6</v>
      </c>
      <c r="AH211" s="407">
        <v>16.3</v>
      </c>
      <c r="AI211" s="409">
        <v>1.63</v>
      </c>
      <c r="AJ211" s="407">
        <v>13.2</v>
      </c>
      <c r="AK211" s="409">
        <v>2.71</v>
      </c>
      <c r="AL211" s="410">
        <v>3.3</v>
      </c>
      <c r="AN211" s="50"/>
      <c r="AO211" s="100"/>
    </row>
    <row r="212" spans="1:41" ht="12.75">
      <c r="A212" s="93"/>
      <c r="B212" s="3"/>
      <c r="C212" s="10"/>
      <c r="D212" s="440"/>
      <c r="E212" s="10"/>
      <c r="F212" s="10"/>
      <c r="G212" s="25"/>
      <c r="H212" s="45"/>
      <c r="I212" s="60"/>
      <c r="M212" s="504" t="s">
        <v>526</v>
      </c>
      <c r="N212" s="505">
        <v>0</v>
      </c>
      <c r="O212" s="325">
        <v>0.008</v>
      </c>
      <c r="P212" s="322">
        <v>0.029</v>
      </c>
      <c r="Q212" s="322">
        <v>0.056</v>
      </c>
      <c r="R212" s="322">
        <v>0.089</v>
      </c>
      <c r="S212" s="322">
        <v>0.125</v>
      </c>
      <c r="T212" s="322">
        <v>0.164</v>
      </c>
      <c r="U212" s="322">
        <v>0.204</v>
      </c>
      <c r="V212" s="322">
        <v>0.246</v>
      </c>
      <c r="W212" s="322">
        <v>0.289</v>
      </c>
      <c r="X212" s="322">
        <v>0.333</v>
      </c>
      <c r="Y212" s="322">
        <v>0.424</v>
      </c>
      <c r="Z212" s="506">
        <v>0.516</v>
      </c>
      <c r="AA212" s="322">
        <v>0.61</v>
      </c>
      <c r="AB212" s="322">
        <v>0.704</v>
      </c>
      <c r="AC212" s="323">
        <v>0.8</v>
      </c>
      <c r="AF212" s="405" t="s">
        <v>905</v>
      </c>
      <c r="AG212" s="406">
        <v>81.9</v>
      </c>
      <c r="AH212" s="407">
        <v>15.9</v>
      </c>
      <c r="AI212" s="409">
        <v>1.53</v>
      </c>
      <c r="AJ212" s="407">
        <v>13.1</v>
      </c>
      <c r="AK212" s="409">
        <v>2.47</v>
      </c>
      <c r="AL212" s="410">
        <v>3.07</v>
      </c>
      <c r="AN212" s="50"/>
      <c r="AO212" s="100"/>
    </row>
    <row r="213" spans="1:41" ht="12.75">
      <c r="A213" s="93"/>
      <c r="B213" s="3"/>
      <c r="C213" s="10"/>
      <c r="D213" s="440"/>
      <c r="E213" s="10"/>
      <c r="F213" s="10"/>
      <c r="G213" s="25"/>
      <c r="H213" s="45"/>
      <c r="I213" s="60"/>
      <c r="AF213" s="405" t="s">
        <v>906</v>
      </c>
      <c r="AG213" s="406">
        <v>74</v>
      </c>
      <c r="AH213" s="407">
        <v>15.4</v>
      </c>
      <c r="AI213" s="409">
        <v>1.4</v>
      </c>
      <c r="AJ213" s="407">
        <v>13</v>
      </c>
      <c r="AK213" s="409">
        <v>2.25</v>
      </c>
      <c r="AL213" s="410">
        <v>2.85</v>
      </c>
      <c r="AN213" s="50"/>
      <c r="AO213" s="100"/>
    </row>
    <row r="214" spans="1:41" ht="12.75">
      <c r="A214" s="93"/>
      <c r="B214" s="3"/>
      <c r="C214" s="10"/>
      <c r="D214" s="529"/>
      <c r="E214" s="10"/>
      <c r="F214" s="10"/>
      <c r="G214" s="25"/>
      <c r="H214" s="45"/>
      <c r="I214" s="60"/>
      <c r="M214" s="141" t="s">
        <v>533</v>
      </c>
      <c r="N214" s="463"/>
      <c r="O214" s="107"/>
      <c r="P214" s="463"/>
      <c r="Q214" s="463"/>
      <c r="R214" s="143"/>
      <c r="S214" s="143"/>
      <c r="T214" s="143"/>
      <c r="U214" s="142"/>
      <c r="V214" s="143"/>
      <c r="W214" s="143"/>
      <c r="X214" s="143"/>
      <c r="Y214" s="143"/>
      <c r="Z214" s="144"/>
      <c r="AA214" s="143"/>
      <c r="AB214" s="143"/>
      <c r="AC214" s="144"/>
      <c r="AF214" s="405" t="s">
        <v>907</v>
      </c>
      <c r="AG214" s="406">
        <v>67.7</v>
      </c>
      <c r="AH214" s="407">
        <v>15.1</v>
      </c>
      <c r="AI214" s="409">
        <v>1.29</v>
      </c>
      <c r="AJ214" s="407">
        <v>12.9</v>
      </c>
      <c r="AK214" s="409">
        <v>2.07</v>
      </c>
      <c r="AL214" s="410">
        <v>2.67</v>
      </c>
      <c r="AN214" s="50"/>
      <c r="AO214" s="100"/>
    </row>
    <row r="215" spans="1:41" ht="12.75">
      <c r="A215" s="592"/>
      <c r="B215" s="3"/>
      <c r="C215" s="110"/>
      <c r="D215" s="441"/>
      <c r="E215" s="10"/>
      <c r="F215" s="60"/>
      <c r="G215" s="25"/>
      <c r="H215" s="80"/>
      <c r="I215" s="60"/>
      <c r="M215" s="464"/>
      <c r="N215" s="141" t="s">
        <v>323</v>
      </c>
      <c r="O215" s="107"/>
      <c r="P215" s="143"/>
      <c r="Q215" s="143"/>
      <c r="R215" s="143"/>
      <c r="S215" s="143"/>
      <c r="T215" s="465"/>
      <c r="U215" s="143"/>
      <c r="V215" s="143"/>
      <c r="W215" s="143"/>
      <c r="X215" s="143"/>
      <c r="Y215" s="156"/>
      <c r="Z215" s="144"/>
      <c r="AA215" s="143"/>
      <c r="AB215" s="156"/>
      <c r="AC215" s="144"/>
      <c r="AF215" s="405" t="s">
        <v>908</v>
      </c>
      <c r="AG215" s="406">
        <v>61.8</v>
      </c>
      <c r="AH215" s="407">
        <v>14.7</v>
      </c>
      <c r="AI215" s="409">
        <v>1.18</v>
      </c>
      <c r="AJ215" s="407">
        <v>12.8</v>
      </c>
      <c r="AK215" s="409">
        <v>1.9</v>
      </c>
      <c r="AL215" s="410">
        <v>2.5</v>
      </c>
      <c r="AN215" s="50"/>
      <c r="AO215" s="100"/>
    </row>
    <row r="216" spans="1:41" ht="12.75">
      <c r="A216" s="592"/>
      <c r="B216" s="3"/>
      <c r="C216" s="110"/>
      <c r="D216" s="441"/>
      <c r="E216" s="10"/>
      <c r="F216" s="445"/>
      <c r="G216" s="10"/>
      <c r="H216" s="10"/>
      <c r="I216" s="60"/>
      <c r="M216" s="467" t="s">
        <v>18</v>
      </c>
      <c r="N216" s="468">
        <v>0</v>
      </c>
      <c r="O216" s="140">
        <v>0.1</v>
      </c>
      <c r="P216" s="140">
        <v>0.2</v>
      </c>
      <c r="Q216" s="469">
        <v>0.3</v>
      </c>
      <c r="R216" s="140">
        <v>0.4</v>
      </c>
      <c r="S216" s="469">
        <v>0.5</v>
      </c>
      <c r="T216" s="140">
        <v>0.6</v>
      </c>
      <c r="U216" s="469">
        <v>0.7</v>
      </c>
      <c r="V216" s="140">
        <v>0.8</v>
      </c>
      <c r="W216" s="469">
        <v>0.9</v>
      </c>
      <c r="X216" s="140">
        <v>1</v>
      </c>
      <c r="Y216" s="469">
        <v>1.2</v>
      </c>
      <c r="Z216" s="140">
        <v>1.4</v>
      </c>
      <c r="AA216" s="140">
        <v>1.6</v>
      </c>
      <c r="AB216" s="469">
        <v>1.8</v>
      </c>
      <c r="AC216" s="140">
        <v>2</v>
      </c>
      <c r="AF216" s="405" t="s">
        <v>909</v>
      </c>
      <c r="AG216" s="406">
        <v>55.8</v>
      </c>
      <c r="AH216" s="407">
        <v>14.4</v>
      </c>
      <c r="AI216" s="409">
        <v>1.06</v>
      </c>
      <c r="AJ216" s="407">
        <v>12.7</v>
      </c>
      <c r="AK216" s="409">
        <v>1.74</v>
      </c>
      <c r="AL216" s="410">
        <v>2.33</v>
      </c>
      <c r="AN216" s="50"/>
      <c r="AO216" s="100"/>
    </row>
    <row r="217" spans="1:38" ht="12.75">
      <c r="A217" s="10"/>
      <c r="B217" s="76"/>
      <c r="C217" s="113"/>
      <c r="D217" s="55"/>
      <c r="E217" s="10"/>
      <c r="F217" s="10"/>
      <c r="G217" s="10"/>
      <c r="H217" s="89"/>
      <c r="I217" s="60"/>
      <c r="M217" s="471">
        <v>0</v>
      </c>
      <c r="N217" s="472">
        <v>2.73</v>
      </c>
      <c r="O217" s="473">
        <v>3.11</v>
      </c>
      <c r="P217" s="474">
        <v>3.49</v>
      </c>
      <c r="Q217" s="318">
        <v>3.88</v>
      </c>
      <c r="R217" s="474">
        <v>4.26</v>
      </c>
      <c r="S217" s="474">
        <v>4.65</v>
      </c>
      <c r="T217" s="474">
        <v>5.03</v>
      </c>
      <c r="U217" s="474">
        <v>5.42</v>
      </c>
      <c r="V217" s="474">
        <v>5.8</v>
      </c>
      <c r="W217" s="474">
        <v>6.19</v>
      </c>
      <c r="X217" s="318">
        <v>6.57</v>
      </c>
      <c r="Y217" s="474">
        <v>7.34</v>
      </c>
      <c r="Z217" s="475">
        <v>8.11</v>
      </c>
      <c r="AA217" s="474">
        <v>8.88</v>
      </c>
      <c r="AB217" s="474">
        <v>9.65</v>
      </c>
      <c r="AC217" s="476">
        <v>10.4</v>
      </c>
      <c r="AF217" s="405" t="s">
        <v>910</v>
      </c>
      <c r="AG217" s="406">
        <v>50</v>
      </c>
      <c r="AH217" s="407">
        <v>14</v>
      </c>
      <c r="AI217" s="408">
        <v>0.96</v>
      </c>
      <c r="AJ217" s="407">
        <v>12.6</v>
      </c>
      <c r="AK217" s="409">
        <v>1.56</v>
      </c>
      <c r="AL217" s="410">
        <v>2.16</v>
      </c>
    </row>
    <row r="218" spans="1:38" ht="12.75">
      <c r="A218" s="10"/>
      <c r="B218" s="10"/>
      <c r="C218" s="10"/>
      <c r="D218" s="10"/>
      <c r="E218" s="10"/>
      <c r="F218" s="10"/>
      <c r="G218" s="10"/>
      <c r="H218" s="10"/>
      <c r="I218" s="10"/>
      <c r="M218" s="477">
        <v>0.1</v>
      </c>
      <c r="N218" s="478">
        <v>2.59</v>
      </c>
      <c r="O218" s="479">
        <v>2.96</v>
      </c>
      <c r="P218" s="480">
        <v>3.35</v>
      </c>
      <c r="Q218" s="320">
        <v>3.75</v>
      </c>
      <c r="R218" s="480">
        <v>4.17</v>
      </c>
      <c r="S218" s="480">
        <v>4.58</v>
      </c>
      <c r="T218" s="480">
        <v>4.99</v>
      </c>
      <c r="U218" s="480">
        <v>5.4</v>
      </c>
      <c r="V218" s="480">
        <v>5.8</v>
      </c>
      <c r="W218" s="480">
        <v>6.2</v>
      </c>
      <c r="X218" s="480">
        <v>6.59</v>
      </c>
      <c r="Y218" s="480">
        <v>7.37</v>
      </c>
      <c r="Z218" s="481">
        <v>8.14</v>
      </c>
      <c r="AA218" s="480">
        <v>8.91</v>
      </c>
      <c r="AB218" s="480">
        <v>9.68</v>
      </c>
      <c r="AC218" s="482">
        <v>10.4</v>
      </c>
      <c r="AF218" s="405" t="s">
        <v>911</v>
      </c>
      <c r="AG218" s="406">
        <v>44.7</v>
      </c>
      <c r="AH218" s="407">
        <v>13.7</v>
      </c>
      <c r="AI218" s="408">
        <v>0.87</v>
      </c>
      <c r="AJ218" s="407">
        <v>12.5</v>
      </c>
      <c r="AK218" s="409">
        <v>1.4</v>
      </c>
      <c r="AL218" s="410">
        <v>2</v>
      </c>
    </row>
    <row r="219" spans="1:38" ht="12.75">
      <c r="A219" s="10"/>
      <c r="B219" s="10"/>
      <c r="C219" s="10"/>
      <c r="D219" s="10"/>
      <c r="E219" s="10"/>
      <c r="F219" s="10"/>
      <c r="G219" s="10"/>
      <c r="H219" s="10"/>
      <c r="I219" s="10"/>
      <c r="M219" s="483">
        <v>0.15</v>
      </c>
      <c r="N219" s="478">
        <v>2.5</v>
      </c>
      <c r="O219" s="479">
        <v>2.87</v>
      </c>
      <c r="P219" s="480">
        <v>3.26</v>
      </c>
      <c r="Q219" s="480">
        <v>3.67</v>
      </c>
      <c r="R219" s="480">
        <v>4.09</v>
      </c>
      <c r="S219" s="480">
        <v>4.51</v>
      </c>
      <c r="T219" s="320">
        <v>4.94</v>
      </c>
      <c r="U219" s="480">
        <v>5.35</v>
      </c>
      <c r="V219" s="480">
        <v>5.76</v>
      </c>
      <c r="W219" s="320">
        <v>6.17</v>
      </c>
      <c r="X219" s="480">
        <v>6.57</v>
      </c>
      <c r="Y219" s="480">
        <v>7.36</v>
      </c>
      <c r="Z219" s="481">
        <v>8.13</v>
      </c>
      <c r="AA219" s="480">
        <v>8.91</v>
      </c>
      <c r="AB219" s="480">
        <v>9.68</v>
      </c>
      <c r="AC219" s="482">
        <v>10.4</v>
      </c>
      <c r="AF219" s="405" t="s">
        <v>912</v>
      </c>
      <c r="AG219" s="406">
        <v>39.9</v>
      </c>
      <c r="AH219" s="407">
        <v>13.4</v>
      </c>
      <c r="AI219" s="408">
        <v>0.79</v>
      </c>
      <c r="AJ219" s="407">
        <v>12.4</v>
      </c>
      <c r="AK219" s="409">
        <v>1.25</v>
      </c>
      <c r="AL219" s="410">
        <v>1.85</v>
      </c>
    </row>
    <row r="220" spans="1:38" ht="12.75">
      <c r="A220" s="10"/>
      <c r="B220" s="10"/>
      <c r="C220" s="10"/>
      <c r="D220" s="10"/>
      <c r="E220" s="10"/>
      <c r="F220" s="10"/>
      <c r="G220" s="10"/>
      <c r="H220" s="10"/>
      <c r="I220" s="10"/>
      <c r="M220" s="483">
        <v>0.2</v>
      </c>
      <c r="N220" s="478">
        <v>2.43</v>
      </c>
      <c r="O220" s="479">
        <v>2.79</v>
      </c>
      <c r="P220" s="480">
        <v>3.18</v>
      </c>
      <c r="Q220" s="480">
        <v>3.59</v>
      </c>
      <c r="R220" s="320">
        <v>4.01</v>
      </c>
      <c r="S220" s="480">
        <v>4.44</v>
      </c>
      <c r="T220" s="480">
        <v>4.87</v>
      </c>
      <c r="U220" s="480">
        <v>5.29</v>
      </c>
      <c r="V220" s="480">
        <v>5.71</v>
      </c>
      <c r="W220" s="480">
        <v>6.13</v>
      </c>
      <c r="X220" s="480">
        <v>6.53</v>
      </c>
      <c r="Y220" s="480">
        <v>7.33</v>
      </c>
      <c r="Z220" s="481">
        <v>8.12</v>
      </c>
      <c r="AA220" s="480">
        <v>8.9</v>
      </c>
      <c r="AB220" s="480">
        <v>9.67</v>
      </c>
      <c r="AC220" s="484">
        <v>10.4</v>
      </c>
      <c r="AF220" s="405" t="s">
        <v>913</v>
      </c>
      <c r="AG220" s="406">
        <v>35.3</v>
      </c>
      <c r="AH220" s="407">
        <v>13.1</v>
      </c>
      <c r="AI220" s="408">
        <v>0.71</v>
      </c>
      <c r="AJ220" s="407">
        <v>12.3</v>
      </c>
      <c r="AK220" s="409">
        <v>1.11</v>
      </c>
      <c r="AL220" s="410">
        <v>1.7</v>
      </c>
    </row>
    <row r="221" spans="1:41" ht="12.75">
      <c r="A221" s="10"/>
      <c r="B221" s="10"/>
      <c r="C221" s="10"/>
      <c r="D221" s="10"/>
      <c r="E221" s="10"/>
      <c r="F221" s="10"/>
      <c r="G221" s="10"/>
      <c r="H221" s="10"/>
      <c r="I221" s="10"/>
      <c r="M221" s="483">
        <v>0.25</v>
      </c>
      <c r="N221" s="478">
        <v>2.35</v>
      </c>
      <c r="O221" s="479">
        <v>2.72</v>
      </c>
      <c r="P221" s="480">
        <v>3.1</v>
      </c>
      <c r="Q221" s="480">
        <v>3.51</v>
      </c>
      <c r="R221" s="480">
        <v>3.93</v>
      </c>
      <c r="S221" s="480">
        <v>4.36</v>
      </c>
      <c r="T221" s="480">
        <v>4.8</v>
      </c>
      <c r="U221" s="480">
        <v>5.23</v>
      </c>
      <c r="V221" s="480">
        <v>5.65</v>
      </c>
      <c r="W221" s="480">
        <v>6.07</v>
      </c>
      <c r="X221" s="480">
        <v>6.49</v>
      </c>
      <c r="Y221" s="480">
        <v>7.3</v>
      </c>
      <c r="Z221" s="481">
        <v>8.09</v>
      </c>
      <c r="AA221" s="480">
        <v>8.88</v>
      </c>
      <c r="AB221" s="480">
        <v>9.65</v>
      </c>
      <c r="AC221" s="482">
        <v>10.4</v>
      </c>
      <c r="AF221" s="405" t="s">
        <v>914</v>
      </c>
      <c r="AG221" s="406">
        <v>31.2</v>
      </c>
      <c r="AH221" s="407">
        <v>12.9</v>
      </c>
      <c r="AI221" s="408">
        <v>0.61</v>
      </c>
      <c r="AJ221" s="407">
        <v>12.2</v>
      </c>
      <c r="AK221" s="408">
        <v>0.99</v>
      </c>
      <c r="AL221" s="410">
        <v>1.59</v>
      </c>
      <c r="AN221" s="50"/>
      <c r="AO221" s="100"/>
    </row>
    <row r="222" spans="1:38" ht="12.75">
      <c r="A222" s="10"/>
      <c r="B222" s="10"/>
      <c r="C222" s="10"/>
      <c r="D222" s="10"/>
      <c r="E222" s="10"/>
      <c r="F222" s="10"/>
      <c r="G222" s="10"/>
      <c r="H222" s="10"/>
      <c r="I222" s="10"/>
      <c r="M222" s="483">
        <v>0.3</v>
      </c>
      <c r="N222" s="478">
        <v>2.28</v>
      </c>
      <c r="O222" s="479">
        <v>2.65</v>
      </c>
      <c r="P222" s="480">
        <v>3.02</v>
      </c>
      <c r="Q222" s="480">
        <v>3.43</v>
      </c>
      <c r="R222" s="480">
        <v>3.85</v>
      </c>
      <c r="S222" s="480">
        <v>4.28</v>
      </c>
      <c r="T222" s="480">
        <v>4.72</v>
      </c>
      <c r="U222" s="320">
        <v>5.16</v>
      </c>
      <c r="V222" s="480">
        <v>5.59</v>
      </c>
      <c r="W222" s="480">
        <v>6.02</v>
      </c>
      <c r="X222" s="480">
        <v>6.44</v>
      </c>
      <c r="Y222" s="480">
        <v>7.26</v>
      </c>
      <c r="Z222" s="485">
        <v>8.06</v>
      </c>
      <c r="AA222" s="320">
        <v>8.85</v>
      </c>
      <c r="AB222" s="480">
        <v>9.63</v>
      </c>
      <c r="AC222" s="484">
        <v>10.4</v>
      </c>
      <c r="AF222" s="405" t="s">
        <v>915</v>
      </c>
      <c r="AG222" s="406">
        <v>28.2</v>
      </c>
      <c r="AH222" s="407">
        <v>12.7</v>
      </c>
      <c r="AI222" s="408">
        <v>0.55</v>
      </c>
      <c r="AJ222" s="407">
        <v>12.2</v>
      </c>
      <c r="AK222" s="408">
        <v>0.9</v>
      </c>
      <c r="AL222" s="410">
        <v>1.5</v>
      </c>
    </row>
    <row r="223" spans="1:38" ht="12.75">
      <c r="A223" s="10"/>
      <c r="B223" s="10"/>
      <c r="C223" s="10"/>
      <c r="D223" s="10"/>
      <c r="E223" s="10"/>
      <c r="F223" s="10"/>
      <c r="G223" s="10"/>
      <c r="H223" s="10"/>
      <c r="I223" s="10"/>
      <c r="M223" s="483">
        <v>0.4</v>
      </c>
      <c r="N223" s="478">
        <v>2.16</v>
      </c>
      <c r="O223" s="479">
        <v>2.52</v>
      </c>
      <c r="P223" s="480">
        <v>2.88</v>
      </c>
      <c r="Q223" s="480">
        <v>3.27</v>
      </c>
      <c r="R223" s="480">
        <v>3.69</v>
      </c>
      <c r="S223" s="480">
        <v>4.12</v>
      </c>
      <c r="T223" s="480">
        <v>4.56</v>
      </c>
      <c r="U223" s="480">
        <v>5.01</v>
      </c>
      <c r="V223" s="320">
        <v>5.45</v>
      </c>
      <c r="W223" s="480">
        <v>5.88</v>
      </c>
      <c r="X223" s="480">
        <v>6.31</v>
      </c>
      <c r="Y223" s="320">
        <v>7.15</v>
      </c>
      <c r="Z223" s="481">
        <v>7.97</v>
      </c>
      <c r="AA223" s="480">
        <v>8.78</v>
      </c>
      <c r="AB223" s="480">
        <v>9.57</v>
      </c>
      <c r="AC223" s="482">
        <v>10.4</v>
      </c>
      <c r="AF223" s="405" t="s">
        <v>916</v>
      </c>
      <c r="AG223" s="406">
        <v>25.6</v>
      </c>
      <c r="AH223" s="407">
        <v>12.5</v>
      </c>
      <c r="AI223" s="408">
        <v>0.515</v>
      </c>
      <c r="AJ223" s="407">
        <v>12.1</v>
      </c>
      <c r="AK223" s="408">
        <v>0.81</v>
      </c>
      <c r="AL223" s="410">
        <v>1.41</v>
      </c>
    </row>
    <row r="224" spans="1:38" ht="12.75">
      <c r="A224" s="10"/>
      <c r="B224" s="10"/>
      <c r="C224" s="10"/>
      <c r="D224" s="10"/>
      <c r="E224" s="10"/>
      <c r="F224" s="10"/>
      <c r="G224" s="10"/>
      <c r="H224" s="10"/>
      <c r="I224" s="10"/>
      <c r="M224" s="483">
        <v>0.5</v>
      </c>
      <c r="N224" s="478">
        <v>2.05</v>
      </c>
      <c r="O224" s="479">
        <v>2.4</v>
      </c>
      <c r="P224" s="480">
        <v>2.75</v>
      </c>
      <c r="Q224" s="480">
        <v>3.13</v>
      </c>
      <c r="R224" s="480">
        <v>3.54</v>
      </c>
      <c r="S224" s="480">
        <v>3.97</v>
      </c>
      <c r="T224" s="480">
        <v>4.41</v>
      </c>
      <c r="U224" s="320">
        <v>4.85</v>
      </c>
      <c r="V224" s="320">
        <v>5.3</v>
      </c>
      <c r="W224" s="320">
        <v>5.74</v>
      </c>
      <c r="X224" s="480">
        <v>6.18</v>
      </c>
      <c r="Y224" s="480">
        <v>7.03</v>
      </c>
      <c r="Z224" s="481">
        <v>7.86</v>
      </c>
      <c r="AA224" s="480">
        <v>8.68</v>
      </c>
      <c r="AB224" s="320">
        <v>9.48</v>
      </c>
      <c r="AC224" s="482">
        <v>10.3</v>
      </c>
      <c r="AF224" s="405" t="s">
        <v>917</v>
      </c>
      <c r="AG224" s="406">
        <v>23.2</v>
      </c>
      <c r="AH224" s="407">
        <v>12.4</v>
      </c>
      <c r="AI224" s="408">
        <v>0.47</v>
      </c>
      <c r="AJ224" s="407">
        <v>12.1</v>
      </c>
      <c r="AK224" s="408">
        <v>0.735</v>
      </c>
      <c r="AL224" s="410">
        <v>1.33</v>
      </c>
    </row>
    <row r="225" spans="1:38" ht="12.75">
      <c r="A225" s="10"/>
      <c r="B225" s="10"/>
      <c r="C225" s="10"/>
      <c r="D225" s="10"/>
      <c r="E225" s="10"/>
      <c r="F225" s="10"/>
      <c r="G225" s="10"/>
      <c r="H225" s="10"/>
      <c r="I225" s="10"/>
      <c r="M225" s="483">
        <v>0.6</v>
      </c>
      <c r="N225" s="478">
        <v>1.94</v>
      </c>
      <c r="O225" s="479">
        <v>2.28</v>
      </c>
      <c r="P225" s="480">
        <v>2.63</v>
      </c>
      <c r="Q225" s="480">
        <v>3</v>
      </c>
      <c r="R225" s="480">
        <v>3.39</v>
      </c>
      <c r="S225" s="480">
        <v>3.82</v>
      </c>
      <c r="T225" s="480">
        <v>4.36</v>
      </c>
      <c r="U225" s="320">
        <v>4.71</v>
      </c>
      <c r="V225" s="480">
        <v>5.16</v>
      </c>
      <c r="W225" s="480">
        <v>5.61</v>
      </c>
      <c r="X225" s="480">
        <v>6.05</v>
      </c>
      <c r="Y225" s="480">
        <v>6.92</v>
      </c>
      <c r="Z225" s="481">
        <v>7.77</v>
      </c>
      <c r="AA225" s="480">
        <v>8.59</v>
      </c>
      <c r="AB225" s="480">
        <v>9.39</v>
      </c>
      <c r="AC225" s="482">
        <v>10.2</v>
      </c>
      <c r="AF225" s="405" t="s">
        <v>918</v>
      </c>
      <c r="AG225" s="406">
        <v>21.1</v>
      </c>
      <c r="AH225" s="407">
        <v>12.3</v>
      </c>
      <c r="AI225" s="408">
        <v>0.43</v>
      </c>
      <c r="AJ225" s="407">
        <v>12</v>
      </c>
      <c r="AK225" s="408">
        <v>0.67</v>
      </c>
      <c r="AL225" s="410">
        <v>1.27</v>
      </c>
    </row>
    <row r="226" spans="1:38" ht="12.75">
      <c r="A226" s="10"/>
      <c r="B226" s="10"/>
      <c r="C226" s="10"/>
      <c r="D226" s="10"/>
      <c r="E226" s="10"/>
      <c r="F226" s="10"/>
      <c r="G226" s="10"/>
      <c r="H226" s="10"/>
      <c r="I226" s="10"/>
      <c r="M226" s="483">
        <v>0.7</v>
      </c>
      <c r="N226" s="478">
        <v>1.84</v>
      </c>
      <c r="O226" s="479">
        <v>2.17</v>
      </c>
      <c r="P226" s="480">
        <v>2.52</v>
      </c>
      <c r="Q226" s="480">
        <v>2.87</v>
      </c>
      <c r="R226" s="480">
        <v>3.26</v>
      </c>
      <c r="S226" s="480">
        <v>3.68</v>
      </c>
      <c r="T226" s="480">
        <v>4.11</v>
      </c>
      <c r="U226" s="480">
        <v>4.56</v>
      </c>
      <c r="V226" s="320">
        <v>5.01</v>
      </c>
      <c r="W226" s="480">
        <v>5.47</v>
      </c>
      <c r="X226" s="480">
        <v>5.92</v>
      </c>
      <c r="Y226" s="480">
        <v>6.81</v>
      </c>
      <c r="Z226" s="481">
        <v>7.67</v>
      </c>
      <c r="AA226" s="480">
        <v>8.5</v>
      </c>
      <c r="AB226" s="480">
        <v>9.31</v>
      </c>
      <c r="AC226" s="482">
        <v>10.1</v>
      </c>
      <c r="AF226" s="405" t="s">
        <v>919</v>
      </c>
      <c r="AG226" s="406">
        <v>19.1</v>
      </c>
      <c r="AH226" s="407">
        <v>12.1</v>
      </c>
      <c r="AI226" s="408">
        <v>0.39</v>
      </c>
      <c r="AJ226" s="407">
        <v>12</v>
      </c>
      <c r="AK226" s="408">
        <v>0.605</v>
      </c>
      <c r="AL226" s="410">
        <v>1.2</v>
      </c>
    </row>
    <row r="227" spans="1:41" ht="12.75">
      <c r="A227" s="10"/>
      <c r="B227" s="10"/>
      <c r="C227" s="10"/>
      <c r="D227" s="10"/>
      <c r="E227" s="10"/>
      <c r="F227" s="10"/>
      <c r="G227" s="10"/>
      <c r="H227" s="10"/>
      <c r="I227" s="10"/>
      <c r="M227" s="483">
        <v>0.8</v>
      </c>
      <c r="N227" s="478">
        <v>1.75</v>
      </c>
      <c r="O227" s="479">
        <v>2.07</v>
      </c>
      <c r="P227" s="480">
        <v>2.41</v>
      </c>
      <c r="Q227" s="480">
        <v>2.76</v>
      </c>
      <c r="R227" s="480">
        <v>3.14</v>
      </c>
      <c r="S227" s="480">
        <v>3.54</v>
      </c>
      <c r="T227" s="320">
        <v>3.97</v>
      </c>
      <c r="U227" s="480">
        <v>4.42</v>
      </c>
      <c r="V227" s="320">
        <v>4.87</v>
      </c>
      <c r="W227" s="480">
        <v>5.33</v>
      </c>
      <c r="X227" s="480">
        <v>5.78</v>
      </c>
      <c r="Y227" s="480">
        <v>6.68</v>
      </c>
      <c r="Z227" s="481">
        <v>7.56</v>
      </c>
      <c r="AA227" s="480">
        <v>8.41</v>
      </c>
      <c r="AB227" s="480">
        <v>9.24</v>
      </c>
      <c r="AC227" s="321">
        <v>10.1</v>
      </c>
      <c r="AF227" s="405" t="s">
        <v>920</v>
      </c>
      <c r="AG227" s="406">
        <v>17</v>
      </c>
      <c r="AH227" s="407">
        <v>12.2</v>
      </c>
      <c r="AI227" s="408">
        <v>0.36</v>
      </c>
      <c r="AJ227" s="407">
        <v>10</v>
      </c>
      <c r="AK227" s="408">
        <v>0.64</v>
      </c>
      <c r="AL227" s="410">
        <v>1.24</v>
      </c>
      <c r="AO227" s="100"/>
    </row>
    <row r="228" spans="1:41" ht="12.75">
      <c r="A228" s="10"/>
      <c r="B228" s="10"/>
      <c r="C228" s="10"/>
      <c r="D228" s="10"/>
      <c r="E228" s="10"/>
      <c r="F228" s="10"/>
      <c r="G228" s="10"/>
      <c r="H228" s="10"/>
      <c r="I228" s="10"/>
      <c r="M228" s="483">
        <v>0.9</v>
      </c>
      <c r="N228" s="478">
        <v>1.67</v>
      </c>
      <c r="O228" s="479">
        <v>1.98</v>
      </c>
      <c r="P228" s="480">
        <v>2.31</v>
      </c>
      <c r="Q228" s="480">
        <v>2.65</v>
      </c>
      <c r="R228" s="480">
        <v>3.02</v>
      </c>
      <c r="S228" s="480">
        <v>3.42</v>
      </c>
      <c r="T228" s="480">
        <v>3.84</v>
      </c>
      <c r="U228" s="480">
        <v>4.27</v>
      </c>
      <c r="V228" s="480">
        <v>4.72</v>
      </c>
      <c r="W228" s="480">
        <v>5.18</v>
      </c>
      <c r="X228" s="480">
        <v>5.64</v>
      </c>
      <c r="Y228" s="480">
        <v>6.55</v>
      </c>
      <c r="Z228" s="481">
        <v>7.45</v>
      </c>
      <c r="AA228" s="320">
        <v>8.31</v>
      </c>
      <c r="AB228" s="480">
        <v>9.15</v>
      </c>
      <c r="AC228" s="321">
        <v>10</v>
      </c>
      <c r="AF228" s="405" t="s">
        <v>921</v>
      </c>
      <c r="AG228" s="406">
        <v>15.6</v>
      </c>
      <c r="AH228" s="407">
        <v>12.1</v>
      </c>
      <c r="AI228" s="408">
        <v>0.345</v>
      </c>
      <c r="AJ228" s="407">
        <v>10</v>
      </c>
      <c r="AK228" s="408">
        <v>0.575</v>
      </c>
      <c r="AL228" s="410">
        <v>1.18</v>
      </c>
      <c r="AO228" s="100"/>
    </row>
    <row r="229" spans="1:41" ht="12.75">
      <c r="A229" s="10"/>
      <c r="B229" s="10"/>
      <c r="C229" s="10"/>
      <c r="D229" s="10"/>
      <c r="E229" s="10"/>
      <c r="F229" s="10"/>
      <c r="G229" s="10"/>
      <c r="H229" s="10"/>
      <c r="I229" s="10"/>
      <c r="M229" s="487">
        <v>1</v>
      </c>
      <c r="N229" s="478">
        <v>1.59</v>
      </c>
      <c r="O229" s="479">
        <v>1.89</v>
      </c>
      <c r="P229" s="320">
        <v>2.21</v>
      </c>
      <c r="Q229" s="480">
        <v>2.55</v>
      </c>
      <c r="R229" s="480">
        <v>2.91</v>
      </c>
      <c r="S229" s="480">
        <v>3.3</v>
      </c>
      <c r="T229" s="480">
        <v>3.71</v>
      </c>
      <c r="U229" s="480">
        <v>4.14</v>
      </c>
      <c r="V229" s="480">
        <v>4.59</v>
      </c>
      <c r="W229" s="480">
        <v>5.04</v>
      </c>
      <c r="X229" s="480">
        <v>5.5</v>
      </c>
      <c r="Y229" s="480">
        <v>6.42</v>
      </c>
      <c r="Z229" s="481">
        <v>7.33</v>
      </c>
      <c r="AA229" s="480">
        <v>8.21</v>
      </c>
      <c r="AB229" s="480">
        <v>9.07</v>
      </c>
      <c r="AC229" s="482">
        <v>9.9</v>
      </c>
      <c r="AF229" s="405" t="s">
        <v>922</v>
      </c>
      <c r="AG229" s="406">
        <v>14.6</v>
      </c>
      <c r="AH229" s="407">
        <v>12.2</v>
      </c>
      <c r="AI229" s="408">
        <v>0.37</v>
      </c>
      <c r="AJ229" s="409">
        <v>8.08</v>
      </c>
      <c r="AK229" s="408">
        <v>0.64</v>
      </c>
      <c r="AL229" s="410">
        <v>1.14</v>
      </c>
      <c r="AO229" s="100"/>
    </row>
    <row r="230" spans="1:41" ht="12.75">
      <c r="A230" s="10"/>
      <c r="B230" s="10"/>
      <c r="C230" s="10"/>
      <c r="D230" s="10"/>
      <c r="E230" s="10"/>
      <c r="F230" s="10"/>
      <c r="G230" s="10"/>
      <c r="H230" s="10"/>
      <c r="I230" s="10"/>
      <c r="M230" s="487">
        <v>1.2</v>
      </c>
      <c r="N230" s="478">
        <v>1.45</v>
      </c>
      <c r="O230" s="479">
        <v>1.73</v>
      </c>
      <c r="P230" s="480">
        <v>2.04</v>
      </c>
      <c r="Q230" s="480">
        <v>2.36</v>
      </c>
      <c r="R230" s="480">
        <v>2.71</v>
      </c>
      <c r="S230" s="480">
        <v>3.08</v>
      </c>
      <c r="T230" s="480">
        <v>3.47</v>
      </c>
      <c r="U230" s="480">
        <v>3.88</v>
      </c>
      <c r="V230" s="480">
        <v>4.32</v>
      </c>
      <c r="W230" s="480">
        <v>4.77</v>
      </c>
      <c r="X230" s="480">
        <v>5.22</v>
      </c>
      <c r="Y230" s="480">
        <v>6.14</v>
      </c>
      <c r="Z230" s="481">
        <v>7.06</v>
      </c>
      <c r="AA230" s="480">
        <v>7.97</v>
      </c>
      <c r="AB230" s="480">
        <v>8.85</v>
      </c>
      <c r="AC230" s="482">
        <v>9.71</v>
      </c>
      <c r="AF230" s="405" t="s">
        <v>923</v>
      </c>
      <c r="AG230" s="406">
        <v>13.1</v>
      </c>
      <c r="AH230" s="407">
        <v>12.1</v>
      </c>
      <c r="AI230" s="408">
        <v>0.335</v>
      </c>
      <c r="AJ230" s="409">
        <v>8.05</v>
      </c>
      <c r="AK230" s="408">
        <v>0.575</v>
      </c>
      <c r="AL230" s="410">
        <v>1.08</v>
      </c>
      <c r="AO230" s="100"/>
    </row>
    <row r="231" spans="1:41" ht="12.75">
      <c r="A231" s="10"/>
      <c r="B231" s="10"/>
      <c r="C231" s="10"/>
      <c r="D231" s="10"/>
      <c r="E231" s="10"/>
      <c r="F231" s="10"/>
      <c r="G231" s="10"/>
      <c r="H231" s="10"/>
      <c r="I231" s="10"/>
      <c r="M231" s="487">
        <v>1.4</v>
      </c>
      <c r="N231" s="478">
        <v>1.33</v>
      </c>
      <c r="O231" s="479">
        <v>1.6</v>
      </c>
      <c r="P231" s="480">
        <v>1.89</v>
      </c>
      <c r="Q231" s="480">
        <v>2.19</v>
      </c>
      <c r="R231" s="480">
        <v>2.53</v>
      </c>
      <c r="S231" s="480">
        <v>2.88</v>
      </c>
      <c r="T231" s="480">
        <v>3.25</v>
      </c>
      <c r="U231" s="480">
        <v>3.65</v>
      </c>
      <c r="V231" s="480">
        <v>4.07</v>
      </c>
      <c r="W231" s="480">
        <v>4.5</v>
      </c>
      <c r="X231" s="480">
        <v>4.95</v>
      </c>
      <c r="Y231" s="480">
        <v>5.87</v>
      </c>
      <c r="Z231" s="481">
        <v>6.79</v>
      </c>
      <c r="AA231" s="480">
        <v>7.71</v>
      </c>
      <c r="AB231" s="320">
        <v>8.62</v>
      </c>
      <c r="AC231" s="482">
        <v>9.51</v>
      </c>
      <c r="AF231" s="405" t="s">
        <v>924</v>
      </c>
      <c r="AG231" s="406">
        <v>11.7</v>
      </c>
      <c r="AH231" s="407">
        <v>11.9</v>
      </c>
      <c r="AI231" s="408">
        <v>0.295</v>
      </c>
      <c r="AJ231" s="409">
        <v>8.01</v>
      </c>
      <c r="AK231" s="408">
        <v>0.515</v>
      </c>
      <c r="AL231" s="410">
        <v>1.02</v>
      </c>
      <c r="AO231" s="100"/>
    </row>
    <row r="232" spans="1:41" ht="12.75">
      <c r="A232" s="10"/>
      <c r="B232" s="10"/>
      <c r="C232" s="10"/>
      <c r="D232" s="10"/>
      <c r="E232" s="10"/>
      <c r="F232" s="10"/>
      <c r="G232" s="10"/>
      <c r="H232" s="10"/>
      <c r="I232" s="10"/>
      <c r="M232" s="487">
        <v>1.6</v>
      </c>
      <c r="N232" s="478">
        <v>1.22</v>
      </c>
      <c r="O232" s="479">
        <v>1.48</v>
      </c>
      <c r="P232" s="480">
        <v>1.75</v>
      </c>
      <c r="Q232" s="480">
        <v>2.05</v>
      </c>
      <c r="R232" s="480">
        <v>2.36</v>
      </c>
      <c r="S232" s="480">
        <v>2.7</v>
      </c>
      <c r="T232" s="480">
        <v>3.06</v>
      </c>
      <c r="U232" s="480">
        <v>3.44</v>
      </c>
      <c r="V232" s="480">
        <v>3.84</v>
      </c>
      <c r="W232" s="480">
        <v>4.26</v>
      </c>
      <c r="X232" s="480">
        <v>4.7</v>
      </c>
      <c r="Y232" s="480">
        <v>5.6</v>
      </c>
      <c r="Z232" s="481">
        <v>6.52</v>
      </c>
      <c r="AA232" s="480">
        <v>7.44</v>
      </c>
      <c r="AB232" s="480">
        <v>8.35</v>
      </c>
      <c r="AC232" s="482">
        <v>9.26</v>
      </c>
      <c r="AF232" s="405" t="s">
        <v>925</v>
      </c>
      <c r="AG232" s="406">
        <v>10.3</v>
      </c>
      <c r="AH232" s="407">
        <v>12.5</v>
      </c>
      <c r="AI232" s="408">
        <v>0.3</v>
      </c>
      <c r="AJ232" s="409">
        <v>6.56</v>
      </c>
      <c r="AK232" s="408">
        <v>0.52</v>
      </c>
      <c r="AL232" s="412">
        <v>0.82</v>
      </c>
      <c r="AO232" s="100"/>
    </row>
    <row r="233" spans="1:41" ht="12.75">
      <c r="A233" s="10"/>
      <c r="B233" s="10"/>
      <c r="C233" s="10"/>
      <c r="D233" s="10"/>
      <c r="E233" s="10"/>
      <c r="F233" s="10"/>
      <c r="G233" s="10"/>
      <c r="H233" s="10"/>
      <c r="I233" s="10"/>
      <c r="M233" s="487">
        <v>1.8</v>
      </c>
      <c r="N233" s="478">
        <v>1.13</v>
      </c>
      <c r="O233" s="324">
        <v>1.37</v>
      </c>
      <c r="P233" s="480">
        <v>1.63</v>
      </c>
      <c r="Q233" s="480">
        <v>1.91</v>
      </c>
      <c r="R233" s="480">
        <v>2.22</v>
      </c>
      <c r="S233" s="480">
        <v>2.54</v>
      </c>
      <c r="T233" s="480">
        <v>2.89</v>
      </c>
      <c r="U233" s="480">
        <v>3.25</v>
      </c>
      <c r="V233" s="480">
        <v>3.63</v>
      </c>
      <c r="W233" s="480">
        <v>4.04</v>
      </c>
      <c r="X233" s="480">
        <v>4.46</v>
      </c>
      <c r="Y233" s="480">
        <v>5.34</v>
      </c>
      <c r="Z233" s="481">
        <v>6.24</v>
      </c>
      <c r="AA233" s="480">
        <v>7.17</v>
      </c>
      <c r="AB233" s="480">
        <v>8.09</v>
      </c>
      <c r="AC233" s="321">
        <v>9.01</v>
      </c>
      <c r="AF233" s="405" t="s">
        <v>926</v>
      </c>
      <c r="AG233" s="413">
        <v>8.79</v>
      </c>
      <c r="AH233" s="407">
        <v>12.3</v>
      </c>
      <c r="AI233" s="408">
        <v>0.26</v>
      </c>
      <c r="AJ233" s="409">
        <v>6.52</v>
      </c>
      <c r="AK233" s="408">
        <v>0.44</v>
      </c>
      <c r="AL233" s="412">
        <v>0.74</v>
      </c>
      <c r="AO233" s="100"/>
    </row>
    <row r="234" spans="1:41" ht="12.75">
      <c r="A234" s="10"/>
      <c r="B234" s="10"/>
      <c r="C234" s="10"/>
      <c r="D234" s="10"/>
      <c r="E234" s="10"/>
      <c r="F234" s="10"/>
      <c r="G234" s="10"/>
      <c r="H234" s="10"/>
      <c r="I234" s="10"/>
      <c r="M234" s="487">
        <v>2</v>
      </c>
      <c r="N234" s="478">
        <v>1.05</v>
      </c>
      <c r="O234" s="488">
        <v>1.27</v>
      </c>
      <c r="P234" s="489">
        <v>1.52</v>
      </c>
      <c r="Q234" s="489">
        <v>1.79</v>
      </c>
      <c r="R234" s="489">
        <v>2.08</v>
      </c>
      <c r="S234" s="489">
        <v>2.4</v>
      </c>
      <c r="T234" s="489">
        <v>2.73</v>
      </c>
      <c r="U234" s="489">
        <v>3.07</v>
      </c>
      <c r="V234" s="489">
        <v>3.44</v>
      </c>
      <c r="W234" s="489">
        <v>3.84</v>
      </c>
      <c r="X234" s="489">
        <v>4.24</v>
      </c>
      <c r="Y234" s="489">
        <v>5.09</v>
      </c>
      <c r="Z234" s="490">
        <v>5.99</v>
      </c>
      <c r="AA234" s="489">
        <v>6.9</v>
      </c>
      <c r="AB234" s="489">
        <v>7.81</v>
      </c>
      <c r="AC234" s="491">
        <v>8.73</v>
      </c>
      <c r="AF234" s="405" t="s">
        <v>927</v>
      </c>
      <c r="AG234" s="413">
        <v>7.65</v>
      </c>
      <c r="AH234" s="407">
        <v>12.2</v>
      </c>
      <c r="AI234" s="408">
        <v>0.23</v>
      </c>
      <c r="AJ234" s="409">
        <v>6.49</v>
      </c>
      <c r="AK234" s="408">
        <v>0.38</v>
      </c>
      <c r="AL234" s="412">
        <v>0.68</v>
      </c>
      <c r="AO234" s="100"/>
    </row>
    <row r="235" spans="1:38" ht="12.75">
      <c r="A235" s="10"/>
      <c r="B235" s="10"/>
      <c r="C235" s="10"/>
      <c r="D235" s="10"/>
      <c r="E235" s="10"/>
      <c r="F235" s="10"/>
      <c r="G235" s="10"/>
      <c r="H235" s="10"/>
      <c r="I235" s="10"/>
      <c r="M235" s="487">
        <v>2.2</v>
      </c>
      <c r="N235" s="492">
        <v>0.973</v>
      </c>
      <c r="O235" s="479">
        <v>1.19</v>
      </c>
      <c r="P235" s="480">
        <v>1.43</v>
      </c>
      <c r="Q235" s="480">
        <v>1.68</v>
      </c>
      <c r="R235" s="480">
        <v>1.96</v>
      </c>
      <c r="S235" s="480">
        <v>2.26</v>
      </c>
      <c r="T235" s="480">
        <v>2.58</v>
      </c>
      <c r="U235" s="480">
        <v>2.92</v>
      </c>
      <c r="V235" s="320">
        <v>3.27</v>
      </c>
      <c r="W235" s="480">
        <v>3.65</v>
      </c>
      <c r="X235" s="320">
        <v>4.04</v>
      </c>
      <c r="Y235" s="480">
        <v>4.86</v>
      </c>
      <c r="Z235" s="480">
        <v>5.74</v>
      </c>
      <c r="AA235" s="480">
        <v>6.62</v>
      </c>
      <c r="AB235" s="480">
        <v>7.53</v>
      </c>
      <c r="AC235" s="482">
        <v>8.44</v>
      </c>
      <c r="AF235" s="405" t="s">
        <v>928</v>
      </c>
      <c r="AG235" s="413">
        <v>6.48</v>
      </c>
      <c r="AH235" s="407">
        <v>12.3</v>
      </c>
      <c r="AI235" s="408">
        <v>0.26</v>
      </c>
      <c r="AJ235" s="409">
        <v>4.03</v>
      </c>
      <c r="AK235" s="408">
        <v>0.425</v>
      </c>
      <c r="AL235" s="412">
        <v>0.725</v>
      </c>
    </row>
    <row r="236" spans="1:38" ht="12.75">
      <c r="A236" s="10"/>
      <c r="B236" s="10"/>
      <c r="C236" s="10"/>
      <c r="D236" s="10"/>
      <c r="E236" s="10"/>
      <c r="F236" s="10"/>
      <c r="G236" s="10"/>
      <c r="H236" s="10"/>
      <c r="I236" s="10"/>
      <c r="M236" s="487">
        <v>2.4</v>
      </c>
      <c r="N236" s="478">
        <v>0.911</v>
      </c>
      <c r="O236" s="493">
        <v>1.12</v>
      </c>
      <c r="P236" s="494">
        <v>1.34</v>
      </c>
      <c r="Q236" s="326">
        <v>1.59</v>
      </c>
      <c r="R236" s="494">
        <v>1.86</v>
      </c>
      <c r="S236" s="494">
        <v>2.14</v>
      </c>
      <c r="T236" s="494">
        <v>2.45</v>
      </c>
      <c r="U236" s="494">
        <v>2.77</v>
      </c>
      <c r="V236" s="495">
        <v>3.11</v>
      </c>
      <c r="W236" s="494">
        <v>3.47</v>
      </c>
      <c r="X236" s="494">
        <v>3.85</v>
      </c>
      <c r="Y236" s="495">
        <v>4.65</v>
      </c>
      <c r="Z236" s="496">
        <v>5.49</v>
      </c>
      <c r="AA236" s="494">
        <v>6.35</v>
      </c>
      <c r="AB236" s="494">
        <v>7.24</v>
      </c>
      <c r="AC236" s="497">
        <v>8.15</v>
      </c>
      <c r="AF236" s="405" t="s">
        <v>929</v>
      </c>
      <c r="AG236" s="413">
        <v>5.57</v>
      </c>
      <c r="AH236" s="407">
        <v>12.2</v>
      </c>
      <c r="AI236" s="408">
        <v>0.235</v>
      </c>
      <c r="AJ236" s="409">
        <v>4.01</v>
      </c>
      <c r="AK236" s="408">
        <v>0.35</v>
      </c>
      <c r="AL236" s="412">
        <v>0.65</v>
      </c>
    </row>
    <row r="237" spans="1:41" ht="12.75">
      <c r="A237" s="10"/>
      <c r="B237" s="10"/>
      <c r="C237" s="10"/>
      <c r="D237" s="10"/>
      <c r="E237" s="10"/>
      <c r="F237" s="10"/>
      <c r="G237" s="10"/>
      <c r="H237" s="10"/>
      <c r="I237" s="10"/>
      <c r="M237" s="487">
        <v>2.6</v>
      </c>
      <c r="N237" s="478">
        <v>0.855</v>
      </c>
      <c r="O237" s="324">
        <v>1.05</v>
      </c>
      <c r="P237" s="480">
        <v>1.27</v>
      </c>
      <c r="Q237" s="480">
        <v>1.5</v>
      </c>
      <c r="R237" s="480">
        <v>1.76</v>
      </c>
      <c r="S237" s="480">
        <v>2.03</v>
      </c>
      <c r="T237" s="480">
        <v>2.33</v>
      </c>
      <c r="U237" s="319">
        <v>2.64</v>
      </c>
      <c r="V237" s="480">
        <v>2.96</v>
      </c>
      <c r="W237" s="480">
        <v>3.31</v>
      </c>
      <c r="X237" s="480">
        <v>3.67</v>
      </c>
      <c r="Y237" s="480">
        <v>4.45</v>
      </c>
      <c r="Z237" s="485">
        <v>5.26</v>
      </c>
      <c r="AA237" s="480">
        <v>6.1</v>
      </c>
      <c r="AB237" s="480">
        <v>6.97</v>
      </c>
      <c r="AC237" s="482">
        <v>7.87</v>
      </c>
      <c r="AF237" s="405" t="s">
        <v>930</v>
      </c>
      <c r="AG237" s="413">
        <v>4.71</v>
      </c>
      <c r="AH237" s="407">
        <v>12</v>
      </c>
      <c r="AI237" s="408">
        <v>0.22</v>
      </c>
      <c r="AJ237" s="409">
        <v>3.99</v>
      </c>
      <c r="AK237" s="408">
        <v>0.265</v>
      </c>
      <c r="AL237" s="412">
        <v>0.565</v>
      </c>
      <c r="AO237" s="100"/>
    </row>
    <row r="238" spans="1:41" ht="12.75">
      <c r="A238" s="10"/>
      <c r="B238" s="10"/>
      <c r="C238" s="10"/>
      <c r="D238" s="10"/>
      <c r="E238" s="10"/>
      <c r="F238" s="10"/>
      <c r="G238" s="10"/>
      <c r="H238" s="10"/>
      <c r="I238" s="10"/>
      <c r="M238" s="487">
        <v>2.8</v>
      </c>
      <c r="N238" s="478">
        <v>0.805</v>
      </c>
      <c r="O238" s="479">
        <v>0.992</v>
      </c>
      <c r="P238" s="480">
        <v>1.2</v>
      </c>
      <c r="Q238" s="480">
        <v>1.42</v>
      </c>
      <c r="R238" s="480">
        <v>1.67</v>
      </c>
      <c r="S238" s="480">
        <v>1.93</v>
      </c>
      <c r="T238" s="480">
        <v>2.22</v>
      </c>
      <c r="U238" s="480">
        <v>2.51</v>
      </c>
      <c r="V238" s="480">
        <v>2.83</v>
      </c>
      <c r="W238" s="480">
        <v>3.16</v>
      </c>
      <c r="X238" s="480">
        <v>3.51</v>
      </c>
      <c r="Y238" s="480">
        <v>4.27</v>
      </c>
      <c r="Z238" s="481">
        <v>5.04</v>
      </c>
      <c r="AA238" s="320">
        <v>5.86</v>
      </c>
      <c r="AB238" s="480">
        <v>6.71</v>
      </c>
      <c r="AC238" s="482">
        <v>7.6</v>
      </c>
      <c r="AF238" s="405" t="s">
        <v>931</v>
      </c>
      <c r="AG238" s="413">
        <v>4.16</v>
      </c>
      <c r="AH238" s="407">
        <v>11.9</v>
      </c>
      <c r="AI238" s="408">
        <v>0.2</v>
      </c>
      <c r="AJ238" s="409">
        <v>3.97</v>
      </c>
      <c r="AK238" s="408">
        <v>0.225</v>
      </c>
      <c r="AL238" s="412">
        <v>0.525</v>
      </c>
      <c r="AO238" s="100"/>
    </row>
    <row r="239" spans="1:41" ht="12.75">
      <c r="A239" s="10"/>
      <c r="B239" s="10"/>
      <c r="C239" s="10"/>
      <c r="D239" s="10"/>
      <c r="E239" s="10"/>
      <c r="F239" s="10"/>
      <c r="G239" s="10"/>
      <c r="H239" s="10"/>
      <c r="I239" s="10"/>
      <c r="M239" s="498">
        <v>3</v>
      </c>
      <c r="N239" s="499">
        <v>0.76</v>
      </c>
      <c r="O239" s="500">
        <v>0.939</v>
      </c>
      <c r="P239" s="501">
        <v>1.13</v>
      </c>
      <c r="Q239" s="501">
        <v>1.35</v>
      </c>
      <c r="R239" s="322">
        <v>1.59</v>
      </c>
      <c r="S239" s="501">
        <v>1.84</v>
      </c>
      <c r="T239" s="501">
        <v>2.11</v>
      </c>
      <c r="U239" s="501">
        <v>2.4</v>
      </c>
      <c r="V239" s="501">
        <v>2.71</v>
      </c>
      <c r="W239" s="501">
        <v>3.03</v>
      </c>
      <c r="X239" s="501">
        <v>3.36</v>
      </c>
      <c r="Y239" s="501">
        <v>4.09</v>
      </c>
      <c r="Z239" s="502">
        <v>4.84</v>
      </c>
      <c r="AA239" s="501">
        <v>5.63</v>
      </c>
      <c r="AB239" s="501">
        <v>6.47</v>
      </c>
      <c r="AC239" s="503">
        <v>7.34</v>
      </c>
      <c r="AF239" s="405" t="s">
        <v>932</v>
      </c>
      <c r="AG239" s="406">
        <v>32.9</v>
      </c>
      <c r="AH239" s="407">
        <v>11.4</v>
      </c>
      <c r="AI239" s="408">
        <v>0.755</v>
      </c>
      <c r="AJ239" s="407">
        <v>10.4</v>
      </c>
      <c r="AK239" s="409">
        <v>1.25</v>
      </c>
      <c r="AL239" s="410">
        <v>1.75</v>
      </c>
      <c r="AO239" s="100"/>
    </row>
    <row r="240" spans="1:38" ht="12.75">
      <c r="A240" s="10"/>
      <c r="B240" s="10"/>
      <c r="C240" s="10"/>
      <c r="D240" s="10"/>
      <c r="E240" s="10"/>
      <c r="F240" s="10"/>
      <c r="G240" s="10"/>
      <c r="H240" s="10"/>
      <c r="I240" s="10"/>
      <c r="M240" s="504" t="s">
        <v>526</v>
      </c>
      <c r="N240" s="505">
        <v>0</v>
      </c>
      <c r="O240" s="325">
        <v>0.008</v>
      </c>
      <c r="P240" s="322">
        <v>0.029</v>
      </c>
      <c r="Q240" s="322">
        <v>0.056</v>
      </c>
      <c r="R240" s="322">
        <v>0.089</v>
      </c>
      <c r="S240" s="322">
        <v>0.125</v>
      </c>
      <c r="T240" s="322">
        <v>0.164</v>
      </c>
      <c r="U240" s="322">
        <v>0.204</v>
      </c>
      <c r="V240" s="322">
        <v>0.246</v>
      </c>
      <c r="W240" s="322">
        <v>0.289</v>
      </c>
      <c r="X240" s="322">
        <v>0.333</v>
      </c>
      <c r="Y240" s="322">
        <v>0.424</v>
      </c>
      <c r="Z240" s="506">
        <v>0.516</v>
      </c>
      <c r="AA240" s="322">
        <v>0.61</v>
      </c>
      <c r="AB240" s="322">
        <v>0.704</v>
      </c>
      <c r="AC240" s="323">
        <v>0.8</v>
      </c>
      <c r="AF240" s="405" t="s">
        <v>933</v>
      </c>
      <c r="AG240" s="406">
        <v>29.4</v>
      </c>
      <c r="AH240" s="407">
        <v>11.1</v>
      </c>
      <c r="AI240" s="408">
        <v>0.68</v>
      </c>
      <c r="AJ240" s="407">
        <v>10.3</v>
      </c>
      <c r="AK240" s="409">
        <v>1.12</v>
      </c>
      <c r="AL240" s="410">
        <v>1.62</v>
      </c>
    </row>
    <row r="241" spans="1:38" ht="12.75">
      <c r="A241" s="10"/>
      <c r="B241" s="10"/>
      <c r="C241" s="10"/>
      <c r="D241" s="10"/>
      <c r="E241" s="10"/>
      <c r="F241" s="10"/>
      <c r="G241" s="10"/>
      <c r="H241" s="10"/>
      <c r="I241" s="10"/>
      <c r="AC241" s="25"/>
      <c r="AD241" s="25"/>
      <c r="AF241" s="405" t="s">
        <v>934</v>
      </c>
      <c r="AG241" s="406">
        <v>25.9</v>
      </c>
      <c r="AH241" s="407">
        <v>10.8</v>
      </c>
      <c r="AI241" s="408">
        <v>0.605</v>
      </c>
      <c r="AJ241" s="407">
        <v>10.3</v>
      </c>
      <c r="AK241" s="408">
        <v>0.99</v>
      </c>
      <c r="AL241" s="410">
        <v>1.49</v>
      </c>
    </row>
    <row r="242" spans="1:38" ht="12.75">
      <c r="A242" s="10"/>
      <c r="B242" s="10"/>
      <c r="C242" s="10"/>
      <c r="D242" s="10"/>
      <c r="E242" s="10"/>
      <c r="F242" s="10"/>
      <c r="G242" s="10"/>
      <c r="H242" s="10"/>
      <c r="I242" s="10"/>
      <c r="M242" s="29" t="s">
        <v>613</v>
      </c>
      <c r="O242" s="34"/>
      <c r="AC242" s="25"/>
      <c r="AD242" s="25"/>
      <c r="AF242" s="405" t="s">
        <v>935</v>
      </c>
      <c r="AG242" s="406">
        <v>22.6</v>
      </c>
      <c r="AH242" s="407">
        <v>10.6</v>
      </c>
      <c r="AI242" s="408">
        <v>0.53</v>
      </c>
      <c r="AJ242" s="407">
        <v>10.2</v>
      </c>
      <c r="AK242" s="408">
        <v>0.87</v>
      </c>
      <c r="AL242" s="410">
        <v>1.37</v>
      </c>
    </row>
    <row r="243" spans="1:38" ht="12.75">
      <c r="A243" s="10"/>
      <c r="B243" s="10"/>
      <c r="C243" s="10"/>
      <c r="D243" s="10"/>
      <c r="E243" s="10"/>
      <c r="F243" s="10"/>
      <c r="G243" s="10"/>
      <c r="H243" s="10"/>
      <c r="I243" s="10"/>
      <c r="K243" s="33"/>
      <c r="M243" s="33" t="s">
        <v>75</v>
      </c>
      <c r="N243" s="39">
        <f>2*$D$26*$D$22</f>
        <v>9</v>
      </c>
      <c r="O243" s="31" t="s">
        <v>243</v>
      </c>
      <c r="P243" s="48" t="s">
        <v>603</v>
      </c>
      <c r="AC243" s="37"/>
      <c r="AD243" s="37"/>
      <c r="AF243" s="405" t="s">
        <v>936</v>
      </c>
      <c r="AG243" s="406">
        <v>20</v>
      </c>
      <c r="AH243" s="407">
        <v>10.4</v>
      </c>
      <c r="AI243" s="408">
        <v>0.47</v>
      </c>
      <c r="AJ243" s="407">
        <v>10.1</v>
      </c>
      <c r="AK243" s="408">
        <v>0.77</v>
      </c>
      <c r="AL243" s="410">
        <v>1.27</v>
      </c>
    </row>
    <row r="244" spans="1:38" ht="12.75">
      <c r="A244" s="10"/>
      <c r="B244" s="10"/>
      <c r="C244" s="10"/>
      <c r="D244" s="10"/>
      <c r="E244" s="10"/>
      <c r="F244" s="10"/>
      <c r="G244" s="10"/>
      <c r="H244" s="10"/>
      <c r="I244" s="10"/>
      <c r="K244" s="33"/>
      <c r="M244" s="33" t="s">
        <v>252</v>
      </c>
      <c r="N244" s="41">
        <f>(1/1.5)*0.6*$D$23*$N$243</f>
        <v>129.6</v>
      </c>
      <c r="O244" s="31" t="s">
        <v>237</v>
      </c>
      <c r="P244" s="29" t="s">
        <v>599</v>
      </c>
      <c r="AC244" s="37"/>
      <c r="AD244" s="37"/>
      <c r="AF244" s="405" t="s">
        <v>937</v>
      </c>
      <c r="AG244" s="406">
        <v>17.6</v>
      </c>
      <c r="AH244" s="407">
        <v>10.2</v>
      </c>
      <c r="AI244" s="408">
        <v>0.42</v>
      </c>
      <c r="AJ244" s="407">
        <v>10.1</v>
      </c>
      <c r="AK244" s="408">
        <v>0.68</v>
      </c>
      <c r="AL244" s="410">
        <v>1.18</v>
      </c>
    </row>
    <row r="245" spans="1:38" ht="12.75">
      <c r="A245" s="10"/>
      <c r="B245" s="10"/>
      <c r="C245" s="10"/>
      <c r="D245" s="10"/>
      <c r="E245" s="10"/>
      <c r="F245" s="10"/>
      <c r="G245" s="10"/>
      <c r="H245" s="10"/>
      <c r="I245" s="10"/>
      <c r="M245" s="29" t="s">
        <v>614</v>
      </c>
      <c r="N245" s="57"/>
      <c r="AC245" s="37"/>
      <c r="AD245" s="37"/>
      <c r="AF245" s="405" t="s">
        <v>938</v>
      </c>
      <c r="AG245" s="406">
        <v>15.8</v>
      </c>
      <c r="AH245" s="407">
        <v>10.1</v>
      </c>
      <c r="AI245" s="408">
        <v>0.37</v>
      </c>
      <c r="AJ245" s="407">
        <v>10</v>
      </c>
      <c r="AK245" s="408">
        <v>0.615</v>
      </c>
      <c r="AL245" s="410">
        <v>1.12</v>
      </c>
    </row>
    <row r="246" spans="1:38" ht="12.75">
      <c r="A246" s="10"/>
      <c r="B246" s="10"/>
      <c r="C246" s="10"/>
      <c r="D246" s="10"/>
      <c r="E246" s="10"/>
      <c r="F246" s="10"/>
      <c r="G246" s="10"/>
      <c r="H246" s="10"/>
      <c r="I246" s="10"/>
      <c r="K246" s="50"/>
      <c r="M246" s="50" t="s">
        <v>253</v>
      </c>
      <c r="N246" s="43">
        <f>$N$243</f>
        <v>9</v>
      </c>
      <c r="O246" s="38" t="s">
        <v>243</v>
      </c>
      <c r="P246" s="31" t="s">
        <v>604</v>
      </c>
      <c r="AC246" s="37"/>
      <c r="AD246" s="37"/>
      <c r="AF246" s="405" t="s">
        <v>939</v>
      </c>
      <c r="AG246" s="406">
        <v>14.4</v>
      </c>
      <c r="AH246" s="407">
        <v>10</v>
      </c>
      <c r="AI246" s="408">
        <v>0.34</v>
      </c>
      <c r="AJ246" s="407">
        <v>10</v>
      </c>
      <c r="AK246" s="408">
        <v>0.56</v>
      </c>
      <c r="AL246" s="410">
        <v>1.06</v>
      </c>
    </row>
    <row r="247" spans="1:38" ht="12.75">
      <c r="A247" s="10"/>
      <c r="B247" s="10"/>
      <c r="C247" s="10"/>
      <c r="D247" s="10"/>
      <c r="E247" s="10"/>
      <c r="F247" s="10"/>
      <c r="G247" s="10"/>
      <c r="H247" s="10"/>
      <c r="I247" s="10"/>
      <c r="K247" s="33"/>
      <c r="M247" s="33" t="s">
        <v>254</v>
      </c>
      <c r="N247" s="41">
        <f>(1/2)*0.6*$N$5*$N$246</f>
        <v>156.6</v>
      </c>
      <c r="O247" s="31" t="s">
        <v>237</v>
      </c>
      <c r="P247" s="29" t="s">
        <v>600</v>
      </c>
      <c r="AC247" s="26"/>
      <c r="AD247" s="26"/>
      <c r="AF247" s="405" t="s">
        <v>940</v>
      </c>
      <c r="AG247" s="406">
        <v>13.3</v>
      </c>
      <c r="AH247" s="407">
        <v>10.1</v>
      </c>
      <c r="AI247" s="408">
        <v>0.35</v>
      </c>
      <c r="AJ247" s="409">
        <v>8.02</v>
      </c>
      <c r="AK247" s="408">
        <v>0.62</v>
      </c>
      <c r="AL247" s="410">
        <v>1.12</v>
      </c>
    </row>
    <row r="248" spans="1:38" ht="12.75">
      <c r="A248" s="10"/>
      <c r="B248" s="10"/>
      <c r="C248" s="10"/>
      <c r="D248" s="10"/>
      <c r="E248" s="10"/>
      <c r="F248" s="10"/>
      <c r="G248" s="10"/>
      <c r="H248" s="10"/>
      <c r="I248" s="60"/>
      <c r="K248" s="48"/>
      <c r="M248" s="48" t="s">
        <v>17</v>
      </c>
      <c r="N248" s="34"/>
      <c r="P248" s="31"/>
      <c r="AF248" s="405" t="s">
        <v>941</v>
      </c>
      <c r="AG248" s="406">
        <v>11.5</v>
      </c>
      <c r="AH248" s="409">
        <v>9.92</v>
      </c>
      <c r="AI248" s="408">
        <v>0.315</v>
      </c>
      <c r="AJ248" s="409">
        <v>7.99</v>
      </c>
      <c r="AK248" s="408">
        <v>0.53</v>
      </c>
      <c r="AL248" s="410">
        <v>1.03</v>
      </c>
    </row>
    <row r="249" spans="1:41" ht="12.75">
      <c r="A249" s="10"/>
      <c r="B249" s="10"/>
      <c r="C249" s="10"/>
      <c r="D249" s="10"/>
      <c r="E249" s="10"/>
      <c r="F249" s="10"/>
      <c r="G249" s="10"/>
      <c r="H249" s="10"/>
      <c r="I249" s="60"/>
      <c r="K249" s="33"/>
      <c r="M249" s="33" t="s">
        <v>35</v>
      </c>
      <c r="N249" s="39">
        <f>2*$D$26*$D$22</f>
        <v>9</v>
      </c>
      <c r="O249" s="31" t="s">
        <v>243</v>
      </c>
      <c r="P249" s="48" t="s">
        <v>609</v>
      </c>
      <c r="AF249" s="405" t="s">
        <v>942</v>
      </c>
      <c r="AG249" s="413">
        <v>9.71</v>
      </c>
      <c r="AH249" s="409">
        <v>9.73</v>
      </c>
      <c r="AI249" s="408">
        <v>0.29</v>
      </c>
      <c r="AJ249" s="409">
        <v>7.96</v>
      </c>
      <c r="AK249" s="408">
        <v>0.435</v>
      </c>
      <c r="AL249" s="412">
        <v>0.935</v>
      </c>
      <c r="AO249" s="100"/>
    </row>
    <row r="250" spans="1:41" ht="12.75">
      <c r="A250" s="10"/>
      <c r="B250" s="10"/>
      <c r="C250" s="10"/>
      <c r="D250" s="10"/>
      <c r="E250" s="10"/>
      <c r="F250" s="10"/>
      <c r="G250" s="10"/>
      <c r="H250" s="10"/>
      <c r="I250" s="10"/>
      <c r="K250" s="33"/>
      <c r="M250" s="33" t="s">
        <v>36</v>
      </c>
      <c r="N250" s="41">
        <f>(0.6*$D$23*$N$249)*IF(1-($D$16/$N$244)^2&gt;0,(1-($D$16/$N$244)^2),0.0001)</f>
        <v>175.88148148148144</v>
      </c>
      <c r="O250" s="31" t="s">
        <v>237</v>
      </c>
      <c r="P250" s="31" t="s">
        <v>109</v>
      </c>
      <c r="AF250" s="405" t="s">
        <v>943</v>
      </c>
      <c r="AG250" s="413">
        <v>8.84</v>
      </c>
      <c r="AH250" s="407">
        <v>10.5</v>
      </c>
      <c r="AI250" s="408">
        <v>0.3</v>
      </c>
      <c r="AJ250" s="409">
        <v>5.81</v>
      </c>
      <c r="AK250" s="408">
        <v>0.51</v>
      </c>
      <c r="AL250" s="412">
        <v>0.81</v>
      </c>
      <c r="AO250" s="100"/>
    </row>
    <row r="251" spans="1:41" ht="12.75">
      <c r="A251" s="10"/>
      <c r="B251" s="10"/>
      <c r="C251" s="10"/>
      <c r="D251" s="10"/>
      <c r="E251" s="10"/>
      <c r="F251" s="10"/>
      <c r="G251" s="10"/>
      <c r="H251" s="10"/>
      <c r="I251" s="10"/>
      <c r="M251" s="95" t="s">
        <v>334</v>
      </c>
      <c r="O251" s="34"/>
      <c r="R251" s="150" t="s">
        <v>471</v>
      </c>
      <c r="AF251" s="405" t="s">
        <v>944</v>
      </c>
      <c r="AG251" s="413">
        <v>7.61</v>
      </c>
      <c r="AH251" s="407">
        <v>10.3</v>
      </c>
      <c r="AI251" s="408">
        <v>0.26</v>
      </c>
      <c r="AJ251" s="409">
        <v>5.77</v>
      </c>
      <c r="AK251" s="408">
        <v>0.44</v>
      </c>
      <c r="AL251" s="412">
        <v>0.74</v>
      </c>
      <c r="AO251" s="100"/>
    </row>
    <row r="252" spans="1:41" ht="12.75">
      <c r="A252" s="10"/>
      <c r="B252" s="10"/>
      <c r="C252" s="10"/>
      <c r="D252" s="10"/>
      <c r="E252" s="10"/>
      <c r="F252" s="10"/>
      <c r="G252" s="10"/>
      <c r="H252" s="10"/>
      <c r="I252" s="10"/>
      <c r="M252" s="29" t="s">
        <v>615</v>
      </c>
      <c r="O252" s="34"/>
      <c r="AF252" s="405" t="s">
        <v>945</v>
      </c>
      <c r="AG252" s="413">
        <v>6.49</v>
      </c>
      <c r="AH252" s="407">
        <v>10.2</v>
      </c>
      <c r="AI252" s="408">
        <v>0.24</v>
      </c>
      <c r="AJ252" s="409">
        <v>5.75</v>
      </c>
      <c r="AK252" s="408">
        <v>0.36</v>
      </c>
      <c r="AL252" s="412">
        <v>0.66</v>
      </c>
      <c r="AO252" s="100"/>
    </row>
    <row r="253" spans="1:41" ht="12.75">
      <c r="A253" s="10"/>
      <c r="B253" s="10"/>
      <c r="C253" s="10"/>
      <c r="D253" s="10"/>
      <c r="E253" s="10"/>
      <c r="F253" s="10"/>
      <c r="G253" s="10"/>
      <c r="H253" s="10"/>
      <c r="I253" s="10"/>
      <c r="M253" s="33" t="s">
        <v>106</v>
      </c>
      <c r="N253" s="39" t="str">
        <f>IF(AND($D$29=0,$D$30=0,$D$31=0),"N.A.","N.A.")</f>
        <v>N.A.</v>
      </c>
      <c r="O253" s="34"/>
      <c r="P253" s="31" t="s">
        <v>616</v>
      </c>
      <c r="W253" s="31"/>
      <c r="AF253" s="405" t="s">
        <v>946</v>
      </c>
      <c r="AG253" s="413">
        <v>5.62</v>
      </c>
      <c r="AH253" s="407">
        <v>10.2</v>
      </c>
      <c r="AI253" s="408">
        <v>0.25</v>
      </c>
      <c r="AJ253" s="409">
        <v>4.02</v>
      </c>
      <c r="AK253" s="408">
        <v>0.395</v>
      </c>
      <c r="AL253" s="412">
        <v>0.695</v>
      </c>
      <c r="AO253" s="100"/>
    </row>
    <row r="254" spans="1:41" ht="12.75">
      <c r="A254" s="10"/>
      <c r="B254" s="10"/>
      <c r="C254" s="10"/>
      <c r="D254" s="10"/>
      <c r="E254" s="10"/>
      <c r="F254" s="10"/>
      <c r="G254" s="10"/>
      <c r="H254" s="10"/>
      <c r="I254" s="10"/>
      <c r="M254" s="50" t="s">
        <v>75</v>
      </c>
      <c r="N254" s="39">
        <f>IF(AND($D$29=0,$D$30=0,$D$31=0),$B$45*$B$46,"N.A.")</f>
        <v>6.39</v>
      </c>
      <c r="O254" s="38" t="s">
        <v>243</v>
      </c>
      <c r="P254" s="31" t="s">
        <v>1083</v>
      </c>
      <c r="W254" s="31"/>
      <c r="AF254" s="405" t="s">
        <v>947</v>
      </c>
      <c r="AG254" s="413">
        <v>4.99</v>
      </c>
      <c r="AH254" s="407">
        <v>10.1</v>
      </c>
      <c r="AI254" s="408">
        <v>0.24</v>
      </c>
      <c r="AJ254" s="409">
        <v>4.01</v>
      </c>
      <c r="AK254" s="408">
        <v>0.33</v>
      </c>
      <c r="AL254" s="412">
        <v>0.63</v>
      </c>
      <c r="AO254" s="100"/>
    </row>
    <row r="255" spans="13:41" ht="12.75">
      <c r="M255" s="33" t="s">
        <v>617</v>
      </c>
      <c r="N255" s="61">
        <f>IF(AND($D$29=0,$D$30=0,$D$31=0),($B$45-2*$B$49)/$B$46,"N.A.")</f>
        <v>45.228169014084514</v>
      </c>
      <c r="O255" s="34"/>
      <c r="P255" s="29" t="s">
        <v>618</v>
      </c>
      <c r="AF255" s="405" t="s">
        <v>948</v>
      </c>
      <c r="AG255" s="413">
        <v>4.41</v>
      </c>
      <c r="AH255" s="407">
        <v>10</v>
      </c>
      <c r="AI255" s="408">
        <v>0.23</v>
      </c>
      <c r="AJ255" s="409">
        <v>4</v>
      </c>
      <c r="AK255" s="408">
        <v>0.27</v>
      </c>
      <c r="AL255" s="412">
        <v>0.57</v>
      </c>
      <c r="AO255" s="100"/>
    </row>
    <row r="256" spans="13:41" ht="12.75">
      <c r="M256" s="33" t="s">
        <v>619</v>
      </c>
      <c r="N256" s="114">
        <f>IF(AND($D$29=0,$D$30=0,$D$31=0),5,"N.A.")</f>
        <v>5</v>
      </c>
      <c r="O256" s="34"/>
      <c r="P256" s="29" t="s">
        <v>620</v>
      </c>
      <c r="AF256" s="405" t="s">
        <v>949</v>
      </c>
      <c r="AG256" s="413">
        <v>3.54</v>
      </c>
      <c r="AH256" s="409">
        <v>9.87</v>
      </c>
      <c r="AI256" s="408">
        <v>0.19</v>
      </c>
      <c r="AJ256" s="409">
        <v>3.96</v>
      </c>
      <c r="AK256" s="408">
        <v>0.21</v>
      </c>
      <c r="AL256" s="412">
        <v>0.51</v>
      </c>
      <c r="AO256" s="100"/>
    </row>
    <row r="257" spans="13:41" ht="12.75">
      <c r="M257" s="33" t="s">
        <v>621</v>
      </c>
      <c r="N257" s="41">
        <f>IF(AND($D$29=0,$D$30=0,$D$31=0),IF($N$255&lt;=2.24*SQRT(29000/$D$12),1,IF($N$255&lt;=1.1*SQRT($N$256*29000/$D$12),1,IF($N$255&gt;1.37*SQRT($N$256*29000/$D$12),(1.51*29000*$N$256)/($N$255^2*$D$12),(1.1*SQRT($N$256*29000/$D$12))/$N$255))),"N.A.")</f>
        <v>1</v>
      </c>
      <c r="O257" s="34"/>
      <c r="P257" s="29" t="s">
        <v>650</v>
      </c>
      <c r="AF257" s="405" t="s">
        <v>950</v>
      </c>
      <c r="AG257" s="406">
        <v>19.7</v>
      </c>
      <c r="AH257" s="409">
        <v>9</v>
      </c>
      <c r="AI257" s="408">
        <v>0.57</v>
      </c>
      <c r="AJ257" s="409">
        <v>8.28</v>
      </c>
      <c r="AK257" s="408">
        <v>0.935</v>
      </c>
      <c r="AL257" s="410">
        <v>1.33</v>
      </c>
      <c r="AO257" s="100"/>
    </row>
    <row r="258" spans="13:41" ht="12.75">
      <c r="M258" s="33" t="s">
        <v>252</v>
      </c>
      <c r="N258" s="41">
        <f>IF(AND($D$29=0,$D$30=0,$D$31=0),(1/1.5)*0.6*$D$12*$N$257*$N$254,"N.A.")</f>
        <v>127.8</v>
      </c>
      <c r="O258" s="31" t="s">
        <v>237</v>
      </c>
      <c r="P258" s="29" t="s">
        <v>651</v>
      </c>
      <c r="AF258" s="405" t="s">
        <v>951</v>
      </c>
      <c r="AG258" s="406">
        <v>17.1</v>
      </c>
      <c r="AH258" s="409">
        <v>8.75</v>
      </c>
      <c r="AI258" s="408">
        <v>0.51</v>
      </c>
      <c r="AJ258" s="409">
        <v>8.22</v>
      </c>
      <c r="AK258" s="408">
        <v>0.81</v>
      </c>
      <c r="AL258" s="410">
        <v>1.2</v>
      </c>
      <c r="AO258" s="100"/>
    </row>
    <row r="259" spans="13:41" ht="12.75">
      <c r="M259" s="29" t="s">
        <v>663</v>
      </c>
      <c r="N259" s="57"/>
      <c r="AF259" s="405" t="s">
        <v>952</v>
      </c>
      <c r="AG259" s="406">
        <v>14.1</v>
      </c>
      <c r="AH259" s="409">
        <v>8.5</v>
      </c>
      <c r="AI259" s="408">
        <v>0.4</v>
      </c>
      <c r="AJ259" s="409">
        <v>8.11</v>
      </c>
      <c r="AK259" s="408">
        <v>0.685</v>
      </c>
      <c r="AL259" s="410">
        <v>1.08</v>
      </c>
      <c r="AO259" s="100"/>
    </row>
    <row r="260" spans="13:41" ht="12.75">
      <c r="M260" s="50" t="s">
        <v>253</v>
      </c>
      <c r="N260" s="43" t="str">
        <f>"N.A."</f>
        <v>N.A.</v>
      </c>
      <c r="O260" s="38" t="s">
        <v>243</v>
      </c>
      <c r="P260" s="31" t="s">
        <v>1254</v>
      </c>
      <c r="W260" s="31"/>
      <c r="AF260" s="405" t="s">
        <v>953</v>
      </c>
      <c r="AG260" s="406">
        <v>11.7</v>
      </c>
      <c r="AH260" s="409">
        <v>8.25</v>
      </c>
      <c r="AI260" s="408">
        <v>0.36</v>
      </c>
      <c r="AJ260" s="409">
        <v>8.07</v>
      </c>
      <c r="AK260" s="408">
        <v>0.56</v>
      </c>
      <c r="AL260" s="412">
        <v>0.954</v>
      </c>
      <c r="AO260" s="100"/>
    </row>
    <row r="261" spans="13:38" ht="12.75">
      <c r="M261" s="33" t="s">
        <v>254</v>
      </c>
      <c r="N261" s="41" t="str">
        <f>IF(AND($D$29=0,$D$30=0,$D$31=0),"N.A.","N.A.")</f>
        <v>N.A.</v>
      </c>
      <c r="O261" s="31" t="s">
        <v>237</v>
      </c>
      <c r="P261" s="29" t="s">
        <v>664</v>
      </c>
      <c r="AC261" s="37"/>
      <c r="AD261" s="37"/>
      <c r="AF261" s="405" t="s">
        <v>954</v>
      </c>
      <c r="AG261" s="406">
        <v>10.3</v>
      </c>
      <c r="AH261" s="409">
        <v>8.12</v>
      </c>
      <c r="AI261" s="408">
        <v>0.31</v>
      </c>
      <c r="AJ261" s="409">
        <v>8.02</v>
      </c>
      <c r="AK261" s="408">
        <v>0.495</v>
      </c>
      <c r="AL261" s="412">
        <v>0.889</v>
      </c>
    </row>
    <row r="262" spans="13:38" ht="12.75">
      <c r="M262" s="57" t="s">
        <v>34</v>
      </c>
      <c r="O262" s="34"/>
      <c r="AC262" s="37"/>
      <c r="AD262" s="37"/>
      <c r="AF262" s="405" t="s">
        <v>955</v>
      </c>
      <c r="AG262" s="413">
        <v>9.12</v>
      </c>
      <c r="AH262" s="409">
        <v>8</v>
      </c>
      <c r="AI262" s="408">
        <v>0.285</v>
      </c>
      <c r="AJ262" s="409">
        <v>8</v>
      </c>
      <c r="AK262" s="408">
        <v>0.435</v>
      </c>
      <c r="AL262" s="412">
        <v>0.829</v>
      </c>
    </row>
    <row r="263" spans="13:38" ht="12.75">
      <c r="M263" s="50" t="s">
        <v>35</v>
      </c>
      <c r="N263" s="43">
        <f>IF(AND($D$29=0,$D$30=0,$D$31=0),$B$44,"N.A.")</f>
        <v>14.7</v>
      </c>
      <c r="O263" s="38" t="s">
        <v>243</v>
      </c>
      <c r="P263" s="48" t="s">
        <v>37</v>
      </c>
      <c r="W263" s="48"/>
      <c r="AC263" s="37"/>
      <c r="AD263" s="37"/>
      <c r="AF263" s="405" t="s">
        <v>956</v>
      </c>
      <c r="AG263" s="413">
        <v>8.24</v>
      </c>
      <c r="AH263" s="409">
        <v>8.06</v>
      </c>
      <c r="AI263" s="408">
        <v>0.285</v>
      </c>
      <c r="AJ263" s="409">
        <v>6.54</v>
      </c>
      <c r="AK263" s="408">
        <v>0.465</v>
      </c>
      <c r="AL263" s="412">
        <v>0.859</v>
      </c>
    </row>
    <row r="264" spans="13:38" ht="12.75">
      <c r="M264" s="50" t="s">
        <v>36</v>
      </c>
      <c r="N264" s="61">
        <f>IF(AND($D$29=0,$D$30=0,$D$31=0),(0.6*$D$12*$N$263)*IF(1-($D$16/$N$258)^2&gt;0,(1-($D$16/$N$258)^2),0.0001),"N.A.")</f>
        <v>397.7986951442615</v>
      </c>
      <c r="O264" s="38" t="s">
        <v>237</v>
      </c>
      <c r="P264" s="38" t="s">
        <v>110</v>
      </c>
      <c r="W264" s="38"/>
      <c r="AC264" s="37"/>
      <c r="AD264" s="37"/>
      <c r="AF264" s="405" t="s">
        <v>957</v>
      </c>
      <c r="AG264" s="413">
        <v>7.08</v>
      </c>
      <c r="AH264" s="409">
        <v>7.93</v>
      </c>
      <c r="AI264" s="408">
        <v>0.245</v>
      </c>
      <c r="AJ264" s="409">
        <v>6.5</v>
      </c>
      <c r="AK264" s="408">
        <v>0.4</v>
      </c>
      <c r="AL264" s="412">
        <v>0.794</v>
      </c>
    </row>
    <row r="265" spans="13:38" ht="12.75">
      <c r="M265" s="57" t="s">
        <v>25</v>
      </c>
      <c r="N265" s="57"/>
      <c r="O265" s="84"/>
      <c r="P265" s="57"/>
      <c r="W265" s="57"/>
      <c r="AC265" s="37"/>
      <c r="AD265" s="37"/>
      <c r="AF265" s="405" t="s">
        <v>958</v>
      </c>
      <c r="AG265" s="413">
        <v>6.16</v>
      </c>
      <c r="AH265" s="409">
        <v>8.28</v>
      </c>
      <c r="AI265" s="408">
        <v>0.25</v>
      </c>
      <c r="AJ265" s="409">
        <v>5.27</v>
      </c>
      <c r="AK265" s="408">
        <v>0.4</v>
      </c>
      <c r="AL265" s="412">
        <v>0.7</v>
      </c>
    </row>
    <row r="266" spans="13:38" ht="12.75">
      <c r="M266" s="50" t="s">
        <v>601</v>
      </c>
      <c r="N266" s="43" t="str">
        <f>"N.A."</f>
        <v>N.A.</v>
      </c>
      <c r="O266" s="38" t="s">
        <v>243</v>
      </c>
      <c r="P266" s="38" t="s">
        <v>665</v>
      </c>
      <c r="W266" s="38"/>
      <c r="AC266" s="37"/>
      <c r="AD266" s="37"/>
      <c r="AF266" s="405" t="s">
        <v>959</v>
      </c>
      <c r="AG266" s="413">
        <v>5.26</v>
      </c>
      <c r="AH266" s="409">
        <v>8.14</v>
      </c>
      <c r="AI266" s="408">
        <v>0.23</v>
      </c>
      <c r="AJ266" s="409">
        <v>5.25</v>
      </c>
      <c r="AK266" s="408">
        <v>0.33</v>
      </c>
      <c r="AL266" s="412">
        <v>0.63</v>
      </c>
    </row>
    <row r="267" spans="13:38" ht="12.75">
      <c r="M267" s="50" t="s">
        <v>602</v>
      </c>
      <c r="N267" s="43" t="str">
        <f>"N.A."</f>
        <v>N.A.</v>
      </c>
      <c r="O267" s="38" t="s">
        <v>243</v>
      </c>
      <c r="P267" s="38" t="s">
        <v>666</v>
      </c>
      <c r="W267" s="38"/>
      <c r="AC267" s="37"/>
      <c r="AD267" s="37"/>
      <c r="AF267" s="405" t="s">
        <v>960</v>
      </c>
      <c r="AG267" s="413">
        <v>4.44</v>
      </c>
      <c r="AH267" s="409">
        <v>8.11</v>
      </c>
      <c r="AI267" s="408">
        <v>0.245</v>
      </c>
      <c r="AJ267" s="409">
        <v>4.01</v>
      </c>
      <c r="AK267" s="408">
        <v>0.315</v>
      </c>
      <c r="AL267" s="412">
        <v>0.615</v>
      </c>
    </row>
    <row r="268" spans="13:38" ht="12.75">
      <c r="M268" s="50" t="s">
        <v>220</v>
      </c>
      <c r="N268" s="43" t="str">
        <f>"N.A."</f>
        <v>N.A.</v>
      </c>
      <c r="O268" s="38" t="s">
        <v>237</v>
      </c>
      <c r="P268" s="38" t="s">
        <v>26</v>
      </c>
      <c r="W268" s="38"/>
      <c r="AC268" s="37"/>
      <c r="AD268" s="37"/>
      <c r="AF268" s="405" t="s">
        <v>961</v>
      </c>
      <c r="AG268" s="413">
        <v>3.84</v>
      </c>
      <c r="AH268" s="409">
        <v>7.99</v>
      </c>
      <c r="AI268" s="408">
        <v>0.23</v>
      </c>
      <c r="AJ268" s="409">
        <v>4</v>
      </c>
      <c r="AK268" s="408">
        <v>0.255</v>
      </c>
      <c r="AL268" s="412">
        <v>0.555</v>
      </c>
    </row>
    <row r="269" spans="13:38" ht="12.75">
      <c r="M269" s="57" t="s">
        <v>248</v>
      </c>
      <c r="N269" s="398"/>
      <c r="O269" s="35"/>
      <c r="P269" s="398"/>
      <c r="W269" s="398"/>
      <c r="AC269" s="37"/>
      <c r="AD269" s="37"/>
      <c r="AF269" s="405" t="s">
        <v>962</v>
      </c>
      <c r="AG269" s="413">
        <v>2.96</v>
      </c>
      <c r="AH269" s="409">
        <v>7.89</v>
      </c>
      <c r="AI269" s="408">
        <v>0.17</v>
      </c>
      <c r="AJ269" s="409">
        <v>3.94</v>
      </c>
      <c r="AK269" s="408">
        <v>0.205</v>
      </c>
      <c r="AL269" s="412">
        <v>0.505</v>
      </c>
    </row>
    <row r="270" spans="13:38" ht="12.75">
      <c r="M270" s="50" t="s">
        <v>601</v>
      </c>
      <c r="N270" s="43" t="str">
        <f>"N.A."</f>
        <v>N.A.</v>
      </c>
      <c r="O270" s="38" t="s">
        <v>498</v>
      </c>
      <c r="P270" s="38" t="s">
        <v>665</v>
      </c>
      <c r="W270" s="38"/>
      <c r="AC270" s="37"/>
      <c r="AD270" s="37"/>
      <c r="AF270" s="405" t="s">
        <v>963</v>
      </c>
      <c r="AG270" s="413">
        <v>7.34</v>
      </c>
      <c r="AH270" s="409">
        <v>6.38</v>
      </c>
      <c r="AI270" s="408">
        <v>0.32</v>
      </c>
      <c r="AJ270" s="409">
        <v>6.08</v>
      </c>
      <c r="AK270" s="408">
        <v>0.455</v>
      </c>
      <c r="AL270" s="412">
        <v>0.705</v>
      </c>
    </row>
    <row r="271" spans="13:38" ht="12.75">
      <c r="M271" s="50" t="s">
        <v>602</v>
      </c>
      <c r="N271" s="43" t="str">
        <f>"N.A."</f>
        <v>N.A.</v>
      </c>
      <c r="O271" s="38" t="s">
        <v>243</v>
      </c>
      <c r="P271" s="38" t="s">
        <v>666</v>
      </c>
      <c r="W271" s="38"/>
      <c r="AC271" s="37"/>
      <c r="AD271" s="37"/>
      <c r="AF271" s="405" t="s">
        <v>964</v>
      </c>
      <c r="AG271" s="413">
        <v>5.87</v>
      </c>
      <c r="AH271" s="409">
        <v>6.2</v>
      </c>
      <c r="AI271" s="408">
        <v>0.26</v>
      </c>
      <c r="AJ271" s="409">
        <v>6.02</v>
      </c>
      <c r="AK271" s="408">
        <v>0.365</v>
      </c>
      <c r="AL271" s="412">
        <v>0.615</v>
      </c>
    </row>
    <row r="272" spans="13:38" ht="12.75">
      <c r="M272" s="50" t="s">
        <v>426</v>
      </c>
      <c r="N272" s="43" t="str">
        <f>"N.A."</f>
        <v>N.A.</v>
      </c>
      <c r="O272" s="38" t="s">
        <v>237</v>
      </c>
      <c r="P272" s="38" t="s">
        <v>249</v>
      </c>
      <c r="W272" s="38"/>
      <c r="AC272" s="37"/>
      <c r="AD272" s="37"/>
      <c r="AF272" s="405" t="s">
        <v>965</v>
      </c>
      <c r="AG272" s="413">
        <v>4.43</v>
      </c>
      <c r="AH272" s="409">
        <v>5.99</v>
      </c>
      <c r="AI272" s="408">
        <v>0.23</v>
      </c>
      <c r="AJ272" s="409">
        <v>5.99</v>
      </c>
      <c r="AK272" s="408">
        <v>0.26</v>
      </c>
      <c r="AL272" s="412">
        <v>0.51</v>
      </c>
    </row>
    <row r="273" spans="13:38" ht="12.75">
      <c r="M273" s="57" t="s">
        <v>218</v>
      </c>
      <c r="N273" s="398"/>
      <c r="O273" s="35"/>
      <c r="P273" s="398"/>
      <c r="Q273" s="111"/>
      <c r="W273" s="398"/>
      <c r="X273" s="111"/>
      <c r="AC273" s="37"/>
      <c r="AD273" s="37"/>
      <c r="AF273" s="405" t="s">
        <v>966</v>
      </c>
      <c r="AG273" s="413">
        <v>4.74</v>
      </c>
      <c r="AH273" s="409">
        <v>6.28</v>
      </c>
      <c r="AI273" s="408">
        <v>0.26</v>
      </c>
      <c r="AJ273" s="409">
        <v>4.03</v>
      </c>
      <c r="AK273" s="408">
        <v>0.405</v>
      </c>
      <c r="AL273" s="412">
        <v>0.655</v>
      </c>
    </row>
    <row r="274" spans="13:38" ht="12.75">
      <c r="M274" s="50" t="s">
        <v>601</v>
      </c>
      <c r="N274" s="43">
        <f>IF(AND($D$29=0,$D$30=0,$D$31=0),2*(($D$21-$D$28))*$B$46,"N.A.")</f>
        <v>1.775</v>
      </c>
      <c r="O274" s="38" t="s">
        <v>498</v>
      </c>
      <c r="P274" s="29" t="s">
        <v>516</v>
      </c>
      <c r="AC274" s="37"/>
      <c r="AD274" s="37"/>
      <c r="AF274" s="405" t="s">
        <v>967</v>
      </c>
      <c r="AG274" s="413">
        <v>3.55</v>
      </c>
      <c r="AH274" s="409">
        <v>6.03</v>
      </c>
      <c r="AI274" s="408">
        <v>0.23</v>
      </c>
      <c r="AJ274" s="409">
        <v>4</v>
      </c>
      <c r="AK274" s="408">
        <v>0.28</v>
      </c>
      <c r="AL274" s="412">
        <v>0.53</v>
      </c>
    </row>
    <row r="275" spans="13:38" ht="12.75">
      <c r="M275" s="50" t="s">
        <v>602</v>
      </c>
      <c r="N275" s="43">
        <f>IF(AND($D$29=0,$D$30=0,$D$31=0),$D$26*$B$46,"N.A.")</f>
        <v>4.26</v>
      </c>
      <c r="O275" s="38" t="s">
        <v>243</v>
      </c>
      <c r="P275" s="31" t="s">
        <v>605</v>
      </c>
      <c r="Q275" s="111"/>
      <c r="W275" s="31"/>
      <c r="X275" s="111"/>
      <c r="AF275" s="405" t="s">
        <v>968</v>
      </c>
      <c r="AG275" s="413">
        <v>2.68</v>
      </c>
      <c r="AH275" s="409">
        <v>5.9</v>
      </c>
      <c r="AI275" s="408">
        <v>0.17</v>
      </c>
      <c r="AJ275" s="409">
        <v>3.94</v>
      </c>
      <c r="AK275" s="408">
        <v>0.215</v>
      </c>
      <c r="AL275" s="412">
        <v>0.465</v>
      </c>
    </row>
    <row r="276" spans="13:38" ht="12.75">
      <c r="M276" s="50" t="s">
        <v>426</v>
      </c>
      <c r="N276" s="41">
        <f>IF($N$275="N.A.","N.A.",0.3*$D$12*$N$274+0.5*$N$6*$N$275)</f>
        <v>165.075</v>
      </c>
      <c r="O276" s="38" t="s">
        <v>237</v>
      </c>
      <c r="P276" s="31" t="s">
        <v>515</v>
      </c>
      <c r="Q276" s="111"/>
      <c r="W276" s="31"/>
      <c r="X276" s="111"/>
      <c r="AF276" s="405" t="s">
        <v>969</v>
      </c>
      <c r="AG276" s="413">
        <v>2.52</v>
      </c>
      <c r="AH276" s="409">
        <v>5.83</v>
      </c>
      <c r="AI276" s="408">
        <v>0.17</v>
      </c>
      <c r="AJ276" s="409">
        <v>3.94</v>
      </c>
      <c r="AK276" s="408">
        <v>0.195</v>
      </c>
      <c r="AL276" s="412">
        <v>0.445</v>
      </c>
    </row>
    <row r="277" spans="13:38" ht="12.75">
      <c r="M277" s="83" t="s">
        <v>667</v>
      </c>
      <c r="O277" s="34"/>
      <c r="AF277" s="405" t="s">
        <v>970</v>
      </c>
      <c r="AG277" s="413">
        <v>5.56</v>
      </c>
      <c r="AH277" s="409">
        <v>5.15</v>
      </c>
      <c r="AI277" s="408">
        <v>0.27</v>
      </c>
      <c r="AJ277" s="409">
        <v>5.03</v>
      </c>
      <c r="AK277" s="408">
        <v>0.43</v>
      </c>
      <c r="AL277" s="412">
        <v>0.73</v>
      </c>
    </row>
    <row r="278" spans="13:38" ht="12.75">
      <c r="M278" s="83" t="s">
        <v>668</v>
      </c>
      <c r="O278" s="34"/>
      <c r="AF278" s="405" t="s">
        <v>971</v>
      </c>
      <c r="AG278" s="413">
        <v>4.71</v>
      </c>
      <c r="AH278" s="409">
        <v>5.01</v>
      </c>
      <c r="AI278" s="408">
        <v>0.24</v>
      </c>
      <c r="AJ278" s="409">
        <v>5</v>
      </c>
      <c r="AK278" s="408">
        <v>0.36</v>
      </c>
      <c r="AL278" s="412">
        <v>0.66</v>
      </c>
    </row>
    <row r="279" spans="13:38" ht="12.75">
      <c r="M279" s="95" t="s">
        <v>326</v>
      </c>
      <c r="O279" s="34"/>
      <c r="R279" s="150" t="s">
        <v>472</v>
      </c>
      <c r="AC279" s="37"/>
      <c r="AD279" s="37"/>
      <c r="AF279" s="414" t="s">
        <v>972</v>
      </c>
      <c r="AG279" s="415">
        <v>3.83</v>
      </c>
      <c r="AH279" s="416">
        <v>4.16</v>
      </c>
      <c r="AI279" s="417">
        <v>0.28</v>
      </c>
      <c r="AJ279" s="416">
        <v>4.06</v>
      </c>
      <c r="AK279" s="417">
        <v>0.345</v>
      </c>
      <c r="AL279" s="418">
        <v>0.595</v>
      </c>
    </row>
    <row r="280" spans="13:38" ht="12.75">
      <c r="M280" s="29" t="s">
        <v>669</v>
      </c>
      <c r="O280" s="34"/>
      <c r="AC280" s="37"/>
      <c r="AD280" s="37"/>
      <c r="AF280" s="419" t="s">
        <v>973</v>
      </c>
      <c r="AG280" s="420">
        <v>3.63</v>
      </c>
      <c r="AH280" s="421">
        <v>12.5</v>
      </c>
      <c r="AI280" s="422">
        <v>0.155</v>
      </c>
      <c r="AJ280" s="423">
        <v>3.75</v>
      </c>
      <c r="AK280" s="422">
        <v>0.228</v>
      </c>
      <c r="AL280" s="424">
        <v>0.563</v>
      </c>
    </row>
    <row r="281" spans="13:38" ht="12.75">
      <c r="M281" s="33" t="s">
        <v>106</v>
      </c>
      <c r="N281" s="43" t="str">
        <f>IF(AND($D$29&gt;0,$D$30&gt;0,$D$30&lt;=0.5*$B$45,$D$31=0),$B$45-$D$30,IF(AND($D$29&gt;0,$D$30&gt;0,$D$31=0,$D$30&gt;0.5*$B$45),"ERROR","N.A."))</f>
        <v>N.A.</v>
      </c>
      <c r="O281" s="31" t="s">
        <v>268</v>
      </c>
      <c r="P281" s="38" t="s">
        <v>265</v>
      </c>
      <c r="W281" s="38"/>
      <c r="AC281" s="37"/>
      <c r="AD281" s="37"/>
      <c r="AF281" s="405" t="s">
        <v>974</v>
      </c>
      <c r="AG281" s="413">
        <v>3.4</v>
      </c>
      <c r="AH281" s="407">
        <v>12.5</v>
      </c>
      <c r="AI281" s="408">
        <v>0.155</v>
      </c>
      <c r="AJ281" s="409">
        <v>3.5</v>
      </c>
      <c r="AK281" s="408">
        <v>0.211</v>
      </c>
      <c r="AL281" s="425">
        <v>0.563</v>
      </c>
    </row>
    <row r="282" spans="13:38" ht="12.75">
      <c r="M282" s="33" t="s">
        <v>75</v>
      </c>
      <c r="N282" s="84" t="str">
        <f>IF(AND($D$29&gt;0,$D$30&gt;0,$D$30&lt;=0.5*$B$45,$D$31=0),$N$281*$B$46,IF(AND($D$29&gt;0,$D$30&gt;0,$D$31=0,$D$30&gt;0.5*$B$45),"ERROR","N.A."))</f>
        <v>N.A.</v>
      </c>
      <c r="O282" s="38" t="s">
        <v>243</v>
      </c>
      <c r="P282" s="38" t="s">
        <v>1097</v>
      </c>
      <c r="W282" s="38"/>
      <c r="AC282" s="37"/>
      <c r="AD282" s="37"/>
      <c r="AF282" s="405" t="s">
        <v>975</v>
      </c>
      <c r="AG282" s="413">
        <v>3.47</v>
      </c>
      <c r="AH282" s="407">
        <v>12</v>
      </c>
      <c r="AI282" s="408">
        <v>0.177</v>
      </c>
      <c r="AJ282" s="409">
        <v>3.07</v>
      </c>
      <c r="AK282" s="408">
        <v>0.225</v>
      </c>
      <c r="AL282" s="425">
        <v>0.563</v>
      </c>
    </row>
    <row r="283" spans="13:38" ht="12.75">
      <c r="M283" s="33" t="s">
        <v>617</v>
      </c>
      <c r="N283" s="61" t="str">
        <f>IF(AND($D$29&gt;0,$D$30&gt;0,$D$30&lt;=0.5*$B$45,$D$31=0),($N$281-$B$49)/$B$46,IF(AND($D$29&gt;0,$D$30&gt;0,$D$31=0,$D$30&gt;0.5*$B$45),"ERROR","N.A."))</f>
        <v>N.A.</v>
      </c>
      <c r="O283" s="34"/>
      <c r="P283" s="29" t="s">
        <v>670</v>
      </c>
      <c r="AC283" s="37"/>
      <c r="AD283" s="37"/>
      <c r="AF283" s="405" t="s">
        <v>976</v>
      </c>
      <c r="AG283" s="413">
        <v>3.18</v>
      </c>
      <c r="AH283" s="407">
        <v>12</v>
      </c>
      <c r="AI283" s="408">
        <v>0.16</v>
      </c>
      <c r="AJ283" s="409">
        <v>3.07</v>
      </c>
      <c r="AK283" s="408">
        <v>0.21</v>
      </c>
      <c r="AL283" s="425">
        <v>0.563</v>
      </c>
    </row>
    <row r="284" spans="13:38" ht="12.75">
      <c r="M284" s="33" t="s">
        <v>619</v>
      </c>
      <c r="N284" s="114" t="str">
        <f>IF(AND($D$29&gt;0,$D$30&gt;0,$D$30&lt;=0.5*$B$45,$D$31=0),5,IF(AND($D$29&gt;0,$D$30&gt;0,$D$31=0,$D$30&gt;0.5*$B$45),"ERROR","N.A."))</f>
        <v>N.A.</v>
      </c>
      <c r="O284" s="34"/>
      <c r="P284" s="29" t="s">
        <v>620</v>
      </c>
      <c r="AC284" s="37"/>
      <c r="AD284" s="37"/>
      <c r="AF284" s="405" t="s">
        <v>977</v>
      </c>
      <c r="AG284" s="413">
        <v>2.95</v>
      </c>
      <c r="AH284" s="407">
        <v>12</v>
      </c>
      <c r="AI284" s="408">
        <v>0.149</v>
      </c>
      <c r="AJ284" s="409">
        <v>3.25</v>
      </c>
      <c r="AK284" s="408">
        <v>0.18</v>
      </c>
      <c r="AL284" s="425">
        <v>0.5</v>
      </c>
    </row>
    <row r="285" spans="13:38" ht="12.75">
      <c r="M285" s="33" t="s">
        <v>621</v>
      </c>
      <c r="N285" s="41" t="str">
        <f>IF(AND($D$29&gt;0,$D$30&gt;0,$D$30&lt;=0.5*$B$45,$D$31=0),IF($N$283&lt;=2.24*SQRT(29000/$D$12),1,IF($N$283&lt;=1.1*SQRT($N$284*29000/$D$12),1,IF($N$283&gt;1.37*SQRT($N$284*29000/$D$12),(1.51*29000*$N$284)/($N$283^2*$D$12),(1.1*SQRT($N$284*29000/$D$12))/$N$283))),IF(AND($D$29&gt;0,$D$30&gt;0,$D$31=0,$D$30&gt;0.5*$B$45),"ERROR","N.A."))</f>
        <v>N.A.</v>
      </c>
      <c r="O285" s="34"/>
      <c r="P285" s="29" t="s">
        <v>650</v>
      </c>
      <c r="AC285" s="37"/>
      <c r="AD285" s="37"/>
      <c r="AF285" s="405" t="s">
        <v>978</v>
      </c>
      <c r="AG285" s="413">
        <v>2.65</v>
      </c>
      <c r="AH285" s="407">
        <v>10</v>
      </c>
      <c r="AI285" s="408">
        <v>0.157</v>
      </c>
      <c r="AJ285" s="409">
        <v>2.69</v>
      </c>
      <c r="AK285" s="408">
        <v>0.206</v>
      </c>
      <c r="AL285" s="425">
        <v>0.563</v>
      </c>
    </row>
    <row r="286" spans="13:38" ht="12.75">
      <c r="M286" s="33" t="s">
        <v>252</v>
      </c>
      <c r="N286" s="41" t="str">
        <f>IF(AND($D$29&gt;0,$D$30&gt;0,$D$30&lt;=0.5*$B$45,$D$31=0),(1/1.5)*0.6*$D$12*$N$285*$N$282,IF(AND($D$29&gt;0,$D$30&gt;0,$D$31=0,$D$30&gt;0.5*$B$45),"ERROR","N.A."))</f>
        <v>N.A.</v>
      </c>
      <c r="O286" s="31" t="s">
        <v>237</v>
      </c>
      <c r="P286" s="29" t="s">
        <v>671</v>
      </c>
      <c r="AF286" s="405" t="s">
        <v>979</v>
      </c>
      <c r="AG286" s="413">
        <v>2.37</v>
      </c>
      <c r="AH286" s="407">
        <v>10</v>
      </c>
      <c r="AI286" s="408">
        <v>0.141</v>
      </c>
      <c r="AJ286" s="409">
        <v>2.69</v>
      </c>
      <c r="AK286" s="408">
        <v>0.182</v>
      </c>
      <c r="AL286" s="425">
        <v>0.563</v>
      </c>
    </row>
    <row r="287" spans="13:38" ht="12.75">
      <c r="M287" s="29" t="s">
        <v>672</v>
      </c>
      <c r="AF287" s="405" t="s">
        <v>980</v>
      </c>
      <c r="AG287" s="413">
        <v>2.22</v>
      </c>
      <c r="AH287" s="407">
        <v>10</v>
      </c>
      <c r="AI287" s="408">
        <v>0.13</v>
      </c>
      <c r="AJ287" s="409">
        <v>2.69</v>
      </c>
      <c r="AK287" s="408">
        <v>0.173</v>
      </c>
      <c r="AL287" s="425">
        <v>0.438</v>
      </c>
    </row>
    <row r="288" spans="13:38" ht="12.75">
      <c r="M288" s="50" t="s">
        <v>253</v>
      </c>
      <c r="N288" s="43" t="str">
        <f>$N$282</f>
        <v>N.A.</v>
      </c>
      <c r="O288" s="38" t="s">
        <v>243</v>
      </c>
      <c r="P288" s="31" t="s">
        <v>544</v>
      </c>
      <c r="W288" s="31"/>
      <c r="AF288" s="405" t="s">
        <v>981</v>
      </c>
      <c r="AG288" s="413">
        <v>1.92</v>
      </c>
      <c r="AH288" s="409">
        <v>8</v>
      </c>
      <c r="AI288" s="408">
        <v>0.135</v>
      </c>
      <c r="AJ288" s="409">
        <v>2.28</v>
      </c>
      <c r="AK288" s="408">
        <v>0.189</v>
      </c>
      <c r="AL288" s="425">
        <v>0.563</v>
      </c>
    </row>
    <row r="289" spans="13:38" ht="12.75">
      <c r="M289" s="33" t="s">
        <v>254</v>
      </c>
      <c r="N289" s="41" t="str">
        <f>IF(AND($D$29&gt;0,$D$30&gt;0,$D$30&lt;=0.5*$B$45,$D$31=0),(1/2)*0.6*$N$6*$N$288,IF(AND($D$29&gt;0,$D$30&gt;0,$D$31=0,$D$30&gt;0.5*$B$45),"ERROR","N.A."))</f>
        <v>N.A.</v>
      </c>
      <c r="O289" s="31" t="s">
        <v>237</v>
      </c>
      <c r="P289" s="29" t="s">
        <v>664</v>
      </c>
      <c r="AF289" s="405" t="s">
        <v>982</v>
      </c>
      <c r="AG289" s="413">
        <v>1.82</v>
      </c>
      <c r="AH289" s="409">
        <v>8</v>
      </c>
      <c r="AI289" s="408">
        <v>0.129</v>
      </c>
      <c r="AJ289" s="409">
        <v>2.28</v>
      </c>
      <c r="AK289" s="408">
        <v>0.177</v>
      </c>
      <c r="AL289" s="425">
        <v>0.438</v>
      </c>
    </row>
    <row r="290" spans="13:38" ht="12.75">
      <c r="M290" s="57" t="s">
        <v>414</v>
      </c>
      <c r="O290" s="34"/>
      <c r="AF290" s="405" t="s">
        <v>983</v>
      </c>
      <c r="AG290" s="413">
        <v>1.29</v>
      </c>
      <c r="AH290" s="409">
        <v>6</v>
      </c>
      <c r="AI290" s="408">
        <v>0.114</v>
      </c>
      <c r="AJ290" s="409">
        <v>1.84</v>
      </c>
      <c r="AK290" s="408">
        <v>0.171</v>
      </c>
      <c r="AL290" s="425">
        <v>0.375</v>
      </c>
    </row>
    <row r="291" spans="13:38" ht="12.75">
      <c r="M291" s="50" t="s">
        <v>35</v>
      </c>
      <c r="N291" s="43" t="str">
        <f>IF(AND($D$29&gt;0,$D$30&gt;0,$D$30&lt;=0.5*$B$45,$D$31=0),$B$44-($B$47*$B$48+($D$30-$B$48)*$B$46),IF(AND($D$29&gt;0,$D$30&gt;0,$D$31=0,$D$30&gt;0.5*$B$45),"ERROR","N.A."))</f>
        <v>N.A.</v>
      </c>
      <c r="O291" s="38" t="s">
        <v>243</v>
      </c>
      <c r="P291" s="48" t="s">
        <v>250</v>
      </c>
      <c r="W291" s="48"/>
      <c r="AF291" s="405" t="s">
        <v>984</v>
      </c>
      <c r="AG291" s="413">
        <v>1.09</v>
      </c>
      <c r="AH291" s="409">
        <v>5.92</v>
      </c>
      <c r="AI291" s="426">
        <v>0.098</v>
      </c>
      <c r="AJ291" s="409">
        <v>2</v>
      </c>
      <c r="AK291" s="408">
        <v>0.129</v>
      </c>
      <c r="AL291" s="425">
        <v>0.313</v>
      </c>
    </row>
    <row r="292" spans="13:38" ht="12.75">
      <c r="M292" s="50" t="s">
        <v>36</v>
      </c>
      <c r="N292" s="61" t="str">
        <f>IF(AND($D$29&gt;0,$D$30&gt;0,$D$30&lt;=0.5*$B$45,$D$31=0),(0.6*$D$12*$N$291)*IF(1-($D$16/$N$286)^2&gt;0,(1-($D$16/$N$286)^2),0.0001),IF(AND($D$29&gt;0,$D$30&gt;0,$D$31=0,$D$30&gt;0.5*$B$45),"ERROR","N.A."))</f>
        <v>N.A.</v>
      </c>
      <c r="O292" s="38" t="s">
        <v>237</v>
      </c>
      <c r="P292" s="38" t="s">
        <v>110</v>
      </c>
      <c r="Q292" s="57"/>
      <c r="W292" s="38"/>
      <c r="X292" s="57"/>
      <c r="AF292" s="405" t="s">
        <v>985</v>
      </c>
      <c r="AG292" s="413">
        <v>5.56</v>
      </c>
      <c r="AH292" s="409">
        <v>5</v>
      </c>
      <c r="AI292" s="408">
        <v>0.316</v>
      </c>
      <c r="AJ292" s="409">
        <v>5</v>
      </c>
      <c r="AK292" s="408">
        <v>0.416</v>
      </c>
      <c r="AL292" s="425">
        <v>0.813</v>
      </c>
    </row>
    <row r="293" spans="13:38" ht="12.75">
      <c r="M293" s="29" t="s">
        <v>52</v>
      </c>
      <c r="O293" s="34"/>
      <c r="AF293" s="405" t="s">
        <v>986</v>
      </c>
      <c r="AG293" s="413">
        <v>1.75</v>
      </c>
      <c r="AH293" s="409">
        <v>3.8</v>
      </c>
      <c r="AI293" s="408">
        <v>0.13</v>
      </c>
      <c r="AJ293" s="409">
        <v>3.8</v>
      </c>
      <c r="AK293" s="408">
        <v>0.16</v>
      </c>
      <c r="AL293" s="425">
        <v>0.5</v>
      </c>
    </row>
    <row r="294" spans="13:38" ht="12.75">
      <c r="M294" s="33" t="s">
        <v>601</v>
      </c>
      <c r="N294" s="43" t="str">
        <f>IF(AND($D$29&gt;0,$D$30&gt;0,$D$30&lt;=0.5*$B$45,$D$31=0),(($D$27-$D$30)+$D$26)*$B$46,IF(AND($D$29&gt;0,$D$30&gt;0,$D$31=0,$D$30&gt;0.5*$B$45),"ERROR","N.A."))</f>
        <v>N.A.</v>
      </c>
      <c r="O294" s="31" t="s">
        <v>243</v>
      </c>
      <c r="P294" s="38" t="s">
        <v>606</v>
      </c>
      <c r="W294" s="38"/>
      <c r="AF294" s="405" t="s">
        <v>987</v>
      </c>
      <c r="AG294" s="413">
        <v>1.27</v>
      </c>
      <c r="AH294" s="409">
        <v>4</v>
      </c>
      <c r="AI294" s="408">
        <v>0.115</v>
      </c>
      <c r="AJ294" s="409">
        <v>2.25</v>
      </c>
      <c r="AK294" s="408">
        <v>0.17</v>
      </c>
      <c r="AL294" s="425">
        <v>0.563</v>
      </c>
    </row>
    <row r="295" spans="13:38" ht="12.75">
      <c r="M295" s="33" t="s">
        <v>602</v>
      </c>
      <c r="N295" s="43" t="str">
        <f>IF(AND($D$29&gt;0,$D$30&gt;0,$D$30&lt;=0.5*$B$45,$D$31=0),($D$21-$D$28)*$B$46,IF(AND($D$29&gt;0,$D$30&gt;0,$D$31=0,$D$30&gt;0.5*$B$45),"ERROR","N.A."))</f>
        <v>N.A.</v>
      </c>
      <c r="O295" s="31" t="s">
        <v>243</v>
      </c>
      <c r="P295" s="29" t="s">
        <v>546</v>
      </c>
      <c r="AF295" s="405" t="s">
        <v>988</v>
      </c>
      <c r="AG295" s="413">
        <v>1.01</v>
      </c>
      <c r="AH295" s="409">
        <v>4</v>
      </c>
      <c r="AI295" s="426">
        <v>0.092</v>
      </c>
      <c r="AJ295" s="409">
        <v>2.25</v>
      </c>
      <c r="AK295" s="408">
        <v>0.13</v>
      </c>
      <c r="AL295" s="425">
        <v>0.5</v>
      </c>
    </row>
    <row r="296" spans="13:38" ht="12.75">
      <c r="M296" s="33" t="s">
        <v>220</v>
      </c>
      <c r="N296" s="41" t="str">
        <f>IF(AND($D$29&gt;0,$D$30&gt;0,$D$30&lt;=0.5*$B$45,$D$31=0),0.3*$D$12*$N$294+0.5*$N$6*$N$295,IF(AND($D$29&gt;0,$D$30&gt;0,$D$31=0,$D$30&gt;0.5*$B$45),"ERROR","N.A."))</f>
        <v>N.A.</v>
      </c>
      <c r="O296" s="31" t="s">
        <v>237</v>
      </c>
      <c r="P296" s="31" t="s">
        <v>545</v>
      </c>
      <c r="W296" s="31"/>
      <c r="AF296" s="405" t="s">
        <v>989</v>
      </c>
      <c r="AG296" s="413">
        <v>1.01</v>
      </c>
      <c r="AH296" s="409">
        <v>4</v>
      </c>
      <c r="AI296" s="426">
        <v>0.092</v>
      </c>
      <c r="AJ296" s="409">
        <v>2.25</v>
      </c>
      <c r="AK296" s="408">
        <v>0.13</v>
      </c>
      <c r="AL296" s="425">
        <v>0.5</v>
      </c>
    </row>
    <row r="297" spans="13:38" ht="12.75">
      <c r="M297" s="57" t="s">
        <v>504</v>
      </c>
      <c r="O297" s="34"/>
      <c r="AF297" s="414" t="s">
        <v>990</v>
      </c>
      <c r="AG297" s="427">
        <v>0.914</v>
      </c>
      <c r="AH297" s="416">
        <v>3</v>
      </c>
      <c r="AI297" s="428">
        <v>0.09</v>
      </c>
      <c r="AJ297" s="416">
        <v>2.25</v>
      </c>
      <c r="AK297" s="417">
        <v>0.13</v>
      </c>
      <c r="AL297" s="429">
        <v>0.5</v>
      </c>
    </row>
    <row r="298" spans="13:38" ht="12.75">
      <c r="M298" s="50" t="s">
        <v>601</v>
      </c>
      <c r="N298" s="43" t="str">
        <f>IF(AND($D$29&gt;0,$D$30&gt;0,$D$30&lt;=0.5*$B$45,$D$31=0),($D$21-$D$28)*$B$46,IF(AND($D$29&gt;0,$D$30&gt;0,$D$31=0,$D$30&gt;0.5*$B$45),"ERROR","N.A."))</f>
        <v>N.A.</v>
      </c>
      <c r="O298" s="38" t="s">
        <v>498</v>
      </c>
      <c r="P298" s="29" t="s">
        <v>547</v>
      </c>
      <c r="AF298" s="419" t="s">
        <v>991</v>
      </c>
      <c r="AG298" s="430">
        <v>35.5</v>
      </c>
      <c r="AH298" s="421">
        <v>24.5</v>
      </c>
      <c r="AI298" s="422">
        <v>0.8</v>
      </c>
      <c r="AJ298" s="423">
        <v>8.05</v>
      </c>
      <c r="AK298" s="423">
        <v>1.09</v>
      </c>
      <c r="AL298" s="431">
        <v>2</v>
      </c>
    </row>
    <row r="299" spans="13:38" ht="12.75">
      <c r="M299" s="50" t="s">
        <v>602</v>
      </c>
      <c r="N299" s="43" t="str">
        <f>IF(AND($D$29&gt;0,$D$30&gt;0,$D$30&lt;=0.5*$B$45,$D$31=0),(($D$27-$D$30)+$D$26)*$B$46,IF(AND($D$29&gt;0,$D$30&gt;0,$D$31=0,$D$30&gt;0.5*$B$45),"ERROR","N.A."))</f>
        <v>N.A.</v>
      </c>
      <c r="O299" s="38" t="s">
        <v>243</v>
      </c>
      <c r="P299" s="38" t="s">
        <v>607</v>
      </c>
      <c r="Q299" s="57"/>
      <c r="W299" s="38"/>
      <c r="X299" s="57"/>
      <c r="AF299" s="405" t="s">
        <v>992</v>
      </c>
      <c r="AG299" s="406">
        <v>31.1</v>
      </c>
      <c r="AH299" s="407">
        <v>24.5</v>
      </c>
      <c r="AI299" s="408">
        <v>0.62</v>
      </c>
      <c r="AJ299" s="409">
        <v>7.87</v>
      </c>
      <c r="AK299" s="409">
        <v>1.09</v>
      </c>
      <c r="AL299" s="432">
        <v>2</v>
      </c>
    </row>
    <row r="300" spans="13:38" ht="12.75">
      <c r="M300" s="33" t="s">
        <v>426</v>
      </c>
      <c r="N300" s="41" t="str">
        <f>IF(AND($D$29&gt;0,$D$30&gt;0,$D$30&lt;=0.5*$B$45,$D$31=0),(0.3*$D$12*$N$298+0.5*$N$6*$N$299)*(1-($D$16/$N$296)^2),IF(AND($D$29&gt;0,$D$30&gt;0,$D$31=0,$D$30&gt;0.5*$B$45),"ERROR","N.A."))</f>
        <v>N.A.</v>
      </c>
      <c r="O300" s="31" t="s">
        <v>237</v>
      </c>
      <c r="P300" s="31" t="s">
        <v>548</v>
      </c>
      <c r="Q300" s="57"/>
      <c r="R300" s="57"/>
      <c r="W300" s="31"/>
      <c r="X300" s="57"/>
      <c r="AF300" s="405" t="s">
        <v>993</v>
      </c>
      <c r="AG300" s="406">
        <v>29.3</v>
      </c>
      <c r="AH300" s="407">
        <v>24</v>
      </c>
      <c r="AI300" s="408">
        <v>0.745</v>
      </c>
      <c r="AJ300" s="409">
        <v>7.25</v>
      </c>
      <c r="AK300" s="408">
        <v>0.87</v>
      </c>
      <c r="AL300" s="432">
        <v>1.75</v>
      </c>
    </row>
    <row r="301" spans="13:38" ht="12.75">
      <c r="M301" s="57" t="s">
        <v>24</v>
      </c>
      <c r="O301" s="34"/>
      <c r="AF301" s="405" t="s">
        <v>994</v>
      </c>
      <c r="AG301" s="406">
        <v>26.5</v>
      </c>
      <c r="AH301" s="407">
        <v>24</v>
      </c>
      <c r="AI301" s="408">
        <v>0.625</v>
      </c>
      <c r="AJ301" s="409">
        <v>7.13</v>
      </c>
      <c r="AK301" s="408">
        <v>0.87</v>
      </c>
      <c r="AL301" s="432">
        <v>1.75</v>
      </c>
    </row>
    <row r="302" spans="13:38" ht="12.75">
      <c r="M302" s="50" t="s">
        <v>601</v>
      </c>
      <c r="N302" s="43" t="str">
        <f>IF(AND($D$29&gt;0,$D$30&gt;0,$D$30&lt;=0.5*$B$45,$D$31=0),2*($D$21-$D$28)*$B$46,IF(AND($D$29&gt;0,$D$30&gt;0,$D$31=0,$D$30&gt;0.5*$B$45),"ERROR","N.A."))</f>
        <v>N.A.</v>
      </c>
      <c r="O302" s="38" t="s">
        <v>498</v>
      </c>
      <c r="P302" s="29" t="s">
        <v>516</v>
      </c>
      <c r="AF302" s="405" t="s">
        <v>995</v>
      </c>
      <c r="AG302" s="406">
        <v>23.5</v>
      </c>
      <c r="AH302" s="407">
        <v>24</v>
      </c>
      <c r="AI302" s="408">
        <v>0.5</v>
      </c>
      <c r="AJ302" s="409">
        <v>7</v>
      </c>
      <c r="AK302" s="408">
        <v>0.87</v>
      </c>
      <c r="AL302" s="432">
        <v>1.75</v>
      </c>
    </row>
    <row r="303" spans="13:38" ht="12.75">
      <c r="M303" s="50" t="s">
        <v>602</v>
      </c>
      <c r="N303" s="43" t="str">
        <f>IF(AND($D$29&gt;0,$D$30&gt;0,$D$30&lt;=0.5*$B$45,$D$31=0),$D$26*$B$46,IF(AND($D$29&gt;0,$D$30&gt;0,$D$31=0,$D$30&gt;0.5*$B$45),"ERROR","N.A."))</f>
        <v>N.A.</v>
      </c>
      <c r="O303" s="38" t="s">
        <v>243</v>
      </c>
      <c r="P303" s="31" t="s">
        <v>605</v>
      </c>
      <c r="Q303" s="111"/>
      <c r="W303" s="31"/>
      <c r="X303" s="111"/>
      <c r="AF303" s="405" t="s">
        <v>996</v>
      </c>
      <c r="AG303" s="406">
        <v>28.2</v>
      </c>
      <c r="AH303" s="407">
        <v>20.3</v>
      </c>
      <c r="AI303" s="408">
        <v>0.8</v>
      </c>
      <c r="AJ303" s="409">
        <v>7.2</v>
      </c>
      <c r="AK303" s="408">
        <v>0.92</v>
      </c>
      <c r="AL303" s="432">
        <v>1.75</v>
      </c>
    </row>
    <row r="304" spans="13:38" ht="12.75">
      <c r="M304" s="50" t="s">
        <v>426</v>
      </c>
      <c r="N304" s="41" t="str">
        <f>IF(AND($D$29&gt;0,$D$30&gt;0,$D$30&lt;=0.5*$B$45,$D$31=0),IF($N$303&gt;"N.A.","N.A.",0.3*$D$12*$N$302+0.5*$N$6*$N$303),IF(AND($D$29&gt;0,$D$30&gt;0,$D$31=0,$D$30&gt;0.5*$B$45),"ERROR","N.A."))</f>
        <v>N.A.</v>
      </c>
      <c r="O304" s="38" t="s">
        <v>237</v>
      </c>
      <c r="P304" s="31" t="s">
        <v>515</v>
      </c>
      <c r="Q304" s="111"/>
      <c r="W304" s="31"/>
      <c r="X304" s="111"/>
      <c r="AF304" s="405" t="s">
        <v>997</v>
      </c>
      <c r="AG304" s="406">
        <v>25.3</v>
      </c>
      <c r="AH304" s="407">
        <v>20.3</v>
      </c>
      <c r="AI304" s="408">
        <v>0.66</v>
      </c>
      <c r="AJ304" s="409">
        <v>7.06</v>
      </c>
      <c r="AK304" s="408">
        <v>0.92</v>
      </c>
      <c r="AL304" s="432">
        <v>1.75</v>
      </c>
    </row>
    <row r="305" spans="13:38" ht="12.75">
      <c r="M305" s="57" t="s">
        <v>673</v>
      </c>
      <c r="O305" s="34"/>
      <c r="AF305" s="405" t="s">
        <v>998</v>
      </c>
      <c r="AG305" s="406">
        <v>22</v>
      </c>
      <c r="AH305" s="407">
        <v>20</v>
      </c>
      <c r="AI305" s="408">
        <v>0.635</v>
      </c>
      <c r="AJ305" s="409">
        <v>6.39</v>
      </c>
      <c r="AK305" s="408">
        <v>0.795</v>
      </c>
      <c r="AL305" s="432">
        <v>1.63</v>
      </c>
    </row>
    <row r="306" spans="13:38" ht="12.75">
      <c r="M306" s="33" t="s">
        <v>106</v>
      </c>
      <c r="N306" s="43" t="str">
        <f>IF(AND($D$29&gt;0,$D$30&gt;0,$D$30&lt;=0.5*$B$45,$D$31=0),$N$281,IF(AND($D$29&gt;0,$D$30&gt;0,$D$31=0,$D$30&gt;0.5*$B$45),"ERROR","N.A."))</f>
        <v>N.A.</v>
      </c>
      <c r="O306" s="31" t="s">
        <v>268</v>
      </c>
      <c r="P306" s="38" t="s">
        <v>265</v>
      </c>
      <c r="Q306" s="57"/>
      <c r="W306" s="38"/>
      <c r="X306" s="57"/>
      <c r="AF306" s="405" t="s">
        <v>999</v>
      </c>
      <c r="AG306" s="406">
        <v>19.4</v>
      </c>
      <c r="AH306" s="407">
        <v>20</v>
      </c>
      <c r="AI306" s="408">
        <v>0.505</v>
      </c>
      <c r="AJ306" s="409">
        <v>6.26</v>
      </c>
      <c r="AK306" s="408">
        <v>0.795</v>
      </c>
      <c r="AL306" s="432">
        <v>1.63</v>
      </c>
    </row>
    <row r="307" spans="13:38" ht="12.75">
      <c r="M307" s="33" t="s">
        <v>325</v>
      </c>
      <c r="N307" s="43" t="str">
        <f>IF(AND($D$29&gt;0,$D$30&gt;0,$D$30&lt;=0.5*$B$45,$D$31=0),$D$29+$D$28,IF(AND($D$29&gt;0,$D$30&gt;0,$D$31=0,$D$30&gt;0.5*$B$45),"ERROR","N.A."))</f>
        <v>N.A.</v>
      </c>
      <c r="O307" s="31" t="s">
        <v>268</v>
      </c>
      <c r="P307" s="38" t="s">
        <v>6</v>
      </c>
      <c r="Q307" s="57"/>
      <c r="W307" s="38"/>
      <c r="X307" s="57"/>
      <c r="AF307" s="405" t="s">
        <v>1000</v>
      </c>
      <c r="AG307" s="406">
        <v>20.5</v>
      </c>
      <c r="AH307" s="407">
        <v>18</v>
      </c>
      <c r="AI307" s="408">
        <v>0.711</v>
      </c>
      <c r="AJ307" s="409">
        <v>6.25</v>
      </c>
      <c r="AK307" s="408">
        <v>0.691</v>
      </c>
      <c r="AL307" s="432">
        <v>1.5</v>
      </c>
    </row>
    <row r="308" spans="13:38" ht="12.75">
      <c r="M308" s="33" t="s">
        <v>1131</v>
      </c>
      <c r="N308" s="43" t="str">
        <f>IF(AND($D$29&gt;0,$D$30&gt;0,$D$30&lt;=0.5*$B$45,$D$31=0),($B$47*$B$48^2/2+($N$306-$B$48)*$B$46*($B$48+($N$306-$B$48)/2))/(($N$306-$B$48)*$B$46+$B$47*$B$48),IF(AND($D$29&gt;0,$D$30&gt;0,$D$31=0,$D$30&gt;0.5*$B$45),"ERROR","N.A."))</f>
        <v>N.A.</v>
      </c>
      <c r="O308" s="31" t="s">
        <v>268</v>
      </c>
      <c r="P308" s="38" t="s">
        <v>266</v>
      </c>
      <c r="Q308" s="57"/>
      <c r="W308" s="38"/>
      <c r="X308" s="57"/>
      <c r="AF308" s="405" t="s">
        <v>1001</v>
      </c>
      <c r="AG308" s="406">
        <v>16</v>
      </c>
      <c r="AH308" s="407">
        <v>18</v>
      </c>
      <c r="AI308" s="408">
        <v>0.461</v>
      </c>
      <c r="AJ308" s="409">
        <v>6</v>
      </c>
      <c r="AK308" s="408">
        <v>0.691</v>
      </c>
      <c r="AL308" s="432">
        <v>1.5</v>
      </c>
    </row>
    <row r="309" spans="13:38" ht="12.75">
      <c r="M309" s="33" t="s">
        <v>424</v>
      </c>
      <c r="N309" s="61" t="str">
        <f>IF(AND($D$29&gt;0,$D$30&gt;0,$D$30&lt;=0.5*$B$45,$D$31=0),$B$47*$B$48^3/12+$B$47*$B$48*($N$308-$B$48/2)^2+$B$46*($N$306-$B$48)^3/12+($N$306-$B$48)*$B$46*($B$48+($N$306-$B$48)/2-$N$308)^2,IF(AND($D$29&gt;0,$D$30&gt;0,$D$31=0,$D$30&gt;0.5*$B$45),"ERROR","N.A."))</f>
        <v>N.A.</v>
      </c>
      <c r="O309" s="31" t="s">
        <v>499</v>
      </c>
      <c r="P309" s="38" t="s">
        <v>54</v>
      </c>
      <c r="Q309" s="57"/>
      <c r="W309" s="38"/>
      <c r="X309" s="57"/>
      <c r="AF309" s="405" t="s">
        <v>1002</v>
      </c>
      <c r="AG309" s="406">
        <v>14.7</v>
      </c>
      <c r="AH309" s="407">
        <v>15</v>
      </c>
      <c r="AI309" s="408">
        <v>0.55</v>
      </c>
      <c r="AJ309" s="409">
        <v>5.64</v>
      </c>
      <c r="AK309" s="408">
        <v>0.622</v>
      </c>
      <c r="AL309" s="432">
        <v>1.38</v>
      </c>
    </row>
    <row r="310" spans="13:38" ht="12.75">
      <c r="M310" s="33" t="s">
        <v>191</v>
      </c>
      <c r="N310" s="61" t="str">
        <f>IF(AND($D$29&gt;0,$D$30&gt;0,$D$30&lt;=0.5*$B$45,$D$31=0),$N$309/($N$306-$N$308),IF(AND($D$29&gt;0,$D$30&gt;0,$D$31=0,$D$30&gt;0.5*$B$45),"ERROR","N.A."))</f>
        <v>N.A.</v>
      </c>
      <c r="O310" s="31" t="s">
        <v>498</v>
      </c>
      <c r="P310" s="57" t="s">
        <v>318</v>
      </c>
      <c r="Q310" s="57"/>
      <c r="W310" s="57"/>
      <c r="X310" s="57"/>
      <c r="AF310" s="405" t="s">
        <v>1003</v>
      </c>
      <c r="AG310" s="406">
        <v>12.6</v>
      </c>
      <c r="AH310" s="407">
        <v>15</v>
      </c>
      <c r="AI310" s="408">
        <v>0.411</v>
      </c>
      <c r="AJ310" s="409">
        <v>5.5</v>
      </c>
      <c r="AK310" s="408">
        <v>0.622</v>
      </c>
      <c r="AL310" s="432">
        <v>1.38</v>
      </c>
    </row>
    <row r="311" spans="13:38" ht="12.75">
      <c r="M311" s="33" t="s">
        <v>107</v>
      </c>
      <c r="N311" s="61" t="str">
        <f>IF(AND($D$29&gt;0,$D$30&gt;0,$D$30&lt;=0.5*$B$45,$D$31=0),(1/2)*$N$6*IF(1-$D$17/(0.6*$D$12*$N$291)&gt;0,(1-$D$17/(0.6*$D$12*$N$291)),0.0001),IF(AND($D$29&gt;0,$D$30&gt;0,$D$31=0,$D$30&gt;0.5*$B$45),"ERROR","N.A."))</f>
        <v>N.A.</v>
      </c>
      <c r="O311" s="38" t="s">
        <v>245</v>
      </c>
      <c r="P311" s="38" t="s">
        <v>1255</v>
      </c>
      <c r="W311" s="38"/>
      <c r="AF311" s="405" t="s">
        <v>1004</v>
      </c>
      <c r="AG311" s="406">
        <v>14.6</v>
      </c>
      <c r="AH311" s="407">
        <v>12</v>
      </c>
      <c r="AI311" s="408">
        <v>0.687</v>
      </c>
      <c r="AJ311" s="409">
        <v>5.48</v>
      </c>
      <c r="AK311" s="408">
        <v>0.659</v>
      </c>
      <c r="AL311" s="432">
        <v>1.44</v>
      </c>
    </row>
    <row r="312" spans="13:38" ht="12.75">
      <c r="M312" s="33" t="s">
        <v>104</v>
      </c>
      <c r="N312" s="61" t="str">
        <f>IF(AND($D$29&gt;0,$D$30&gt;0,$D$29&lt;=$B$45/2,$D$31=0),$N$311*$N$310/$N$307,IF(AND($D$29&gt;0,$D$30&gt;0,$D$31=0,$D$30&gt;0.5*$B$45),"ERROR","N.A."))</f>
        <v>N.A.</v>
      </c>
      <c r="O312" s="31" t="s">
        <v>237</v>
      </c>
      <c r="P312" s="38" t="s">
        <v>502</v>
      </c>
      <c r="W312" s="38"/>
      <c r="AF312" s="405" t="s">
        <v>1005</v>
      </c>
      <c r="AG312" s="406">
        <v>11.9</v>
      </c>
      <c r="AH312" s="407">
        <v>12</v>
      </c>
      <c r="AI312" s="408">
        <v>0.462</v>
      </c>
      <c r="AJ312" s="409">
        <v>5.25</v>
      </c>
      <c r="AK312" s="408">
        <v>0.659</v>
      </c>
      <c r="AL312" s="432">
        <v>1.44</v>
      </c>
    </row>
    <row r="313" spans="13:38" ht="12.75">
      <c r="M313" s="57" t="s">
        <v>674</v>
      </c>
      <c r="O313" s="34"/>
      <c r="AF313" s="405" t="s">
        <v>1006</v>
      </c>
      <c r="AG313" s="406">
        <v>10.2</v>
      </c>
      <c r="AH313" s="407">
        <v>12</v>
      </c>
      <c r="AI313" s="408">
        <v>0.428</v>
      </c>
      <c r="AJ313" s="409">
        <v>5.08</v>
      </c>
      <c r="AK313" s="408">
        <v>0.544</v>
      </c>
      <c r="AL313" s="432">
        <v>1.19</v>
      </c>
    </row>
    <row r="314" spans="13:38" ht="12.75">
      <c r="M314" s="33" t="s">
        <v>8</v>
      </c>
      <c r="N314" s="43" t="str">
        <f>IF(AND($D$29&gt;0,$D$30&gt;0,$D$30&lt;=0.5*$B$45,$D$31=0),$D$29/$B$45,IF(AND($D$29&gt;0,$D$30&gt;0,$D$31=0,$D$30&gt;0.5*$B$45),"ERROR","N.A."))</f>
        <v>N.A.</v>
      </c>
      <c r="O314" s="31"/>
      <c r="P314" s="38" t="s">
        <v>11</v>
      </c>
      <c r="Q314" s="57"/>
      <c r="W314" s="38"/>
      <c r="X314" s="57"/>
      <c r="AF314" s="405" t="s">
        <v>1007</v>
      </c>
      <c r="AG314" s="413">
        <v>9.31</v>
      </c>
      <c r="AH314" s="407">
        <v>12</v>
      </c>
      <c r="AI314" s="408">
        <v>0.35</v>
      </c>
      <c r="AJ314" s="409">
        <v>5</v>
      </c>
      <c r="AK314" s="408">
        <v>0.544</v>
      </c>
      <c r="AL314" s="432">
        <v>1.19</v>
      </c>
    </row>
    <row r="315" spans="13:38" ht="12.75">
      <c r="M315" s="33" t="s">
        <v>351</v>
      </c>
      <c r="N315" s="43" t="str">
        <f>IF(AND($D$29&gt;0,$D$30&gt;0,$D$30&lt;=0.5*$B$45,$D$31=0),IF($N$314&lt;=1,2*$N$314,1+$N$314),IF(AND($D$29&gt;0,$D$30&gt;0,$D$31=0,$D$30&gt;0.5*$B$45),"ERROR","N.A."))</f>
        <v>N.A.</v>
      </c>
      <c r="O315" s="31"/>
      <c r="P315" s="38" t="s">
        <v>12</v>
      </c>
      <c r="Q315" s="57"/>
      <c r="W315" s="38"/>
      <c r="X315" s="57"/>
      <c r="AF315" s="405" t="s">
        <v>1008</v>
      </c>
      <c r="AG315" s="406">
        <v>10.3</v>
      </c>
      <c r="AH315" s="407">
        <v>10</v>
      </c>
      <c r="AI315" s="408">
        <v>0.594</v>
      </c>
      <c r="AJ315" s="409">
        <v>4.94</v>
      </c>
      <c r="AK315" s="408">
        <v>0.491</v>
      </c>
      <c r="AL315" s="432">
        <v>1.13</v>
      </c>
    </row>
    <row r="316" spans="13:38" ht="12.75">
      <c r="M316" s="33" t="s">
        <v>7</v>
      </c>
      <c r="N316" s="43" t="str">
        <f>IF(AND($D$29&gt;0,$D$30&gt;0,$D$30&lt;=0.5*$B$45,$D$31=0),$D$29/$N$306,IF(AND($D$29&gt;0,$D$30&gt;0,$D$31=0,$D$30&gt;0.5*$B$45),"ERROR","N.A."))</f>
        <v>N.A.</v>
      </c>
      <c r="O316" s="31"/>
      <c r="P316" s="38" t="s">
        <v>9</v>
      </c>
      <c r="Q316" s="57"/>
      <c r="W316" s="38"/>
      <c r="X316" s="57"/>
      <c r="AF316" s="405" t="s">
        <v>1009</v>
      </c>
      <c r="AG316" s="413">
        <v>7.45</v>
      </c>
      <c r="AH316" s="407">
        <v>10</v>
      </c>
      <c r="AI316" s="408">
        <v>0.311</v>
      </c>
      <c r="AJ316" s="409">
        <v>4.66</v>
      </c>
      <c r="AK316" s="408">
        <v>0.491</v>
      </c>
      <c r="AL316" s="432">
        <v>1.13</v>
      </c>
    </row>
    <row r="317" spans="13:38" ht="12.75">
      <c r="M317" s="33" t="s">
        <v>460</v>
      </c>
      <c r="N317" s="43" t="str">
        <f>IF(AND($D$29&gt;0,$D$30&gt;0,$D$30&lt;=0.5*$B$45,$D$31=0),IF($N$316&lt;=1,2.2*($N$306/$D$29)^1.65,2.2*($N$306/$D$29)),IF(AND($D$29&gt;0,$D$30&gt;0,$D$31=0,$D$30&gt;0.5*$B$45),"ERROR","N.A."))</f>
        <v>N.A.</v>
      </c>
      <c r="O317" s="31"/>
      <c r="P317" s="38" t="s">
        <v>10</v>
      </c>
      <c r="Q317" s="57"/>
      <c r="W317" s="38"/>
      <c r="X317" s="57"/>
      <c r="AF317" s="405" t="s">
        <v>1010</v>
      </c>
      <c r="AG317" s="413">
        <v>6.76</v>
      </c>
      <c r="AH317" s="409">
        <v>8</v>
      </c>
      <c r="AI317" s="408">
        <v>0.441</v>
      </c>
      <c r="AJ317" s="409">
        <v>4.17</v>
      </c>
      <c r="AK317" s="408">
        <v>0.425</v>
      </c>
      <c r="AL317" s="432">
        <v>1</v>
      </c>
    </row>
    <row r="318" spans="13:38" ht="12.75">
      <c r="M318" s="33" t="s">
        <v>107</v>
      </c>
      <c r="N318" s="61" t="str">
        <f>IF(AND($D$29&gt;0,$D$30&gt;0,$D$30&lt;=0.5*$B$45,$D$31=0),(1/1.67)*MIN(26210*$N$315*$N$317*($B$46/$N$281)^2,$D$12)*IF(1-$D$17/(0.6*$D$12*$N$291)&gt;0,(1-$D$17/(0.6*$D$12*$N$291)),0.0001),IF(AND($D$29&gt;0,$D$30&gt;0,$D$31=0,$D$30&gt;0.5*$B$45),"ERROR","N.A."))</f>
        <v>N.A.</v>
      </c>
      <c r="O318" s="38" t="s">
        <v>245</v>
      </c>
      <c r="P318" s="38" t="s">
        <v>675</v>
      </c>
      <c r="W318" s="38"/>
      <c r="AF318" s="405" t="s">
        <v>1011</v>
      </c>
      <c r="AG318" s="413">
        <v>5.4</v>
      </c>
      <c r="AH318" s="409">
        <v>8</v>
      </c>
      <c r="AI318" s="408">
        <v>0.271</v>
      </c>
      <c r="AJ318" s="409">
        <v>4</v>
      </c>
      <c r="AK318" s="408">
        <v>0.425</v>
      </c>
      <c r="AL318" s="432">
        <v>1</v>
      </c>
    </row>
    <row r="319" spans="13:38" ht="12.75">
      <c r="M319" s="33" t="s">
        <v>104</v>
      </c>
      <c r="N319" s="61" t="str">
        <f>IF(AND($D$29&gt;0,$D$30&gt;0,$D$30&lt;=0.5*$B$45,$D$31=0),$N$318*$N$310/$N$307,IF(AND($D$29&gt;0,$D$30&gt;0,$D$31=0,$D$30&gt;0.5*$B$45),"ERROR","N.A."))</f>
        <v>N.A.</v>
      </c>
      <c r="O319" s="31" t="s">
        <v>237</v>
      </c>
      <c r="P319" s="38" t="s">
        <v>502</v>
      </c>
      <c r="W319" s="38"/>
      <c r="AF319" s="405" t="s">
        <v>1012</v>
      </c>
      <c r="AG319" s="413">
        <v>5.06</v>
      </c>
      <c r="AH319" s="409">
        <v>6</v>
      </c>
      <c r="AI319" s="408">
        <v>0.465</v>
      </c>
      <c r="AJ319" s="409">
        <v>3.57</v>
      </c>
      <c r="AK319" s="408">
        <v>0.359</v>
      </c>
      <c r="AL319" s="425">
        <v>0.813</v>
      </c>
    </row>
    <row r="320" spans="13:38" ht="12.75">
      <c r="M320" s="95" t="s">
        <v>242</v>
      </c>
      <c r="O320" s="34"/>
      <c r="R320" s="150" t="s">
        <v>473</v>
      </c>
      <c r="AF320" s="405" t="s">
        <v>1013</v>
      </c>
      <c r="AG320" s="413">
        <v>3.66</v>
      </c>
      <c r="AH320" s="409">
        <v>6</v>
      </c>
      <c r="AI320" s="408">
        <v>0.232</v>
      </c>
      <c r="AJ320" s="409">
        <v>3.33</v>
      </c>
      <c r="AK320" s="408">
        <v>0.359</v>
      </c>
      <c r="AL320" s="425">
        <v>0.813</v>
      </c>
    </row>
    <row r="321" spans="13:38" ht="12.75">
      <c r="M321" s="29" t="s">
        <v>676</v>
      </c>
      <c r="O321" s="34"/>
      <c r="AF321" s="405" t="s">
        <v>1014</v>
      </c>
      <c r="AG321" s="413">
        <v>2.93</v>
      </c>
      <c r="AH321" s="409">
        <v>5</v>
      </c>
      <c r="AI321" s="408">
        <v>0.214</v>
      </c>
      <c r="AJ321" s="409">
        <v>3</v>
      </c>
      <c r="AK321" s="408">
        <v>0.326</v>
      </c>
      <c r="AL321" s="425">
        <v>0.75</v>
      </c>
    </row>
    <row r="322" spans="13:38" ht="12.75">
      <c r="M322" s="33" t="s">
        <v>106</v>
      </c>
      <c r="N322" s="43" t="str">
        <f>IF(AND($D$29&gt;0,$D$30&gt;0,$D$31&gt;0),$B$45-$D$30-$D$31,"N.A.")</f>
        <v>N.A.</v>
      </c>
      <c r="O322" s="31" t="s">
        <v>268</v>
      </c>
      <c r="P322" s="38" t="s">
        <v>677</v>
      </c>
      <c r="W322" s="38"/>
      <c r="AF322" s="405" t="s">
        <v>1015</v>
      </c>
      <c r="AG322" s="413">
        <v>2.79</v>
      </c>
      <c r="AH322" s="409">
        <v>4</v>
      </c>
      <c r="AI322" s="408">
        <v>0.326</v>
      </c>
      <c r="AJ322" s="409">
        <v>2.8</v>
      </c>
      <c r="AK322" s="408">
        <v>0.293</v>
      </c>
      <c r="AL322" s="425">
        <v>0.75</v>
      </c>
    </row>
    <row r="323" spans="13:38" ht="12.75">
      <c r="M323" s="33" t="s">
        <v>75</v>
      </c>
      <c r="N323" s="84" t="str">
        <f>IF(AND($D$29&gt;0,$D$30&gt;0,$D$31&gt;0),$N$322*$B$46,"N.A.")</f>
        <v>N.A.</v>
      </c>
      <c r="O323" s="38" t="s">
        <v>243</v>
      </c>
      <c r="P323" s="38" t="s">
        <v>1097</v>
      </c>
      <c r="W323" s="38"/>
      <c r="AF323" s="405" t="s">
        <v>1016</v>
      </c>
      <c r="AG323" s="413">
        <v>2.26</v>
      </c>
      <c r="AH323" s="409">
        <v>4</v>
      </c>
      <c r="AI323" s="408">
        <v>0.193</v>
      </c>
      <c r="AJ323" s="409">
        <v>2.66</v>
      </c>
      <c r="AK323" s="408">
        <v>0.293</v>
      </c>
      <c r="AL323" s="425">
        <v>0.75</v>
      </c>
    </row>
    <row r="324" spans="13:38" ht="12.75">
      <c r="M324" s="33" t="s">
        <v>617</v>
      </c>
      <c r="N324" s="61" t="str">
        <f>IF(AND($D$29&gt;0,$D$30&gt;0,$D$31&gt;0),$N$322/$B$46,"N.A.")</f>
        <v>N.A.</v>
      </c>
      <c r="O324" s="34"/>
      <c r="P324" s="29" t="s">
        <v>678</v>
      </c>
      <c r="AF324" s="405" t="s">
        <v>1017</v>
      </c>
      <c r="AG324" s="413">
        <v>2.2</v>
      </c>
      <c r="AH324" s="409">
        <v>3</v>
      </c>
      <c r="AI324" s="408">
        <v>0.349</v>
      </c>
      <c r="AJ324" s="409">
        <v>2.51</v>
      </c>
      <c r="AK324" s="408">
        <v>0.26</v>
      </c>
      <c r="AL324" s="425">
        <v>0.625</v>
      </c>
    </row>
    <row r="325" spans="13:38" ht="12.75">
      <c r="M325" s="33" t="s">
        <v>619</v>
      </c>
      <c r="N325" s="114" t="str">
        <f>IF(AND($D$29&gt;0,$D$30&gt;0,$D$31&gt;0),5,"N.A.")</f>
        <v>N.A.</v>
      </c>
      <c r="O325" s="34"/>
      <c r="P325" s="29" t="s">
        <v>620</v>
      </c>
      <c r="AF325" s="414" t="s">
        <v>1018</v>
      </c>
      <c r="AG325" s="415">
        <v>1.66</v>
      </c>
      <c r="AH325" s="416">
        <v>3</v>
      </c>
      <c r="AI325" s="417">
        <v>0.17</v>
      </c>
      <c r="AJ325" s="416">
        <v>2.33</v>
      </c>
      <c r="AK325" s="417">
        <v>0.26</v>
      </c>
      <c r="AL325" s="429">
        <v>0.625</v>
      </c>
    </row>
    <row r="326" spans="13:38" ht="12.75">
      <c r="M326" s="33" t="s">
        <v>621</v>
      </c>
      <c r="N326" s="41" t="str">
        <f>IF(AND($D$29&gt;0,$D$30&gt;0,$D$31&gt;0),IF($N$324&lt;=2.24*SQRT(29000/$D$12),1,IF($N$324&lt;=1.1*SQRT($N$325*29000/$D$12),1,IF($N$324&gt;1.37*SQRT($N$325*29000/$D$12),(1.51*29000*$N$325)/($N$324^2*$D$12),(1.1*SQRT($N$325*29000/$D$12))/$N$324))),"N.A.")</f>
        <v>N.A.</v>
      </c>
      <c r="O326" s="34"/>
      <c r="P326" s="29" t="s">
        <v>650</v>
      </c>
      <c r="AF326" s="419" t="s">
        <v>1019</v>
      </c>
      <c r="AG326" s="430">
        <v>34.4</v>
      </c>
      <c r="AH326" s="421">
        <v>14.2</v>
      </c>
      <c r="AI326" s="422">
        <v>0.805</v>
      </c>
      <c r="AJ326" s="421">
        <v>14.9</v>
      </c>
      <c r="AK326" s="422">
        <v>0.805</v>
      </c>
      <c r="AL326" s="431">
        <v>1.5</v>
      </c>
    </row>
    <row r="327" spans="13:38" ht="12.75">
      <c r="M327" s="33" t="s">
        <v>252</v>
      </c>
      <c r="N327" s="41" t="str">
        <f>IF(AND($D$29&gt;0,$D$30&gt;0,$D$31&gt;0),(1/1.5)*0.6*$D$12*$N$326*$N$323,"N.A.")</f>
        <v>N.A.</v>
      </c>
      <c r="O327" s="31" t="s">
        <v>237</v>
      </c>
      <c r="P327" s="29" t="s">
        <v>671</v>
      </c>
      <c r="AF327" s="405" t="s">
        <v>1020</v>
      </c>
      <c r="AG327" s="406">
        <v>30</v>
      </c>
      <c r="AH327" s="407">
        <v>14</v>
      </c>
      <c r="AI327" s="408">
        <v>0.705</v>
      </c>
      <c r="AJ327" s="407">
        <v>14.8</v>
      </c>
      <c r="AK327" s="408">
        <v>0.705</v>
      </c>
      <c r="AL327" s="432">
        <v>1.38</v>
      </c>
    </row>
    <row r="328" spans="13:38" ht="12.75">
      <c r="M328" s="29" t="s">
        <v>679</v>
      </c>
      <c r="O328" s="34"/>
      <c r="AF328" s="405" t="s">
        <v>1021</v>
      </c>
      <c r="AG328" s="406">
        <v>26.1</v>
      </c>
      <c r="AH328" s="407">
        <v>13.8</v>
      </c>
      <c r="AI328" s="408">
        <v>0.615</v>
      </c>
      <c r="AJ328" s="407">
        <v>14.7</v>
      </c>
      <c r="AK328" s="408">
        <v>0.615</v>
      </c>
      <c r="AL328" s="432">
        <v>1.31</v>
      </c>
    </row>
    <row r="329" spans="13:38" ht="12.75">
      <c r="M329" s="50" t="s">
        <v>253</v>
      </c>
      <c r="N329" s="43" t="str">
        <f>$N$323</f>
        <v>N.A.</v>
      </c>
      <c r="O329" s="38" t="s">
        <v>243</v>
      </c>
      <c r="P329" s="38" t="s">
        <v>544</v>
      </c>
      <c r="W329" s="38"/>
      <c r="AF329" s="405" t="s">
        <v>1022</v>
      </c>
      <c r="AG329" s="406">
        <v>21.4</v>
      </c>
      <c r="AH329" s="407">
        <v>13.6</v>
      </c>
      <c r="AI329" s="408">
        <v>0.505</v>
      </c>
      <c r="AJ329" s="407">
        <v>14.6</v>
      </c>
      <c r="AK329" s="408">
        <v>0.505</v>
      </c>
      <c r="AL329" s="432">
        <v>1.19</v>
      </c>
    </row>
    <row r="330" spans="13:38" ht="12.75">
      <c r="M330" s="33" t="s">
        <v>254</v>
      </c>
      <c r="N330" s="41" t="str">
        <f>IF(AND($D$29&gt;0,$D$30&gt;0,$D$31&gt;0),(1/2)*0.6*$N$6*$N$329,"N.A.")</f>
        <v>N.A.</v>
      </c>
      <c r="O330" s="31" t="s">
        <v>237</v>
      </c>
      <c r="P330" s="29" t="s">
        <v>664</v>
      </c>
      <c r="AF330" s="405" t="s">
        <v>1023</v>
      </c>
      <c r="AG330" s="406">
        <v>24.6</v>
      </c>
      <c r="AH330" s="407">
        <v>12.3</v>
      </c>
      <c r="AI330" s="408">
        <v>0.685</v>
      </c>
      <c r="AJ330" s="407">
        <v>12.3</v>
      </c>
      <c r="AK330" s="408">
        <v>0.685</v>
      </c>
      <c r="AL330" s="432">
        <v>1.38</v>
      </c>
    </row>
    <row r="331" spans="13:38" ht="12.75">
      <c r="M331" s="57" t="s">
        <v>1034</v>
      </c>
      <c r="O331" s="34"/>
      <c r="AF331" s="405" t="s">
        <v>1024</v>
      </c>
      <c r="AG331" s="406">
        <v>21.8</v>
      </c>
      <c r="AH331" s="407">
        <v>12.1</v>
      </c>
      <c r="AI331" s="408">
        <v>0.605</v>
      </c>
      <c r="AJ331" s="407">
        <v>12.2</v>
      </c>
      <c r="AK331" s="408">
        <v>0.61</v>
      </c>
      <c r="AL331" s="432">
        <v>1.31</v>
      </c>
    </row>
    <row r="332" spans="13:38" ht="12.75">
      <c r="M332" s="50" t="s">
        <v>35</v>
      </c>
      <c r="N332" s="43" t="str">
        <f>IF(AND($D$29&gt;0,$D$30&gt;0,$D$31&gt;0),$N$322*$B$46,"N.A.")</f>
        <v>N.A.</v>
      </c>
      <c r="O332" s="38" t="s">
        <v>243</v>
      </c>
      <c r="P332" s="38" t="s">
        <v>503</v>
      </c>
      <c r="W332" s="38"/>
      <c r="AF332" s="405" t="s">
        <v>1025</v>
      </c>
      <c r="AG332" s="406">
        <v>18.4</v>
      </c>
      <c r="AH332" s="407">
        <v>11.9</v>
      </c>
      <c r="AI332" s="408">
        <v>0.515</v>
      </c>
      <c r="AJ332" s="407">
        <v>12.1</v>
      </c>
      <c r="AK332" s="408">
        <v>0.515</v>
      </c>
      <c r="AL332" s="432">
        <v>1.25</v>
      </c>
    </row>
    <row r="333" spans="13:38" ht="12.75">
      <c r="M333" s="50" t="s">
        <v>36</v>
      </c>
      <c r="N333" s="61" t="str">
        <f>IF(AND($D$29&gt;0,$D$30&gt;0,$D$31&gt;0),(0.6*$D$12*$N$332)*IF(1-($D$16/$N$327)^2&gt;0,(1-($D$16/$N$327)^2),0.0001),"N.A.")</f>
        <v>N.A.</v>
      </c>
      <c r="O333" s="38" t="s">
        <v>237</v>
      </c>
      <c r="P333" s="38" t="s">
        <v>110</v>
      </c>
      <c r="Q333" s="57"/>
      <c r="W333" s="38"/>
      <c r="X333" s="57"/>
      <c r="AF333" s="405" t="s">
        <v>1026</v>
      </c>
      <c r="AG333" s="406">
        <v>15.5</v>
      </c>
      <c r="AH333" s="407">
        <v>11.8</v>
      </c>
      <c r="AI333" s="408">
        <v>0.435</v>
      </c>
      <c r="AJ333" s="407">
        <v>12</v>
      </c>
      <c r="AK333" s="408">
        <v>0.435</v>
      </c>
      <c r="AL333" s="432">
        <v>1.13</v>
      </c>
    </row>
    <row r="334" spans="13:38" ht="12.75">
      <c r="M334" s="29" t="s">
        <v>108</v>
      </c>
      <c r="O334" s="34"/>
      <c r="AF334" s="405" t="s">
        <v>1027</v>
      </c>
      <c r="AG334" s="406">
        <v>16.8</v>
      </c>
      <c r="AH334" s="407">
        <v>10</v>
      </c>
      <c r="AI334" s="408">
        <v>0.565</v>
      </c>
      <c r="AJ334" s="407">
        <v>10.2</v>
      </c>
      <c r="AK334" s="408">
        <v>0.565</v>
      </c>
      <c r="AL334" s="432">
        <v>1.25</v>
      </c>
    </row>
    <row r="335" spans="13:38" ht="12.75">
      <c r="M335" s="33" t="s">
        <v>601</v>
      </c>
      <c r="N335" s="43" t="str">
        <f>IF(AND($D$29&gt;0,$D$30&gt;0,$D$31&gt;0),(($D$27-$D$30)+$D$26)*$B$46,"N.A.")</f>
        <v>N.A.</v>
      </c>
      <c r="O335" s="31" t="s">
        <v>243</v>
      </c>
      <c r="P335" s="38" t="s">
        <v>606</v>
      </c>
      <c r="W335" s="38"/>
      <c r="AF335" s="405" t="s">
        <v>1028</v>
      </c>
      <c r="AG335" s="406">
        <v>12.4</v>
      </c>
      <c r="AH335" s="409">
        <v>9.7</v>
      </c>
      <c r="AI335" s="408">
        <v>0.415</v>
      </c>
      <c r="AJ335" s="407">
        <v>10.1</v>
      </c>
      <c r="AK335" s="408">
        <v>0.42</v>
      </c>
      <c r="AL335" s="432">
        <v>1.13</v>
      </c>
    </row>
    <row r="336" spans="13:38" ht="12.75">
      <c r="M336" s="33" t="s">
        <v>602</v>
      </c>
      <c r="N336" s="43" t="str">
        <f>IF(AND($D$29&gt;0,$D$30&gt;0,$D$31&gt;0),($D$21-$D$28)*$B$46,"N.A.")</f>
        <v>N.A.</v>
      </c>
      <c r="O336" s="31" t="s">
        <v>243</v>
      </c>
      <c r="P336" s="29" t="s">
        <v>546</v>
      </c>
      <c r="AF336" s="414" t="s">
        <v>1029</v>
      </c>
      <c r="AG336" s="433">
        <v>10.6</v>
      </c>
      <c r="AH336" s="416">
        <v>8.02</v>
      </c>
      <c r="AI336" s="417">
        <v>0.445</v>
      </c>
      <c r="AJ336" s="416">
        <v>8.16</v>
      </c>
      <c r="AK336" s="417">
        <v>0.445</v>
      </c>
      <c r="AL336" s="434">
        <v>1.13</v>
      </c>
    </row>
    <row r="337" spans="13:38" ht="12.75">
      <c r="M337" s="33" t="s">
        <v>220</v>
      </c>
      <c r="N337" s="41" t="str">
        <f>IF(AND($D$29&gt;0,$D$30&gt;0,$D$31&gt;0),0.3*$D$12*$N$335+0.5*$N$6*$N$336,"N.A.")</f>
        <v>N.A.</v>
      </c>
      <c r="O337" s="31" t="s">
        <v>237</v>
      </c>
      <c r="P337" s="31" t="s">
        <v>545</v>
      </c>
      <c r="W337" s="31"/>
      <c r="AF337" s="419" t="s">
        <v>1181</v>
      </c>
      <c r="AG337" s="430">
        <v>14.7</v>
      </c>
      <c r="AH337" s="421">
        <v>15</v>
      </c>
      <c r="AI337" s="422">
        <v>0.716</v>
      </c>
      <c r="AJ337" s="421">
        <v>3.72</v>
      </c>
      <c r="AK337" s="422">
        <v>0.65</v>
      </c>
      <c r="AL337" s="431">
        <v>1.44</v>
      </c>
    </row>
    <row r="338" spans="13:38" ht="12.75">
      <c r="M338" s="57" t="s">
        <v>505</v>
      </c>
      <c r="O338" s="34"/>
      <c r="AF338" s="405" t="s">
        <v>1182</v>
      </c>
      <c r="AG338" s="406">
        <v>11.8</v>
      </c>
      <c r="AH338" s="407">
        <v>15</v>
      </c>
      <c r="AI338" s="408">
        <v>0.52</v>
      </c>
      <c r="AJ338" s="407">
        <v>3.52</v>
      </c>
      <c r="AK338" s="408">
        <v>0.65</v>
      </c>
      <c r="AL338" s="432">
        <v>1.44</v>
      </c>
    </row>
    <row r="339" spans="13:38" ht="12.75">
      <c r="M339" s="50" t="s">
        <v>601</v>
      </c>
      <c r="N339" s="43" t="str">
        <f>IF(AND($D$29&gt;0,$D$30&gt;0,$D$31&gt;0),($D$21-$D$28)*$B$46,"N.A.")</f>
        <v>N.A.</v>
      </c>
      <c r="O339" s="38" t="s">
        <v>498</v>
      </c>
      <c r="P339" s="29" t="s">
        <v>547</v>
      </c>
      <c r="AF339" s="405" t="s">
        <v>1183</v>
      </c>
      <c r="AG339" s="406">
        <v>10</v>
      </c>
      <c r="AH339" s="407">
        <v>15</v>
      </c>
      <c r="AI339" s="408">
        <v>0.4</v>
      </c>
      <c r="AJ339" s="407">
        <v>3.4</v>
      </c>
      <c r="AK339" s="408">
        <v>0.65</v>
      </c>
      <c r="AL339" s="432">
        <v>1.44</v>
      </c>
    </row>
    <row r="340" spans="13:38" ht="12.75">
      <c r="M340" s="50" t="s">
        <v>602</v>
      </c>
      <c r="N340" s="43" t="str">
        <f>IF(AND($D$29&gt;0,$D$30&gt;0,$D$31&gt;0),(($D$27-$D$30)+$D$26)*$B$46,"N.A.")</f>
        <v>N.A.</v>
      </c>
      <c r="O340" s="38" t="s">
        <v>243</v>
      </c>
      <c r="P340" s="38" t="s">
        <v>608</v>
      </c>
      <c r="Q340" s="57"/>
      <c r="U340" s="57"/>
      <c r="W340" s="38"/>
      <c r="X340" s="57"/>
      <c r="AF340" s="405" t="s">
        <v>1184</v>
      </c>
      <c r="AG340" s="406">
        <v>8.81</v>
      </c>
      <c r="AH340" s="407">
        <v>12</v>
      </c>
      <c r="AI340" s="408">
        <v>0.51</v>
      </c>
      <c r="AJ340" s="407">
        <v>3.17</v>
      </c>
      <c r="AK340" s="408">
        <v>0.501</v>
      </c>
      <c r="AL340" s="432">
        <v>1.13</v>
      </c>
    </row>
    <row r="341" spans="13:38" ht="12.75">
      <c r="M341" s="33" t="s">
        <v>426</v>
      </c>
      <c r="N341" s="41" t="str">
        <f>IF(AND($D$29&gt;0,$D$30&gt;0,$D$31&gt;0),(0.3*$D$12*$N$339+0.5*$N$6*$N$340)*(1-($D$16/$N$337)^2),"N.A.")</f>
        <v>N.A.</v>
      </c>
      <c r="O341" s="31" t="s">
        <v>237</v>
      </c>
      <c r="P341" s="31" t="s">
        <v>548</v>
      </c>
      <c r="Q341" s="57"/>
      <c r="R341" s="57"/>
      <c r="U341" s="50"/>
      <c r="W341" s="31"/>
      <c r="X341" s="57"/>
      <c r="AF341" s="405" t="s">
        <v>1185</v>
      </c>
      <c r="AG341" s="406">
        <v>7.34</v>
      </c>
      <c r="AH341" s="407">
        <v>12</v>
      </c>
      <c r="AI341" s="408">
        <v>0.387</v>
      </c>
      <c r="AJ341" s="407">
        <v>3.05</v>
      </c>
      <c r="AK341" s="408">
        <v>0.501</v>
      </c>
      <c r="AL341" s="432">
        <v>1.13</v>
      </c>
    </row>
    <row r="342" spans="13:38" ht="12.75">
      <c r="M342" s="57" t="s">
        <v>1081</v>
      </c>
      <c r="O342" s="34"/>
      <c r="U342" s="50"/>
      <c r="AF342" s="405" t="s">
        <v>1186</v>
      </c>
      <c r="AG342" s="406">
        <v>6.08</v>
      </c>
      <c r="AH342" s="407">
        <v>12</v>
      </c>
      <c r="AI342" s="408">
        <v>0.282</v>
      </c>
      <c r="AJ342" s="407">
        <v>2.94</v>
      </c>
      <c r="AK342" s="408">
        <v>0.501</v>
      </c>
      <c r="AL342" s="432">
        <v>1.13</v>
      </c>
    </row>
    <row r="343" spans="13:38" ht="12.75">
      <c r="M343" s="50" t="s">
        <v>601</v>
      </c>
      <c r="N343" s="43" t="str">
        <f>IF(AND($D$29&gt;0,$D$30&gt;0,$D$31&gt;0),2*($D$21-$D$28)*$B$46,"N.A.")</f>
        <v>N.A.</v>
      </c>
      <c r="O343" s="38" t="s">
        <v>498</v>
      </c>
      <c r="P343" s="29" t="s">
        <v>549</v>
      </c>
      <c r="U343" s="50"/>
      <c r="AF343" s="405" t="s">
        <v>1187</v>
      </c>
      <c r="AG343" s="406">
        <v>8.81</v>
      </c>
      <c r="AH343" s="407">
        <v>10</v>
      </c>
      <c r="AI343" s="408">
        <v>0.673</v>
      </c>
      <c r="AJ343" s="407">
        <v>3.03</v>
      </c>
      <c r="AK343" s="408">
        <v>0.436</v>
      </c>
      <c r="AL343" s="432">
        <v>1</v>
      </c>
    </row>
    <row r="344" spans="13:38" ht="12.75">
      <c r="M344" s="50" t="s">
        <v>602</v>
      </c>
      <c r="N344" s="43" t="str">
        <f>IF(AND($D$29&gt;0,$D$30&gt;0,$D$31&gt;0),$D$26*$B$46,"N.A.")</f>
        <v>N.A.</v>
      </c>
      <c r="O344" s="38" t="s">
        <v>243</v>
      </c>
      <c r="P344" s="31" t="s">
        <v>605</v>
      </c>
      <c r="Q344" s="111"/>
      <c r="U344" s="57"/>
      <c r="W344" s="31"/>
      <c r="X344" s="111"/>
      <c r="AF344" s="405" t="s">
        <v>1188</v>
      </c>
      <c r="AG344" s="406">
        <v>7.34</v>
      </c>
      <c r="AH344" s="407">
        <v>10</v>
      </c>
      <c r="AI344" s="408">
        <v>0.526</v>
      </c>
      <c r="AJ344" s="407">
        <v>2.89</v>
      </c>
      <c r="AK344" s="408">
        <v>0.436</v>
      </c>
      <c r="AL344" s="432">
        <v>1</v>
      </c>
    </row>
    <row r="345" spans="13:38" ht="12.75">
      <c r="M345" s="50" t="s">
        <v>426</v>
      </c>
      <c r="N345" s="41" t="str">
        <f>IF(AND($D$29&gt;0,$D$30&gt;0,$D$31&gt;0),IF($N$344&gt;"N.A.","N.A.",0.3*$D$12*$N$343+0.5*$N$6*$N$344),"N.A.")</f>
        <v>N.A.</v>
      </c>
      <c r="O345" s="38" t="s">
        <v>237</v>
      </c>
      <c r="P345" s="31" t="s">
        <v>515</v>
      </c>
      <c r="Q345" s="111"/>
      <c r="U345" s="50"/>
      <c r="W345" s="31"/>
      <c r="X345" s="111"/>
      <c r="AF345" s="405" t="s">
        <v>1189</v>
      </c>
      <c r="AG345" s="406">
        <v>5.87</v>
      </c>
      <c r="AH345" s="407">
        <v>10</v>
      </c>
      <c r="AI345" s="408">
        <v>0.379</v>
      </c>
      <c r="AJ345" s="407">
        <v>2.74</v>
      </c>
      <c r="AK345" s="408">
        <v>0.436</v>
      </c>
      <c r="AL345" s="432">
        <v>1</v>
      </c>
    </row>
    <row r="346" spans="13:38" ht="12.75">
      <c r="M346" s="57" t="s">
        <v>680</v>
      </c>
      <c r="O346" s="34"/>
      <c r="U346" s="50"/>
      <c r="AF346" s="405" t="s">
        <v>1190</v>
      </c>
      <c r="AG346" s="406">
        <v>4.48</v>
      </c>
      <c r="AH346" s="407">
        <v>10</v>
      </c>
      <c r="AI346" s="408">
        <v>0.24</v>
      </c>
      <c r="AJ346" s="407">
        <v>2.6</v>
      </c>
      <c r="AK346" s="408">
        <v>0.436</v>
      </c>
      <c r="AL346" s="432">
        <v>1</v>
      </c>
    </row>
    <row r="347" spans="13:38" ht="12.75">
      <c r="M347" s="33" t="s">
        <v>106</v>
      </c>
      <c r="N347" s="43" t="str">
        <f>IF(AND($D$29&gt;0,$D$30&gt;0,$D$31&gt;0),$N$322,"N.A.")</f>
        <v>N.A.</v>
      </c>
      <c r="O347" s="31" t="s">
        <v>268</v>
      </c>
      <c r="P347" s="38" t="s">
        <v>677</v>
      </c>
      <c r="Q347" s="57"/>
      <c r="U347" s="50"/>
      <c r="W347" s="38"/>
      <c r="X347" s="57"/>
      <c r="AF347" s="405" t="s">
        <v>1191</v>
      </c>
      <c r="AG347" s="406">
        <v>5.87</v>
      </c>
      <c r="AH347" s="407">
        <v>9</v>
      </c>
      <c r="AI347" s="408">
        <v>0.448</v>
      </c>
      <c r="AJ347" s="407">
        <v>2.65</v>
      </c>
      <c r="AK347" s="408">
        <v>0.413</v>
      </c>
      <c r="AL347" s="432">
        <v>1</v>
      </c>
    </row>
    <row r="348" spans="13:38" ht="12.75">
      <c r="M348" s="33" t="s">
        <v>325</v>
      </c>
      <c r="N348" s="43" t="str">
        <f>IF(AND($D$29&gt;0,$D$30&gt;0,$D$31&gt;0),$D$29+$D$28,"N.A.")</f>
        <v>N.A.</v>
      </c>
      <c r="O348" s="31" t="s">
        <v>268</v>
      </c>
      <c r="P348" s="38" t="s">
        <v>6</v>
      </c>
      <c r="Q348" s="57"/>
      <c r="U348" s="57"/>
      <c r="W348" s="38"/>
      <c r="X348" s="57"/>
      <c r="AF348" s="405" t="s">
        <v>1192</v>
      </c>
      <c r="AG348" s="406">
        <v>4.41</v>
      </c>
      <c r="AH348" s="407">
        <v>9</v>
      </c>
      <c r="AI348" s="408">
        <v>0.285</v>
      </c>
      <c r="AJ348" s="407">
        <v>2.49</v>
      </c>
      <c r="AK348" s="408">
        <v>0.413</v>
      </c>
      <c r="AL348" s="432">
        <v>1</v>
      </c>
    </row>
    <row r="349" spans="13:38" ht="12.75">
      <c r="M349" s="33" t="s">
        <v>1131</v>
      </c>
      <c r="N349" s="43" t="str">
        <f>IF(AND($D$29&gt;0,$D$30&gt;0,$D$31&gt;0),$N$347/2,"N.A.")</f>
        <v>N.A.</v>
      </c>
      <c r="O349" s="31" t="s">
        <v>268</v>
      </c>
      <c r="P349" s="72" t="s">
        <v>316</v>
      </c>
      <c r="Q349" s="57"/>
      <c r="U349" s="50"/>
      <c r="W349" s="72"/>
      <c r="X349" s="57"/>
      <c r="AF349" s="405" t="s">
        <v>1193</v>
      </c>
      <c r="AG349" s="406">
        <v>3.94</v>
      </c>
      <c r="AH349" s="407">
        <v>9</v>
      </c>
      <c r="AI349" s="408">
        <v>0.233</v>
      </c>
      <c r="AJ349" s="407">
        <v>2.43</v>
      </c>
      <c r="AK349" s="408">
        <v>0.413</v>
      </c>
      <c r="AL349" s="432">
        <v>1</v>
      </c>
    </row>
    <row r="350" spans="13:38" ht="12.75">
      <c r="M350" s="33" t="s">
        <v>424</v>
      </c>
      <c r="N350" s="61" t="str">
        <f>IF(AND($D$29&gt;0,$D$30&gt;0,$D$31&gt;0),$B$46*$N$347^3/12,"N.A.")</f>
        <v>N.A.</v>
      </c>
      <c r="O350" s="31" t="s">
        <v>499</v>
      </c>
      <c r="P350" s="38" t="s">
        <v>317</v>
      </c>
      <c r="Q350" s="57"/>
      <c r="U350" s="50"/>
      <c r="W350" s="38"/>
      <c r="X350" s="57"/>
      <c r="AF350" s="405" t="s">
        <v>1194</v>
      </c>
      <c r="AG350" s="406">
        <v>5.51</v>
      </c>
      <c r="AH350" s="407">
        <v>8</v>
      </c>
      <c r="AI350" s="408">
        <v>0.487</v>
      </c>
      <c r="AJ350" s="407">
        <v>2.53</v>
      </c>
      <c r="AK350" s="408">
        <v>0.39</v>
      </c>
      <c r="AL350" s="432">
        <v>0.938</v>
      </c>
    </row>
    <row r="351" spans="13:38" ht="12.75">
      <c r="M351" s="33" t="s">
        <v>191</v>
      </c>
      <c r="N351" s="61" t="str">
        <f>IF(AND($D$29&gt;0,$D$30&gt;0,$D$31&gt;0),$N$350/($N$347-$N$349),"N.A.")</f>
        <v>N.A.</v>
      </c>
      <c r="O351" s="31" t="s">
        <v>498</v>
      </c>
      <c r="P351" s="57" t="s">
        <v>318</v>
      </c>
      <c r="Q351" s="57"/>
      <c r="U351" s="50"/>
      <c r="W351" s="57"/>
      <c r="X351" s="57"/>
      <c r="AF351" s="405" t="s">
        <v>1195</v>
      </c>
      <c r="AG351" s="406">
        <v>4.04</v>
      </c>
      <c r="AH351" s="407">
        <v>8</v>
      </c>
      <c r="AI351" s="408">
        <v>0.303</v>
      </c>
      <c r="AJ351" s="407">
        <v>2.34</v>
      </c>
      <c r="AK351" s="408">
        <v>0.39</v>
      </c>
      <c r="AL351" s="432">
        <v>0.938</v>
      </c>
    </row>
    <row r="352" spans="13:38" ht="12.75">
      <c r="M352" s="33" t="s">
        <v>107</v>
      </c>
      <c r="N352" s="61" t="str">
        <f>IF(AND($D$29&gt;0,$D$30&gt;0,$D$31&gt;0),(1/2)*$N$6*IF(1-$D$17/(0.6*$D$12*$N$332)&gt;0,(1-$D$17/(0.6*$D$12*$N$332)),0.0001),"N.A.")</f>
        <v>N.A.</v>
      </c>
      <c r="O352" s="38" t="s">
        <v>245</v>
      </c>
      <c r="P352" s="38" t="s">
        <v>1255</v>
      </c>
      <c r="W352" s="38"/>
      <c r="AF352" s="405" t="s">
        <v>1196</v>
      </c>
      <c r="AG352" s="406">
        <v>3.37</v>
      </c>
      <c r="AH352" s="407">
        <v>8</v>
      </c>
      <c r="AI352" s="408">
        <v>0.22</v>
      </c>
      <c r="AJ352" s="407">
        <v>2.26</v>
      </c>
      <c r="AK352" s="408">
        <v>0.39</v>
      </c>
      <c r="AL352" s="432">
        <v>0.938</v>
      </c>
    </row>
    <row r="353" spans="13:38" ht="12.75">
      <c r="M353" s="33" t="s">
        <v>104</v>
      </c>
      <c r="N353" s="61" t="str">
        <f>IF(AND($D$29&gt;0,$D$30&gt;0,$D$31&gt;0),$N$352*$N$351/$N$348,"N.A.")</f>
        <v>N.A.</v>
      </c>
      <c r="O353" s="31" t="s">
        <v>237</v>
      </c>
      <c r="P353" s="38" t="s">
        <v>502</v>
      </c>
      <c r="W353" s="38"/>
      <c r="AF353" s="405" t="s">
        <v>1197</v>
      </c>
      <c r="AG353" s="406">
        <v>4.33</v>
      </c>
      <c r="AH353" s="407">
        <v>7</v>
      </c>
      <c r="AI353" s="408">
        <v>0.419</v>
      </c>
      <c r="AJ353" s="407">
        <v>2.3</v>
      </c>
      <c r="AK353" s="408">
        <v>0.366</v>
      </c>
      <c r="AL353" s="432">
        <v>0.875</v>
      </c>
    </row>
    <row r="354" spans="13:38" ht="12.75">
      <c r="M354" s="57" t="s">
        <v>681</v>
      </c>
      <c r="O354" s="34"/>
      <c r="AF354" s="405" t="s">
        <v>1198</v>
      </c>
      <c r="AG354" s="406">
        <v>3.6</v>
      </c>
      <c r="AH354" s="407">
        <v>7</v>
      </c>
      <c r="AI354" s="408">
        <v>0.314</v>
      </c>
      <c r="AJ354" s="407">
        <v>2.19</v>
      </c>
      <c r="AK354" s="408">
        <v>0.366</v>
      </c>
      <c r="AL354" s="432">
        <v>0.875</v>
      </c>
    </row>
    <row r="355" spans="13:38" ht="12.75">
      <c r="M355" s="50" t="s">
        <v>682</v>
      </c>
      <c r="N355" s="43" t="str">
        <f>IF(AND($D$29&gt;0,$D$30&gt;0,$D$31&gt;0),IF(AND($D$30&lt;=0.2*$B$45,$D$30=$D$31),3.5-7.5*$D$30/$B$45,"N.A."),"N.A.")</f>
        <v>N.A.</v>
      </c>
      <c r="O355" s="34"/>
      <c r="P355" s="38" t="s">
        <v>683</v>
      </c>
      <c r="W355" s="38"/>
      <c r="AF355" s="405" t="s">
        <v>1199</v>
      </c>
      <c r="AG355" s="406">
        <v>2.87</v>
      </c>
      <c r="AH355" s="407">
        <v>7</v>
      </c>
      <c r="AI355" s="408">
        <v>0.21</v>
      </c>
      <c r="AJ355" s="407">
        <v>2.09</v>
      </c>
      <c r="AK355" s="408">
        <v>0.366</v>
      </c>
      <c r="AL355" s="432">
        <v>0.875</v>
      </c>
    </row>
    <row r="356" spans="13:38" ht="12.75">
      <c r="M356" s="50" t="s">
        <v>684</v>
      </c>
      <c r="N356" s="43" t="str">
        <f>IF(AND($D$29&gt;0,$D$30&gt;0,$D$31&gt;0),IF($D$30&gt;0.2*$B$45,($N$347*SQRT($D$12))/(10*$B$46*SQRT(475+280*($N$347/$D$29)^2)),"N.A."),"N.A.")</f>
        <v>N.A.</v>
      </c>
      <c r="O356" s="34"/>
      <c r="P356" s="29" t="s">
        <v>685</v>
      </c>
      <c r="AF356" s="405" t="s">
        <v>1200</v>
      </c>
      <c r="AG356" s="406">
        <v>3.81</v>
      </c>
      <c r="AH356" s="407">
        <v>6</v>
      </c>
      <c r="AI356" s="408">
        <v>0.437</v>
      </c>
      <c r="AJ356" s="407">
        <v>2.16</v>
      </c>
      <c r="AK356" s="408">
        <v>0.343</v>
      </c>
      <c r="AL356" s="432">
        <v>0.813</v>
      </c>
    </row>
    <row r="357" spans="13:38" ht="12.75">
      <c r="M357" s="50" t="s">
        <v>686</v>
      </c>
      <c r="N357" s="43" t="str">
        <f>IF(AND($D$29&gt;0,$D$30&gt;0,$D$31&gt;0),IF($N$356="N.A.","N.A.",IF($N$356&lt;=0.7,1,IF($N$356&gt;1.41,1.3/($N$356^2),1.34-0.486*$N$356))),"N.A.")</f>
        <v>N.A.</v>
      </c>
      <c r="O357" s="34"/>
      <c r="P357" s="29" t="s">
        <v>687</v>
      </c>
      <c r="AF357" s="405" t="s">
        <v>1201</v>
      </c>
      <c r="AG357" s="406">
        <v>3.08</v>
      </c>
      <c r="AH357" s="407">
        <v>6</v>
      </c>
      <c r="AI357" s="408">
        <v>0.314</v>
      </c>
      <c r="AJ357" s="407">
        <v>2.03</v>
      </c>
      <c r="AK357" s="408">
        <v>0.343</v>
      </c>
      <c r="AL357" s="432">
        <v>0.813</v>
      </c>
    </row>
    <row r="358" spans="13:38" ht="12.75">
      <c r="M358" s="50" t="s">
        <v>688</v>
      </c>
      <c r="N358" s="61" t="str">
        <f>IF(AND($D$29&gt;0,$D$30&gt;0,$D$31&gt;0),IF($N$356="N.A.",(1/1.67)*IF(1-$D$17/(0.6*$D$12*$N$332)&gt;0,(1-$D$17/(0.6*$D$12*$N$332)),0.0001)*MIN($D$12,(0.62*PI()*29000*($B$46^2)*$N$355)/($N$347*$D$29)),(1/1.67)*$N$357*$D$12*IF(1-$D$17/(0.6*$D$12*$N$332)&gt;0,(1-$D$17/(0.6*$D$12*$N$332)),0.0001)),"N.A.")</f>
        <v>N.A.</v>
      </c>
      <c r="O358" s="38" t="s">
        <v>245</v>
      </c>
      <c r="P358" s="29" t="str">
        <f>IF($N$356="N.A.","Fbc = (1/1.67)*(1-P/(0.60*Fy*Atg))*min{ [0.62*pi*29000*tw^2*fd] / (c*ho), Fy}","(1/1.67)*Fy*Q*(1-P/(0.60*Fy*Atg))")</f>
        <v>Fbc = (1/1.67)*(1-P/(0.60*Fy*Atg))*min{ [0.62*pi*29000*tw^2*fd] / (c*ho), Fy}</v>
      </c>
      <c r="AF358" s="405" t="s">
        <v>1202</v>
      </c>
      <c r="AG358" s="406">
        <v>2.39</v>
      </c>
      <c r="AH358" s="407">
        <v>6</v>
      </c>
      <c r="AI358" s="408">
        <v>0.2</v>
      </c>
      <c r="AJ358" s="407">
        <v>1.92</v>
      </c>
      <c r="AK358" s="408">
        <v>0.343</v>
      </c>
      <c r="AL358" s="432">
        <v>0.813</v>
      </c>
    </row>
    <row r="359" spans="13:38" ht="12.75">
      <c r="M359" s="33" t="s">
        <v>104</v>
      </c>
      <c r="N359" s="61" t="str">
        <f>IF(AND($D$29&gt;0,$D$30&gt;0,$D$31&gt;0),$N$358*$N$351/$N$348,"N.A.")</f>
        <v>N.A.</v>
      </c>
      <c r="O359" s="31" t="s">
        <v>237</v>
      </c>
      <c r="P359" s="38" t="s">
        <v>502</v>
      </c>
      <c r="U359" s="50"/>
      <c r="W359" s="38"/>
      <c r="AF359" s="405" t="s">
        <v>1203</v>
      </c>
      <c r="AG359" s="406">
        <v>2.64</v>
      </c>
      <c r="AH359" s="407">
        <v>5</v>
      </c>
      <c r="AI359" s="408">
        <v>0.325</v>
      </c>
      <c r="AJ359" s="407">
        <v>1.89</v>
      </c>
      <c r="AK359" s="408">
        <v>0.32</v>
      </c>
      <c r="AL359" s="432">
        <v>0.75</v>
      </c>
    </row>
    <row r="360" spans="13:38" ht="12.75">
      <c r="M360" s="160" t="s">
        <v>161</v>
      </c>
      <c r="U360" s="33"/>
      <c r="AF360" s="405" t="s">
        <v>1204</v>
      </c>
      <c r="AG360" s="406">
        <v>1.97</v>
      </c>
      <c r="AH360" s="407">
        <v>5</v>
      </c>
      <c r="AI360" s="408">
        <v>0.19</v>
      </c>
      <c r="AJ360" s="407">
        <v>1.75</v>
      </c>
      <c r="AK360" s="408">
        <v>0.32</v>
      </c>
      <c r="AL360" s="432">
        <v>0.75</v>
      </c>
    </row>
    <row r="361" spans="13:38" ht="12.75">
      <c r="M361" s="38" t="s">
        <v>644</v>
      </c>
      <c r="AF361" s="405" t="s">
        <v>1205</v>
      </c>
      <c r="AG361" s="406">
        <v>2.13</v>
      </c>
      <c r="AH361" s="407">
        <v>4</v>
      </c>
      <c r="AI361" s="408">
        <v>0.321</v>
      </c>
      <c r="AJ361" s="407">
        <v>1.72</v>
      </c>
      <c r="AK361" s="408">
        <v>0.296</v>
      </c>
      <c r="AL361" s="432">
        <v>0.75</v>
      </c>
    </row>
    <row r="362" spans="13:38" ht="12.75">
      <c r="M362" s="74" t="s">
        <v>51</v>
      </c>
      <c r="N362" s="43">
        <f>$N$10</f>
        <v>7.125016348901795</v>
      </c>
      <c r="O362" s="31" t="s">
        <v>269</v>
      </c>
      <c r="P362" s="115" t="s">
        <v>53</v>
      </c>
      <c r="Q362" s="365"/>
      <c r="AF362" s="405" t="s">
        <v>1206</v>
      </c>
      <c r="AG362" s="406">
        <v>1.58</v>
      </c>
      <c r="AH362" s="407">
        <v>4</v>
      </c>
      <c r="AI362" s="408">
        <v>0.184</v>
      </c>
      <c r="AJ362" s="407">
        <v>1.58</v>
      </c>
      <c r="AK362" s="408">
        <v>0.296</v>
      </c>
      <c r="AL362" s="432">
        <v>0.75</v>
      </c>
    </row>
    <row r="363" spans="13:38" ht="12.75">
      <c r="M363" s="33" t="s">
        <v>427</v>
      </c>
      <c r="N363" s="61">
        <f>$N$11</f>
        <v>82.77323612608444</v>
      </c>
      <c r="O363" s="38" t="s">
        <v>237</v>
      </c>
      <c r="P363" s="48" t="s">
        <v>642</v>
      </c>
      <c r="Q363" s="9"/>
      <c r="R363" s="9"/>
      <c r="AF363" s="405" t="s">
        <v>1207</v>
      </c>
      <c r="AG363" s="406">
        <v>1.38</v>
      </c>
      <c r="AH363" s="407">
        <v>4</v>
      </c>
      <c r="AI363" s="408">
        <v>0.125</v>
      </c>
      <c r="AJ363" s="407">
        <v>1.58</v>
      </c>
      <c r="AK363" s="408">
        <v>0.296</v>
      </c>
      <c r="AL363" s="432">
        <v>0.75</v>
      </c>
    </row>
    <row r="364" spans="13:38" ht="12.75">
      <c r="M364" s="33" t="s">
        <v>625</v>
      </c>
      <c r="N364" s="43">
        <f>3.09*16*$D$25/$N$7</f>
        <v>0.23769230769230767</v>
      </c>
      <c r="O364" s="29" t="s">
        <v>268</v>
      </c>
      <c r="P364" s="29" t="s">
        <v>626</v>
      </c>
      <c r="AF364" s="405" t="s">
        <v>1208</v>
      </c>
      <c r="AG364" s="406">
        <v>1.76</v>
      </c>
      <c r="AH364" s="407">
        <v>3</v>
      </c>
      <c r="AI364" s="408">
        <v>0.356</v>
      </c>
      <c r="AJ364" s="407">
        <v>1.6</v>
      </c>
      <c r="AK364" s="408">
        <v>0.273</v>
      </c>
      <c r="AL364" s="432">
        <v>0.688</v>
      </c>
    </row>
    <row r="365" spans="13:38" ht="12.75">
      <c r="M365" s="33" t="s">
        <v>648</v>
      </c>
      <c r="N365" s="34" t="str">
        <f>IF($N$364&gt;$D$46,"Yes","No")</f>
        <v>No</v>
      </c>
      <c r="P365" s="29" t="s">
        <v>645</v>
      </c>
      <c r="AF365" s="405" t="s">
        <v>1209</v>
      </c>
      <c r="AG365" s="406">
        <v>1.47</v>
      </c>
      <c r="AH365" s="407">
        <v>3</v>
      </c>
      <c r="AI365" s="408">
        <v>0.258</v>
      </c>
      <c r="AJ365" s="407">
        <v>1.5</v>
      </c>
      <c r="AK365" s="408">
        <v>0.273</v>
      </c>
      <c r="AL365" s="432">
        <v>0.688</v>
      </c>
    </row>
    <row r="366" spans="13:38" ht="12.75">
      <c r="M366" s="33" t="s">
        <v>624</v>
      </c>
      <c r="N366" s="61">
        <f>IF($N$365="No",$N$11,$N$11*$D$46/$N$364)</f>
        <v>82.77323612608444</v>
      </c>
      <c r="O366" s="31" t="s">
        <v>237</v>
      </c>
      <c r="P366" s="155" t="str">
        <f>IF($N$365="No","Rwr' = Rwr, tmin &lt; twc, no reduction in strength is needed","Rwr' = Rwr*twc/tmin")</f>
        <v>Rwr' = Rwr, tmin &lt; twc, no reduction in strength is needed</v>
      </c>
      <c r="Q366" s="38"/>
      <c r="AF366" s="405" t="s">
        <v>1210</v>
      </c>
      <c r="AG366" s="406">
        <v>1.2</v>
      </c>
      <c r="AH366" s="407">
        <v>3</v>
      </c>
      <c r="AI366" s="408">
        <v>0.17</v>
      </c>
      <c r="AJ366" s="407">
        <v>1.41</v>
      </c>
      <c r="AK366" s="408">
        <v>0.273</v>
      </c>
      <c r="AL366" s="432">
        <v>0.688</v>
      </c>
    </row>
    <row r="367" spans="13:38" ht="12.75">
      <c r="M367" s="33" t="s">
        <v>428</v>
      </c>
      <c r="N367" s="41">
        <f>$N$366*COS($N$362*PI()/180)</f>
        <v>82.13405099191012</v>
      </c>
      <c r="O367" s="31" t="s">
        <v>237</v>
      </c>
      <c r="P367" s="92" t="s">
        <v>635</v>
      </c>
      <c r="R367" s="9"/>
      <c r="AF367" s="414" t="s">
        <v>1211</v>
      </c>
      <c r="AG367" s="433">
        <v>1.09</v>
      </c>
      <c r="AH367" s="416">
        <v>3</v>
      </c>
      <c r="AI367" s="417">
        <v>0.132</v>
      </c>
      <c r="AJ367" s="416">
        <v>1.37</v>
      </c>
      <c r="AK367" s="417">
        <v>0.273</v>
      </c>
      <c r="AL367" s="434">
        <v>0.688</v>
      </c>
    </row>
    <row r="368" spans="13:38" ht="12.75">
      <c r="M368" s="33" t="s">
        <v>429</v>
      </c>
      <c r="N368" s="61">
        <f>$N$366*SIN($N$362*PI()/180)</f>
        <v>10.26675637398876</v>
      </c>
      <c r="O368" s="31" t="s">
        <v>237</v>
      </c>
      <c r="P368" s="92" t="s">
        <v>636</v>
      </c>
      <c r="AF368" s="405" t="s">
        <v>1212</v>
      </c>
      <c r="AG368" s="406">
        <v>17.1</v>
      </c>
      <c r="AH368" s="407">
        <v>18</v>
      </c>
      <c r="AI368" s="408">
        <v>0.7</v>
      </c>
      <c r="AJ368" s="407">
        <v>4.2</v>
      </c>
      <c r="AK368" s="408">
        <v>0.625</v>
      </c>
      <c r="AL368" s="432">
        <v>1.44</v>
      </c>
    </row>
    <row r="369" spans="13:38" ht="12.75">
      <c r="M369" s="29" t="s">
        <v>157</v>
      </c>
      <c r="P369" s="48" t="s">
        <v>571</v>
      </c>
      <c r="AF369" s="405" t="s">
        <v>1213</v>
      </c>
      <c r="AG369" s="406">
        <v>15.3</v>
      </c>
      <c r="AH369" s="407">
        <v>18</v>
      </c>
      <c r="AI369" s="408">
        <v>0.6</v>
      </c>
      <c r="AJ369" s="407">
        <v>4.1</v>
      </c>
      <c r="AK369" s="408">
        <v>0.625</v>
      </c>
      <c r="AL369" s="432">
        <v>1.44</v>
      </c>
    </row>
    <row r="370" spans="13:38" ht="12.75">
      <c r="M370" s="33" t="s">
        <v>125</v>
      </c>
      <c r="N370" s="71" t="str">
        <f>IF($D$17&gt;0,IF($D$34="Yes",$D$46+$D$32*($D$33/$D$13),"N.A."),"N.A.")</f>
        <v>N.A.</v>
      </c>
      <c r="O370" s="31" t="s">
        <v>268</v>
      </c>
      <c r="P370" s="31" t="s">
        <v>127</v>
      </c>
      <c r="S370" s="57"/>
      <c r="AF370" s="405" t="s">
        <v>1214</v>
      </c>
      <c r="AG370" s="406">
        <v>13.5</v>
      </c>
      <c r="AH370" s="407">
        <v>18</v>
      </c>
      <c r="AI370" s="408">
        <v>0.5</v>
      </c>
      <c r="AJ370" s="407">
        <v>4</v>
      </c>
      <c r="AK370" s="408">
        <v>0.625</v>
      </c>
      <c r="AL370" s="432">
        <v>1.44</v>
      </c>
    </row>
    <row r="371" spans="13:38" ht="12.75">
      <c r="M371" s="33" t="s">
        <v>554</v>
      </c>
      <c r="N371" s="71" t="str">
        <f>IF($D$17&gt;0,IF($D$34="Yes",0.25*$D$13*$N$370^2,"N.A."),"N.A.")</f>
        <v>N.A.</v>
      </c>
      <c r="O371" s="31" t="s">
        <v>237</v>
      </c>
      <c r="P371" s="29" t="s">
        <v>555</v>
      </c>
      <c r="R371" s="57"/>
      <c r="S371" s="57"/>
      <c r="AF371" s="405" t="s">
        <v>1215</v>
      </c>
      <c r="AG371" s="406">
        <v>12.6</v>
      </c>
      <c r="AH371" s="407">
        <v>18</v>
      </c>
      <c r="AI371" s="408">
        <v>0.45</v>
      </c>
      <c r="AJ371" s="407">
        <v>3.95</v>
      </c>
      <c r="AK371" s="408">
        <v>0.625</v>
      </c>
      <c r="AL371" s="432">
        <v>1.44</v>
      </c>
    </row>
    <row r="372" spans="13:38" ht="12.75">
      <c r="M372" s="33" t="s">
        <v>556</v>
      </c>
      <c r="N372" s="71" t="str">
        <f>IF($D$17&gt;0,IF($D$34="Yes",$D$45-2*$D$49,"N.A."),"N.A.")</f>
        <v>N.A.</v>
      </c>
      <c r="O372" s="31" t="s">
        <v>268</v>
      </c>
      <c r="P372" s="29" t="s">
        <v>581</v>
      </c>
      <c r="Q372" s="57"/>
      <c r="R372" s="57"/>
      <c r="S372" s="57"/>
      <c r="AF372" s="405" t="s">
        <v>1216</v>
      </c>
      <c r="AG372" s="406">
        <v>14.7</v>
      </c>
      <c r="AH372" s="407">
        <v>13</v>
      </c>
      <c r="AI372" s="408">
        <v>0.787</v>
      </c>
      <c r="AJ372" s="407">
        <v>4.41</v>
      </c>
      <c r="AK372" s="408">
        <v>0.61</v>
      </c>
      <c r="AL372" s="432">
        <v>1.44</v>
      </c>
    </row>
    <row r="373" spans="13:38" ht="12.75">
      <c r="M373" s="33" t="s">
        <v>1032</v>
      </c>
      <c r="N373" s="71" t="str">
        <f>IF($D$17&gt;0,IF($D$34="Yes",($N$372-$N$375)/2,"N.A."),"N.A.")</f>
        <v>N.A.</v>
      </c>
      <c r="O373" s="31" t="s">
        <v>268</v>
      </c>
      <c r="P373" s="29" t="s">
        <v>580</v>
      </c>
      <c r="AF373" s="405" t="s">
        <v>1217</v>
      </c>
      <c r="AG373" s="406">
        <v>11.8</v>
      </c>
      <c r="AH373" s="407">
        <v>13</v>
      </c>
      <c r="AI373" s="408">
        <v>0.56</v>
      </c>
      <c r="AJ373" s="407">
        <v>4.19</v>
      </c>
      <c r="AK373" s="408">
        <v>0.61</v>
      </c>
      <c r="AL373" s="432">
        <v>1.44</v>
      </c>
    </row>
    <row r="374" spans="13:38" ht="12.75">
      <c r="M374" s="33" t="s">
        <v>1031</v>
      </c>
      <c r="N374" s="71" t="str">
        <f>IF($D$17&gt;0,IF($D$34="Yes",$N$373,"N.A."),"N.A.")</f>
        <v>N.A.</v>
      </c>
      <c r="O374" s="31" t="s">
        <v>268</v>
      </c>
      <c r="P374" s="29" t="s">
        <v>579</v>
      </c>
      <c r="AF374" s="405" t="s">
        <v>1218</v>
      </c>
      <c r="AG374" s="406">
        <v>10.3</v>
      </c>
      <c r="AH374" s="407">
        <v>13</v>
      </c>
      <c r="AI374" s="408">
        <v>0.447</v>
      </c>
      <c r="AJ374" s="407">
        <v>4.07</v>
      </c>
      <c r="AK374" s="408">
        <v>0.61</v>
      </c>
      <c r="AL374" s="432">
        <v>1.44</v>
      </c>
    </row>
    <row r="375" spans="13:38" ht="12.75">
      <c r="M375" s="33" t="s">
        <v>568</v>
      </c>
      <c r="N375" s="71" t="str">
        <f>IF($D$17&gt;0,IF($D$34="Yes",5.5,"N.A."),"N.A.")</f>
        <v>N.A.</v>
      </c>
      <c r="O375" s="31" t="s">
        <v>268</v>
      </c>
      <c r="P375" s="29" t="s">
        <v>130</v>
      </c>
      <c r="AF375" s="405" t="s">
        <v>1219</v>
      </c>
      <c r="AG375" s="406">
        <v>9.35</v>
      </c>
      <c r="AH375" s="407">
        <v>13</v>
      </c>
      <c r="AI375" s="408">
        <v>0.375</v>
      </c>
      <c r="AJ375" s="407">
        <v>4</v>
      </c>
      <c r="AK375" s="408">
        <v>0.61</v>
      </c>
      <c r="AL375" s="432">
        <v>1.44</v>
      </c>
    </row>
    <row r="376" spans="13:38" ht="12.75">
      <c r="M376" s="50" t="s">
        <v>401</v>
      </c>
      <c r="N376" s="71" t="str">
        <f>IF($D$17&gt;0,IF($D$34="Yes",$D$26,"N.A."),"N.A.")</f>
        <v>N.A.</v>
      </c>
      <c r="O376" s="31" t="s">
        <v>268</v>
      </c>
      <c r="P376" s="31" t="s">
        <v>131</v>
      </c>
      <c r="Q376" s="57"/>
      <c r="R376" s="57"/>
      <c r="S376" s="57"/>
      <c r="AF376" s="405" t="s">
        <v>1220</v>
      </c>
      <c r="AG376" s="406">
        <v>14.7</v>
      </c>
      <c r="AH376" s="407">
        <v>12</v>
      </c>
      <c r="AI376" s="408">
        <v>0.835</v>
      </c>
      <c r="AJ376" s="407">
        <v>4.14</v>
      </c>
      <c r="AK376" s="408">
        <v>0.7</v>
      </c>
      <c r="AL376" s="432">
        <v>1.31</v>
      </c>
    </row>
    <row r="377" spans="13:38" ht="12.75">
      <c r="M377" s="74" t="s">
        <v>563</v>
      </c>
      <c r="N377" s="41" t="str">
        <f>IF($D$17&gt;0,IF($D$34="Yes",0.9,"N.A."),"N.A.")</f>
        <v>N.A.</v>
      </c>
      <c r="O377" s="31"/>
      <c r="P377" s="75" t="s">
        <v>564</v>
      </c>
      <c r="Q377" s="57"/>
      <c r="R377" s="75"/>
      <c r="S377" s="57"/>
      <c r="AF377" s="405" t="s">
        <v>1221</v>
      </c>
      <c r="AG377" s="406">
        <v>13.2</v>
      </c>
      <c r="AH377" s="407">
        <v>12</v>
      </c>
      <c r="AI377" s="408">
        <v>0.71</v>
      </c>
      <c r="AJ377" s="407">
        <v>4.01</v>
      </c>
      <c r="AK377" s="408">
        <v>0.7</v>
      </c>
      <c r="AL377" s="432">
        <v>1.31</v>
      </c>
    </row>
    <row r="378" spans="13:38" ht="12.75">
      <c r="M378" s="74" t="s">
        <v>565</v>
      </c>
      <c r="N378" s="41" t="str">
        <f>IF($D$17&gt;0,IF($D$34="Yes",$N$377*2*$N$371*(((2*SQRT(2*$N$372*$N$373*$N$374/($N$373+$N$374))+$N$376/2)*($N$373+$N$374))/($N$373*$N$374)),"N.A."),"N.A.")</f>
        <v>N.A.</v>
      </c>
      <c r="O378" s="31" t="s">
        <v>237</v>
      </c>
      <c r="P378" s="75" t="s">
        <v>578</v>
      </c>
      <c r="Q378" s="57"/>
      <c r="R378" s="57"/>
      <c r="S378" s="57"/>
      <c r="AF378" s="405" t="s">
        <v>1222</v>
      </c>
      <c r="AG378" s="406">
        <v>11.8</v>
      </c>
      <c r="AH378" s="407">
        <v>12</v>
      </c>
      <c r="AI378" s="408">
        <v>0.59</v>
      </c>
      <c r="AJ378" s="407">
        <v>3.89</v>
      </c>
      <c r="AK378" s="408">
        <v>0.7</v>
      </c>
      <c r="AL378" s="432">
        <v>1.31</v>
      </c>
    </row>
    <row r="379" spans="13:38" ht="12.75">
      <c r="M379" s="50" t="s">
        <v>557</v>
      </c>
      <c r="N379" s="61" t="str">
        <f>IF($D$17&gt;0,IF($D$34="Yes",$N$378/1.5,"N.A."),"N.A.")</f>
        <v>N.A.</v>
      </c>
      <c r="O379" s="31" t="s">
        <v>237</v>
      </c>
      <c r="P379" s="38" t="s">
        <v>567</v>
      </c>
      <c r="Q379" s="57"/>
      <c r="R379" s="57"/>
      <c r="S379" s="57"/>
      <c r="AF379" s="405" t="s">
        <v>1223</v>
      </c>
      <c r="AG379" s="406">
        <v>10.3</v>
      </c>
      <c r="AH379" s="407">
        <v>12</v>
      </c>
      <c r="AI379" s="408">
        <v>0.465</v>
      </c>
      <c r="AJ379" s="407">
        <v>3.77</v>
      </c>
      <c r="AK379" s="408">
        <v>0.7</v>
      </c>
      <c r="AL379" s="432">
        <v>1.31</v>
      </c>
    </row>
    <row r="380" spans="13:38" ht="12.75">
      <c r="M380" s="57" t="s">
        <v>160</v>
      </c>
      <c r="N380" s="57"/>
      <c r="O380" s="57"/>
      <c r="P380" s="38"/>
      <c r="AF380" s="405" t="s">
        <v>1224</v>
      </c>
      <c r="AG380" s="406">
        <v>9.12</v>
      </c>
      <c r="AH380" s="407">
        <v>12</v>
      </c>
      <c r="AI380" s="408">
        <v>0.37</v>
      </c>
      <c r="AJ380" s="407">
        <v>3.67</v>
      </c>
      <c r="AK380" s="408">
        <v>0.7</v>
      </c>
      <c r="AL380" s="432">
        <v>1.31</v>
      </c>
    </row>
    <row r="381" spans="13:38" ht="12.75">
      <c r="M381" s="33" t="s">
        <v>346</v>
      </c>
      <c r="N381" s="575">
        <f>1+FLOOR(($D$26-3)/3,1)</f>
        <v>4</v>
      </c>
      <c r="P381" s="29" t="s">
        <v>561</v>
      </c>
      <c r="AF381" s="405" t="s">
        <v>1225</v>
      </c>
      <c r="AG381" s="406">
        <v>3.1</v>
      </c>
      <c r="AH381" s="407">
        <v>12</v>
      </c>
      <c r="AI381" s="408">
        <v>0.19</v>
      </c>
      <c r="AJ381" s="407">
        <v>1.5</v>
      </c>
      <c r="AK381" s="408">
        <v>0.309</v>
      </c>
      <c r="AL381" s="432">
        <v>0.75</v>
      </c>
    </row>
    <row r="382" spans="13:38" ht="12.75">
      <c r="M382" s="33" t="s">
        <v>125</v>
      </c>
      <c r="N382" s="71" t="str">
        <f>IF($D$17&gt;0,IF(D$34="Yes",$D$46+$D$32*($D$33/$D$13),"N.A."),"N.A.")</f>
        <v>N.A.</v>
      </c>
      <c r="O382" s="31" t="s">
        <v>268</v>
      </c>
      <c r="P382" s="31" t="s">
        <v>127</v>
      </c>
      <c r="AF382" s="405" t="s">
        <v>1226</v>
      </c>
      <c r="AG382" s="406">
        <v>12.1</v>
      </c>
      <c r="AH382" s="407">
        <v>10</v>
      </c>
      <c r="AI382" s="408">
        <v>0.796</v>
      </c>
      <c r="AJ382" s="407">
        <v>4.32</v>
      </c>
      <c r="AK382" s="408">
        <v>0.575</v>
      </c>
      <c r="AL382" s="432">
        <v>1.31</v>
      </c>
    </row>
    <row r="383" spans="13:38" ht="12.75">
      <c r="M383" s="50" t="s">
        <v>232</v>
      </c>
      <c r="N383" s="61" t="str">
        <f>IF($D$17&gt;0,IF(D$34="Yes",($D$17/$N$381)/($N$382*(3-0.875)),"N.A."),"N.A.")</f>
        <v>N.A.</v>
      </c>
      <c r="O383" s="38" t="s">
        <v>245</v>
      </c>
      <c r="P383" s="38" t="s">
        <v>132</v>
      </c>
      <c r="AF383" s="405" t="s">
        <v>1227</v>
      </c>
      <c r="AG383" s="406">
        <v>9.87</v>
      </c>
      <c r="AH383" s="407">
        <v>10</v>
      </c>
      <c r="AI383" s="408">
        <v>0.575</v>
      </c>
      <c r="AJ383" s="407">
        <v>4.1</v>
      </c>
      <c r="AK383" s="408">
        <v>0.575</v>
      </c>
      <c r="AL383" s="432">
        <v>1.31</v>
      </c>
    </row>
    <row r="384" spans="13:38" ht="12.75">
      <c r="M384" s="50" t="s">
        <v>247</v>
      </c>
      <c r="N384" s="61" t="str">
        <f>IF($D$17&gt;0,IF(D$34="Yes",0.4*$D$13,"N.A."),"N.A.")</f>
        <v>N.A.</v>
      </c>
      <c r="O384" s="38" t="s">
        <v>245</v>
      </c>
      <c r="P384" s="38" t="s">
        <v>646</v>
      </c>
      <c r="AF384" s="405" t="s">
        <v>1228</v>
      </c>
      <c r="AG384" s="406">
        <v>8.37</v>
      </c>
      <c r="AH384" s="407">
        <v>10</v>
      </c>
      <c r="AI384" s="408">
        <v>0.425</v>
      </c>
      <c r="AJ384" s="407">
        <v>3.95</v>
      </c>
      <c r="AK384" s="408">
        <v>0.575</v>
      </c>
      <c r="AL384" s="432">
        <v>1.31</v>
      </c>
    </row>
    <row r="385" spans="13:38" ht="12.75">
      <c r="M385" s="29" t="s">
        <v>128</v>
      </c>
      <c r="O385" s="57"/>
      <c r="P385" s="31"/>
      <c r="AF385" s="405" t="s">
        <v>1229</v>
      </c>
      <c r="AG385" s="406">
        <v>7.35</v>
      </c>
      <c r="AH385" s="407">
        <v>10</v>
      </c>
      <c r="AI385" s="408">
        <v>0.38</v>
      </c>
      <c r="AJ385" s="407">
        <v>3.41</v>
      </c>
      <c r="AK385" s="408">
        <v>0.575</v>
      </c>
      <c r="AL385" s="432">
        <v>1.31</v>
      </c>
    </row>
    <row r="386" spans="13:38" ht="12.75">
      <c r="M386" s="33" t="s">
        <v>129</v>
      </c>
      <c r="N386" s="61" t="str">
        <f>IF($D$17&gt;0,IF(D$34="Yes",IF($D$32&gt;0,2*$D$26,"N.A."),"N.A."),"N.A.")</f>
        <v>N.A.</v>
      </c>
      <c r="O386" s="38" t="s">
        <v>268</v>
      </c>
      <c r="P386" s="38" t="s">
        <v>611</v>
      </c>
      <c r="AF386" s="405" t="s">
        <v>1230</v>
      </c>
      <c r="AG386" s="406">
        <v>6.45</v>
      </c>
      <c r="AH386" s="407">
        <v>10</v>
      </c>
      <c r="AI386" s="408">
        <v>0.29</v>
      </c>
      <c r="AJ386" s="407">
        <v>3.32</v>
      </c>
      <c r="AK386" s="408">
        <v>0.575</v>
      </c>
      <c r="AL386" s="432">
        <v>1.31</v>
      </c>
    </row>
    <row r="387" spans="13:38" ht="12.75">
      <c r="M387" s="33" t="s">
        <v>119</v>
      </c>
      <c r="N387" s="43" t="str">
        <f>IF($D$17&gt;0,IF(D$34="Yes",IF($D$32&gt;0,$D$17/$N$386,"N.A."),"N.A."),"N.A.")</f>
        <v>N.A.</v>
      </c>
      <c r="O387" s="38" t="s">
        <v>120</v>
      </c>
      <c r="P387" s="38" t="s">
        <v>162</v>
      </c>
      <c r="AF387" s="405" t="s">
        <v>1231</v>
      </c>
      <c r="AG387" s="406">
        <v>2.46</v>
      </c>
      <c r="AH387" s="407">
        <v>10</v>
      </c>
      <c r="AI387" s="408">
        <v>0.17</v>
      </c>
      <c r="AJ387" s="407">
        <v>1.5</v>
      </c>
      <c r="AK387" s="408">
        <v>0.28</v>
      </c>
      <c r="AL387" s="432">
        <v>0.75</v>
      </c>
    </row>
    <row r="388" spans="13:38" ht="12.75">
      <c r="M388" s="74" t="s">
        <v>40</v>
      </c>
      <c r="N388" s="43" t="str">
        <f>IF($D$17&gt;0,IF(D$34="Yes",IF($D$32&gt;0,$N$387/((SQRT(2)/2)*0.3*70),"N.A."),"N.A."),"N.A.")</f>
        <v>N.A.</v>
      </c>
      <c r="O388" s="38" t="s">
        <v>393</v>
      </c>
      <c r="P388" s="75" t="s">
        <v>41</v>
      </c>
      <c r="AF388" s="405" t="s">
        <v>1232</v>
      </c>
      <c r="AG388" s="406">
        <v>1.95</v>
      </c>
      <c r="AH388" s="407">
        <v>10</v>
      </c>
      <c r="AI388" s="408">
        <v>0.152</v>
      </c>
      <c r="AJ388" s="407">
        <v>1.17</v>
      </c>
      <c r="AK388" s="408">
        <v>0.202</v>
      </c>
      <c r="AL388" s="432">
        <v>0.563</v>
      </c>
    </row>
    <row r="389" spans="13:38" ht="12.75">
      <c r="M389" s="74" t="s">
        <v>255</v>
      </c>
      <c r="N389" s="43" t="str">
        <f>IF($D$17&gt;0,IF(D$34="Yes",IF($D$32&gt;0,MIN(0.4*$D$33*$D$32/((SQRT(2)/2)*0.3*70),0.4*$D$13*$D$48/((SQRT(2)/2)*0.3*70)),"N.A."),"N.A."),"N.A.")</f>
        <v>N.A.</v>
      </c>
      <c r="O389" s="38" t="s">
        <v>393</v>
      </c>
      <c r="P389" s="75" t="s">
        <v>255</v>
      </c>
      <c r="Q389" s="38" t="str">
        <f>IF(0.4*$D$33*$D$32/((SQRT(2)/2)*0.3*70)&lt;=0.4*$D$13*$D$48/((SQRT(2)/2)*0.3*70),"0.40*Fyd*td/((SQRT(2)/2)*0.30*70)","0.40*Fyc*tfc/((SQRT(2)/2)*0.30*70)")</f>
        <v>0.40*Fyd*td/((SQRT(2)/2)*0.30*70)</v>
      </c>
      <c r="AF389" s="405" t="s">
        <v>1233</v>
      </c>
      <c r="AG389" s="406">
        <v>7.47</v>
      </c>
      <c r="AH389" s="407">
        <v>9</v>
      </c>
      <c r="AI389" s="408">
        <v>0.45</v>
      </c>
      <c r="AJ389" s="407">
        <v>3.5</v>
      </c>
      <c r="AK389" s="408">
        <v>0.55</v>
      </c>
      <c r="AL389" s="432">
        <v>1.25</v>
      </c>
    </row>
    <row r="390" spans="32:38" ht="12.75">
      <c r="AF390" s="405" t="s">
        <v>1234</v>
      </c>
      <c r="AG390" s="406">
        <v>7.02</v>
      </c>
      <c r="AH390" s="407">
        <v>9</v>
      </c>
      <c r="AI390" s="408">
        <v>0.4</v>
      </c>
      <c r="AJ390" s="407">
        <v>3.45</v>
      </c>
      <c r="AK390" s="408">
        <v>0.55</v>
      </c>
      <c r="AL390" s="432">
        <v>1.25</v>
      </c>
    </row>
    <row r="391" spans="32:38" ht="12.75">
      <c r="AF391" s="405" t="s">
        <v>1235</v>
      </c>
      <c r="AG391" s="406">
        <v>6.7</v>
      </c>
      <c r="AH391" s="407">
        <v>8</v>
      </c>
      <c r="AI391" s="408">
        <v>0.427</v>
      </c>
      <c r="AJ391" s="407">
        <v>3.5</v>
      </c>
      <c r="AK391" s="408">
        <v>0.525</v>
      </c>
      <c r="AL391" s="432">
        <v>1.19</v>
      </c>
    </row>
    <row r="392" spans="32:38" ht="12.75">
      <c r="AF392" s="405" t="s">
        <v>1236</v>
      </c>
      <c r="AG392" s="406">
        <v>6.28</v>
      </c>
      <c r="AH392" s="407">
        <v>8</v>
      </c>
      <c r="AI392" s="408">
        <v>0.375</v>
      </c>
      <c r="AJ392" s="407">
        <v>3.45</v>
      </c>
      <c r="AK392" s="408">
        <v>0.525</v>
      </c>
      <c r="AL392" s="432">
        <v>1.19</v>
      </c>
    </row>
    <row r="393" spans="32:38" ht="12.75">
      <c r="AF393" s="405" t="s">
        <v>1237</v>
      </c>
      <c r="AG393" s="406">
        <v>5.88</v>
      </c>
      <c r="AH393" s="407">
        <v>8</v>
      </c>
      <c r="AI393" s="408">
        <v>0.4</v>
      </c>
      <c r="AJ393" s="407">
        <v>3.03</v>
      </c>
      <c r="AK393" s="408">
        <v>0.5</v>
      </c>
      <c r="AL393" s="432">
        <v>1.13</v>
      </c>
    </row>
    <row r="394" spans="32:38" ht="12.75">
      <c r="AF394" s="405" t="s">
        <v>1238</v>
      </c>
      <c r="AG394" s="406">
        <v>5.5</v>
      </c>
      <c r="AH394" s="407">
        <v>8</v>
      </c>
      <c r="AI394" s="408">
        <v>0.353</v>
      </c>
      <c r="AJ394" s="407">
        <v>2.98</v>
      </c>
      <c r="AK394" s="408">
        <v>0.5</v>
      </c>
      <c r="AL394" s="432">
        <v>1.13</v>
      </c>
    </row>
    <row r="395" spans="32:38" ht="12.75">
      <c r="AF395" s="405" t="s">
        <v>1239</v>
      </c>
      <c r="AG395" s="406">
        <v>2.5</v>
      </c>
      <c r="AH395" s="407">
        <v>8</v>
      </c>
      <c r="AI395" s="408">
        <v>0.179</v>
      </c>
      <c r="AJ395" s="407">
        <v>1.87</v>
      </c>
      <c r="AK395" s="408">
        <v>0.311</v>
      </c>
      <c r="AL395" s="432">
        <v>0.813</v>
      </c>
    </row>
    <row r="396" spans="32:38" ht="12.75">
      <c r="AF396" s="405" t="s">
        <v>1240</v>
      </c>
      <c r="AG396" s="406">
        <v>6.67</v>
      </c>
      <c r="AH396" s="407">
        <v>7</v>
      </c>
      <c r="AI396" s="408">
        <v>0.503</v>
      </c>
      <c r="AJ396" s="407">
        <v>3.6</v>
      </c>
      <c r="AK396" s="408">
        <v>0.5</v>
      </c>
      <c r="AL396" s="432">
        <v>1.13</v>
      </c>
    </row>
    <row r="397" spans="32:38" ht="12.75">
      <c r="AF397" s="405" t="s">
        <v>1241</v>
      </c>
      <c r="AG397" s="406">
        <v>5.61</v>
      </c>
      <c r="AH397" s="407">
        <v>7</v>
      </c>
      <c r="AI397" s="408">
        <v>0.352</v>
      </c>
      <c r="AJ397" s="407">
        <v>3.45</v>
      </c>
      <c r="AK397" s="408">
        <v>0.5</v>
      </c>
      <c r="AL397" s="432">
        <v>1.13</v>
      </c>
    </row>
    <row r="398" spans="32:38" ht="12.75">
      <c r="AF398" s="405" t="s">
        <v>1242</v>
      </c>
      <c r="AG398" s="406">
        <v>5.29</v>
      </c>
      <c r="AH398" s="407">
        <v>6</v>
      </c>
      <c r="AI398" s="408">
        <v>0.379</v>
      </c>
      <c r="AJ398" s="407">
        <v>3.5</v>
      </c>
      <c r="AK398" s="408">
        <v>0.475</v>
      </c>
      <c r="AL398" s="432">
        <v>1.06</v>
      </c>
    </row>
    <row r="399" spans="32:38" ht="12.75">
      <c r="AF399" s="405" t="s">
        <v>1243</v>
      </c>
      <c r="AG399" s="406">
        <v>4.49</v>
      </c>
      <c r="AH399" s="407">
        <v>6</v>
      </c>
      <c r="AI399" s="408">
        <v>0.34</v>
      </c>
      <c r="AJ399" s="407">
        <v>3.5</v>
      </c>
      <c r="AK399" s="408">
        <v>0.385</v>
      </c>
      <c r="AL399" s="432">
        <v>0.875</v>
      </c>
    </row>
    <row r="400" spans="32:38" ht="12.75">
      <c r="AF400" s="405" t="s">
        <v>1244</v>
      </c>
      <c r="AG400" s="406">
        <v>4.79</v>
      </c>
      <c r="AH400" s="407">
        <v>6</v>
      </c>
      <c r="AI400" s="408">
        <v>0.375</v>
      </c>
      <c r="AJ400" s="407">
        <v>3</v>
      </c>
      <c r="AK400" s="408">
        <v>0.475</v>
      </c>
      <c r="AL400" s="432">
        <v>1.06</v>
      </c>
    </row>
    <row r="401" spans="32:38" ht="12.75">
      <c r="AF401" s="405" t="s">
        <v>1245</v>
      </c>
      <c r="AG401" s="406">
        <v>4.44</v>
      </c>
      <c r="AH401" s="407">
        <v>6</v>
      </c>
      <c r="AI401" s="408">
        <v>0.316</v>
      </c>
      <c r="AJ401" s="407">
        <v>2.94</v>
      </c>
      <c r="AK401" s="408">
        <v>0.475</v>
      </c>
      <c r="AL401" s="432">
        <v>1.06</v>
      </c>
    </row>
    <row r="402" spans="32:38" ht="12.75">
      <c r="AF402" s="405" t="s">
        <v>1246</v>
      </c>
      <c r="AG402" s="406">
        <v>3.53</v>
      </c>
      <c r="AH402" s="407">
        <v>6</v>
      </c>
      <c r="AI402" s="408">
        <v>0.31</v>
      </c>
      <c r="AJ402" s="407">
        <v>2.5</v>
      </c>
      <c r="AK402" s="408">
        <v>0.375</v>
      </c>
      <c r="AL402" s="432">
        <v>0.875</v>
      </c>
    </row>
    <row r="403" spans="32:38" ht="12.75">
      <c r="AF403" s="405" t="s">
        <v>1247</v>
      </c>
      <c r="AG403" s="406">
        <v>2.09</v>
      </c>
      <c r="AH403" s="407">
        <v>6</v>
      </c>
      <c r="AI403" s="408">
        <v>0.179</v>
      </c>
      <c r="AJ403" s="407">
        <v>1.88</v>
      </c>
      <c r="AK403" s="408">
        <v>0.291</v>
      </c>
      <c r="AL403" s="432">
        <v>0.75</v>
      </c>
    </row>
    <row r="404" spans="32:38" ht="12.75">
      <c r="AF404" s="405" t="s">
        <v>1248</v>
      </c>
      <c r="AG404" s="406">
        <v>1.95</v>
      </c>
      <c r="AH404" s="407">
        <v>6</v>
      </c>
      <c r="AI404" s="408">
        <v>0.155</v>
      </c>
      <c r="AJ404" s="407">
        <v>1.85</v>
      </c>
      <c r="AK404" s="408">
        <v>0.291</v>
      </c>
      <c r="AL404" s="432">
        <v>0.75</v>
      </c>
    </row>
    <row r="405" spans="32:38" ht="12.75">
      <c r="AF405" s="405" t="s">
        <v>1249</v>
      </c>
      <c r="AG405" s="406">
        <v>4.03</v>
      </c>
      <c r="AH405" s="407">
        <v>4</v>
      </c>
      <c r="AI405" s="408">
        <v>0.5</v>
      </c>
      <c r="AJ405" s="407">
        <v>2.5</v>
      </c>
      <c r="AK405" s="408">
        <v>0.5</v>
      </c>
      <c r="AL405" s="432">
        <v>1</v>
      </c>
    </row>
    <row r="406" spans="32:38" ht="12.75">
      <c r="AF406" s="414" t="s">
        <v>1250</v>
      </c>
      <c r="AG406" s="433">
        <v>2.11</v>
      </c>
      <c r="AH406" s="416">
        <v>3</v>
      </c>
      <c r="AI406" s="417">
        <v>0.312</v>
      </c>
      <c r="AJ406" s="416">
        <v>1.94</v>
      </c>
      <c r="AK406" s="417">
        <v>0.351</v>
      </c>
      <c r="AL406" s="434">
        <v>0.813</v>
      </c>
    </row>
  </sheetData>
  <sheetProtection sheet="1" objects="1" scenarios="1"/>
  <conditionalFormatting sqref="AN221 AN63:AN64 AN192 AN68 AN71:AN75 AN94:AN99 AN121:AN149 AN186:AN189 AN163:AN164 AN172:AN173 AN151:AN160 AN199:AN216 AN166:AN170 AN77:AN84 AN89:AN92 AN103:AN106 AN115:AN119">
    <cfRule type="expression" priority="1" dxfId="0" stopIfTrue="1">
      <formula>IF(AO63="","",AO63&gt;1)</formula>
    </cfRule>
  </conditionalFormatting>
  <conditionalFormatting sqref="AO11:AO13 AO15:AO17 AO7:AO8 AO19:AO32">
    <cfRule type="expression" priority="2" dxfId="0" stopIfTrue="1">
      <formula>IF(AR7="","",AR7&gt;1)</formula>
    </cfRule>
  </conditionalFormatting>
  <conditionalFormatting sqref="I40">
    <cfRule type="expression" priority="3" dxfId="0" stopIfTrue="1">
      <formula>G40&gt;1</formula>
    </cfRule>
  </conditionalFormatting>
  <conditionalFormatting sqref="AO14">
    <cfRule type="expression" priority="4" dxfId="0" stopIfTrue="1">
      <formula>AR13&gt;1</formula>
    </cfRule>
  </conditionalFormatting>
  <conditionalFormatting sqref="AP14">
    <cfRule type="expression" priority="5" dxfId="0" stopIfTrue="1">
      <formula>AR13&gt;1</formula>
    </cfRule>
  </conditionalFormatting>
  <conditionalFormatting sqref="I206:I217 I249 I106 I163 I172:I173 I63:I65 I186:I199 I89:I98 I115:I147">
    <cfRule type="expression" priority="6" dxfId="0" stopIfTrue="1">
      <formula>AO63&gt;1</formula>
    </cfRule>
  </conditionalFormatting>
  <conditionalFormatting sqref="I165">
    <cfRule type="expression" priority="7" dxfId="0" stopIfTrue="1">
      <formula>AO218&gt;1</formula>
    </cfRule>
  </conditionalFormatting>
  <conditionalFormatting sqref="I166:I171 I175:I181">
    <cfRule type="expression" priority="8" dxfId="0" stopIfTrue="1">
      <formula>AO155&gt;1</formula>
    </cfRule>
  </conditionalFormatting>
  <conditionalFormatting sqref="I184:I185">
    <cfRule type="expression" priority="9" dxfId="0" stopIfTrue="1">
      <formula>AO174&gt;1</formula>
    </cfRule>
  </conditionalFormatting>
  <conditionalFormatting sqref="I161:I162">
    <cfRule type="expression" priority="10" dxfId="0" stopIfTrue="1">
      <formula>AO148&gt;1</formula>
    </cfRule>
  </conditionalFormatting>
  <conditionalFormatting sqref="I70:I88 I104:I105">
    <cfRule type="expression" priority="11" dxfId="0" stopIfTrue="1">
      <formula>AO66&gt;1</formula>
    </cfRule>
  </conditionalFormatting>
  <conditionalFormatting sqref="I111:I113">
    <cfRule type="expression" priority="12" dxfId="0" stopIfTrue="1">
      <formula>AO103&gt;1</formula>
    </cfRule>
  </conditionalFormatting>
  <conditionalFormatting sqref="I200:I201">
    <cfRule type="expression" priority="13" dxfId="0" stopIfTrue="1">
      <formula>AO202&gt;1</formula>
    </cfRule>
  </conditionalFormatting>
  <conditionalFormatting sqref="I68">
    <cfRule type="expression" priority="14" dxfId="0" stopIfTrue="1">
      <formula>AO68&gt;1</formula>
    </cfRule>
  </conditionalFormatting>
  <conditionalFormatting sqref="I114 I107">
    <cfRule type="expression" priority="15" dxfId="0" stopIfTrue="1">
      <formula>#REF!&gt;1</formula>
    </cfRule>
  </conditionalFormatting>
  <conditionalFormatting sqref="AO94:AO99 AR7:AR32 AO186:AO189 G40 AO237:AO239 AO249:AO260 AO227:AO234 AO221 AO163:AO164 AO103:AO106 AO192:AO216 AO151:AO160 AO63:AO64 AO71:AO75 AO77:AO84 AO89:AO92 AO121:AO149 AO166:AO170 AO172:AO173 AO68 AO115:AO119">
    <cfRule type="cellIs" priority="16" dxfId="0" operator="greaterThan" stopIfTrue="1">
      <formula>1</formula>
    </cfRule>
  </conditionalFormatting>
  <conditionalFormatting sqref="I154:I160">
    <cfRule type="expression" priority="17" dxfId="0" stopIfTrue="1">
      <formula>#REF!&gt;1</formula>
    </cfRule>
  </conditionalFormatting>
  <conditionalFormatting sqref="I110">
    <cfRule type="expression" priority="18" dxfId="0" stopIfTrue="1">
      <formula>#REF!&gt;1</formula>
    </cfRule>
  </conditionalFormatting>
  <conditionalFormatting sqref="I174 I182:I183">
    <cfRule type="expression" priority="19" dxfId="0" stopIfTrue="1">
      <formula>#REF!&gt;1</formula>
    </cfRule>
  </conditionalFormatting>
  <conditionalFormatting sqref="I248">
    <cfRule type="expression" priority="20" dxfId="0" stopIfTrue="1">
      <formula>#REF!&gt;1</formula>
    </cfRule>
  </conditionalFormatting>
  <conditionalFormatting sqref="X2">
    <cfRule type="cellIs" priority="21" dxfId="0" operator="notEqual" stopIfTrue="1">
      <formula>"OK"</formula>
    </cfRule>
  </conditionalFormatting>
  <conditionalFormatting sqref="G38:G39">
    <cfRule type="expression" priority="22" dxfId="0" stopIfTrue="1">
      <formula>$G$40&gt;1</formula>
    </cfRule>
  </conditionalFormatting>
  <conditionalFormatting sqref="V253:V359">
    <cfRule type="cellIs" priority="23" dxfId="18" operator="equal" stopIfTrue="1">
      <formula>FALSE</formula>
    </cfRule>
  </conditionalFormatting>
  <conditionalFormatting sqref="AO9">
    <cfRule type="expression" priority="24" dxfId="0" stopIfTrue="1">
      <formula>IF(AR9="","",AR9&gt;1)</formula>
    </cfRule>
  </conditionalFormatting>
  <dataValidations count="18">
    <dataValidation type="list" allowBlank="1" showInputMessage="1" showErrorMessage="1" prompt="If beam has axial load (P) and there is no beam or brace on opposite side of column web, then the column web should be checked (Yes) for web bending and out-of-plane web shear.  For most cases the input here will be &quot;No&quot;." sqref="D34">
      <formula1>$K$34:$K$35</formula1>
    </dataValidation>
    <dataValidation type="list" allowBlank="1" showInputMessage="1" showErrorMessage="1" sqref="D33">
      <formula1>$K$3:$K$4</formula1>
    </dataValidation>
    <dataValidation type="decimal" operator="greaterThanOrEqual" allowBlank="1" showInputMessage="1" showErrorMessage="1" prompt="The beam setback distance (s) is typically = 1/4&quot; to 1/2&quot;." errorTitle="Warning!" error="Setback distance MUST BE &gt;= 0!" sqref="D28">
      <formula1>0</formula1>
    </dataValidation>
    <dataValidation type="decimal" allowBlank="1" showInputMessage="1" showErrorMessage="1" prompt="The depth of the bottom flange cope (dc2) must be &lt;= 0.2*d.  If cope length (c) is input = 0, then cope depth (dc2) must be input = 0." errorTitle="Warning!" error="The value of dc2 MUST BE &lt;= 0.2*d" sqref="D31">
      <formula1>0</formula1>
      <formula2>0.2*$B$45</formula2>
    </dataValidation>
    <dataValidation type="decimal" allowBlank="1" showInputMessage="1" showErrorMessage="1" prompt="The length of the cope (c) for either top flange or both flanges must be &lt;= 2*d.  For both flanges coped, this program assumes equal cope lengths.  For uncoped beams, when both cope depths (dc1 and dc2) are = 0, then cope length (c) must be input = 0." errorTitle="Warning!" error="The value of c MUST BE &lt;= 2*d" sqref="D29">
      <formula1>0</formula1>
      <formula2>2*$B$45</formula2>
    </dataValidation>
    <dataValidation type="decimal" operator="greaterThanOrEqual" allowBlank="1" showInputMessage="1" showErrorMessage="1" prompt="The depth of the top flange cope (dc1) must be &lt;= d/2  for case of top flange cope only, and &lt;= 0.2*d  for both flanges coped.  If cope length (c) is input = 0, then cope depth (dc1) must be input = 0." errorTitle="Warning!" error="The value of dc1 MUST BE &lt;= 0.2*d" sqref="D30">
      <formula1>0</formula1>
    </dataValidation>
    <dataValidation allowBlank="1" showInputMessage="1" showErrorMessage="1" prompt="The distance, 'D1', is the distance from the top of the beam down to the top row of the bolts." sqref="D27"/>
    <dataValidation type="decimal" operator="greaterThanOrEqual" allowBlank="1" showInputMessage="1" showErrorMessage="1" error="The value input MUST BE &gt;= 0 !" sqref="D16">
      <formula1>0</formula1>
    </dataValidation>
    <dataValidation type="decimal" operator="greaterThanOrEqual" allowBlank="1" showInputMessage="1" showErrorMessage="1" prompt="The beam axial force, 'P', is the axial transfer or drag force which is to be considered in the connection analysis." error="The value input MUST BE &gt;= 0 !" sqref="D17">
      <formula1>0</formula1>
    </dataValidation>
    <dataValidation type="list" allowBlank="1" showInputMessage="1" showErrorMessage="1" prompt="User may either select desired size from pick box or type in the size designation.  Note:  input is not case sensitive." sqref="D11">
      <formula1>$AF$6:$AF$336</formula1>
    </dataValidation>
    <dataValidation type="list" allowBlank="1" showInputMessage="1" showErrorMessage="1" errorTitle="Warning!" error="Invalid steel yield strength" sqref="D12:D13 D23">
      <formula1>$K$3:$K$4</formula1>
    </dataValidation>
    <dataValidation type="list" allowBlank="1" showInputMessage="1" showErrorMessage="1" sqref="D22">
      <formula1>$K$12:$K$15</formula1>
    </dataValidation>
    <dataValidation operator="greaterThanOrEqual" allowBlank="1" showInputMessage="1" showErrorMessage="1" prompt="'Lb' is the length of the angle leg connected to the beam web.  Per AISC Table 10-3, Lb = 3&quot;." errorTitle="Warning!" error="Value of Lb MUST BE &gt;= 3&quot;" sqref="D21"/>
    <dataValidation allowBlank="1" showInputMessage="1" showErrorMessage="1" prompt="'Lc' is the length of the angle leg (OSL) connected to the column web.  From AISC Table 10-3, for L &lt; 18&quot;, Lc = 3&quot;, for L &gt;= 18&quot;, Lc = 4&quot;." sqref="D20"/>
    <dataValidation type="decimal" allowBlank="1" showInputMessage="1" showErrorMessage="1" prompt="Weld Size must be less than ta - 1/8&quot;, but never greater than 5/16&quot;" error="Invalid fillet weld size!&#10;Must be less than ta-1/8&quot;" sqref="D24">
      <formula1>0.125</formula1>
      <formula2>MIN(5/16,$D$22-1/8)</formula2>
    </dataValidation>
    <dataValidation type="decimal" allowBlank="1" showInputMessage="1" showErrorMessage="1" prompt="Weld Size must be less than ta - 1/16&quot;, but never greater than 3/8&quot;" error="Invalid fillet weld size!&#10;Must be less than ta-1/16&quot;" sqref="D25">
      <formula1>0.125</formula1>
      <formula2>MIN(3/8,$D$22-1/16)</formula2>
    </dataValidation>
    <dataValidation type="list" allowBlank="1" showInputMessage="1" showErrorMessage="1" promptTitle="Clip Angle Overall Length:" prompt="32&quot;, 30&quot;, 28&quot;, 26&quot;, 24&quot;, 22&quot;, 20&quot;, 18&quot;, 16&quot;, 14&quot;, 12&quot;, 10&quot;, 9&quot;, 8&quot;, 7&quot;, 6&quot;, 5&quot;, 4&quot;" error="Invalid Angle Length!" sqref="D26">
      <formula1>$K$16:$K$33</formula1>
    </dataValidation>
    <dataValidation type="list" allowBlank="1" showInputMessage="1" showErrorMessage="1" prompt="User may either select desired size from pick box or type in the size designation.  Note:  input is not case sensitive." sqref="D10">
      <formula1>$AF$6:$AF$406</formula1>
    </dataValidation>
  </dataValidations>
  <printOptions/>
  <pageMargins left="1" right="0.5" top="1.25" bottom="1" header="0.5" footer="0.5"/>
  <pageSetup horizontalDpi="300" verticalDpi="300" orientation="portrait" scale="96" r:id="rId4"/>
  <headerFooter alignWithMargins="0">
    <oddHeader>&amp;R&amp;8"CLIPCONN-ALL-WELD-13.xls" Program
Created By: Joel Berg, P.E.
Based on a Program By:  Alex Tomanovich, P.E.
Version 1.2</oddHeader>
    <oddFooter>&amp;L&amp;8&amp;D
&amp;T&amp;C&amp;8&amp;Z
&amp;F&amp;R&amp;8Page &amp;P
of &amp;N</oddFooter>
  </headerFooter>
  <rowBreaks count="4" manualBreakCount="4">
    <brk id="50" max="8" man="1"/>
    <brk id="100" max="8" man="1"/>
    <brk id="150" max="8" man="1"/>
    <brk id="200" max="8" man="1"/>
  </rowBreaks>
  <colBreaks count="1" manualBreakCount="1">
    <brk id="9" max="199" man="1"/>
  </colBreaks>
  <drawing r:id="rId3"/>
  <legacyDrawing r:id="rId2"/>
</worksheet>
</file>

<file path=xl/worksheets/sheet4.xml><?xml version="1.0" encoding="utf-8"?>
<worksheet xmlns="http://schemas.openxmlformats.org/spreadsheetml/2006/main" xmlns:r="http://schemas.openxmlformats.org/officeDocument/2006/relationships">
  <dimension ref="A1:AT467"/>
  <sheetViews>
    <sheetView zoomScalePageLayoutView="0" workbookViewId="0" topLeftCell="A1">
      <selection activeCell="A1" sqref="A1"/>
    </sheetView>
  </sheetViews>
  <sheetFormatPr defaultColWidth="9.140625" defaultRowHeight="12.75"/>
  <cols>
    <col min="1" max="1" width="12.7109375" style="9" customWidth="1"/>
    <col min="2" max="2" width="9.140625" style="9" customWidth="1"/>
    <col min="3" max="4" width="10.7109375" style="9" customWidth="1"/>
    <col min="5" max="8" width="9.140625" style="9" customWidth="1"/>
    <col min="9" max="9" width="12.421875" style="9" customWidth="1"/>
    <col min="10" max="21" width="9.140625" style="29" hidden="1" customWidth="1"/>
    <col min="22" max="22" width="12.7109375" style="29" hidden="1" customWidth="1"/>
    <col min="23" max="23" width="10.140625" style="29" hidden="1" customWidth="1"/>
    <col min="24" max="25" width="12.28125" style="29" hidden="1" customWidth="1"/>
    <col min="26" max="27" width="9.140625" style="29" hidden="1" customWidth="1"/>
    <col min="28" max="28" width="15.140625" style="29" hidden="1" customWidth="1"/>
    <col min="29" max="31" width="9.140625" style="29" hidden="1" customWidth="1"/>
    <col min="32" max="32" width="16.7109375" style="29" hidden="1" customWidth="1"/>
    <col min="33" max="38" width="9.140625" style="29" hidden="1" customWidth="1"/>
    <col min="39" max="39" width="8.8515625" style="9" hidden="1" customWidth="1"/>
    <col min="40" max="16384" width="9.140625" style="9" customWidth="1"/>
  </cols>
  <sheetData>
    <row r="1" spans="1:40" ht="15.75">
      <c r="A1" s="373" t="s">
        <v>500</v>
      </c>
      <c r="B1" s="374"/>
      <c r="C1" s="375"/>
      <c r="D1" s="375"/>
      <c r="E1" s="375"/>
      <c r="F1" s="375"/>
      <c r="G1" s="374"/>
      <c r="H1" s="374"/>
      <c r="I1" s="376"/>
      <c r="J1" s="91"/>
      <c r="K1" s="131"/>
      <c r="L1" s="91"/>
      <c r="M1" s="30" t="s">
        <v>284</v>
      </c>
      <c r="S1" s="91"/>
      <c r="T1" s="91"/>
      <c r="U1" s="91"/>
      <c r="V1" s="91"/>
      <c r="W1" s="37"/>
      <c r="X1" s="37"/>
      <c r="Y1" s="37"/>
      <c r="Z1" s="37"/>
      <c r="AA1" s="37"/>
      <c r="AB1" s="37"/>
      <c r="AC1" s="91"/>
      <c r="AD1" s="91"/>
      <c r="AE1" s="91"/>
      <c r="AL1" s="127"/>
      <c r="AN1" s="186" t="s">
        <v>1256</v>
      </c>
    </row>
    <row r="2" spans="1:38" ht="12.75">
      <c r="A2" s="379" t="s">
        <v>656</v>
      </c>
      <c r="B2" s="377"/>
      <c r="C2" s="377"/>
      <c r="D2" s="377"/>
      <c r="E2" s="377"/>
      <c r="F2" s="377"/>
      <c r="G2" s="377"/>
      <c r="H2" s="377"/>
      <c r="I2" s="378"/>
      <c r="J2" s="151"/>
      <c r="K2" s="26"/>
      <c r="L2" s="151"/>
      <c r="S2" s="151"/>
      <c r="T2" s="151"/>
      <c r="U2" s="151"/>
      <c r="V2" s="151"/>
      <c r="W2" s="37"/>
      <c r="X2" s="37"/>
      <c r="Y2" s="37"/>
      <c r="Z2" s="37"/>
      <c r="AA2" s="37"/>
      <c r="AB2" s="37"/>
      <c r="AC2" s="151"/>
      <c r="AD2" s="151"/>
      <c r="AE2" s="151"/>
      <c r="AG2" s="37"/>
      <c r="AL2" s="127"/>
    </row>
    <row r="3" spans="1:38" ht="12.75">
      <c r="A3" s="380" t="s">
        <v>222</v>
      </c>
      <c r="B3" s="391"/>
      <c r="C3" s="391"/>
      <c r="D3" s="391"/>
      <c r="E3" s="377"/>
      <c r="F3" s="377"/>
      <c r="G3" s="377"/>
      <c r="H3" s="377"/>
      <c r="I3" s="378"/>
      <c r="J3" s="37"/>
      <c r="K3" s="40">
        <v>36</v>
      </c>
      <c r="L3" s="37"/>
      <c r="M3" s="95" t="s">
        <v>219</v>
      </c>
      <c r="S3" s="37"/>
      <c r="T3" s="37"/>
      <c r="U3" s="37"/>
      <c r="V3" s="37"/>
      <c r="W3" s="551"/>
      <c r="X3" s="551"/>
      <c r="Y3" s="37"/>
      <c r="Z3" s="551"/>
      <c r="AA3" s="551"/>
      <c r="AB3" s="551"/>
      <c r="AC3" s="37"/>
      <c r="AD3" s="37"/>
      <c r="AE3" s="37"/>
      <c r="AF3" s="327" t="s">
        <v>694</v>
      </c>
      <c r="AG3" s="328"/>
      <c r="AH3" s="328"/>
      <c r="AI3" s="328"/>
      <c r="AJ3" s="328"/>
      <c r="AK3" s="328"/>
      <c r="AL3" s="329"/>
    </row>
    <row r="4" spans="1:44" ht="12.75">
      <c r="A4" s="381" t="s">
        <v>589</v>
      </c>
      <c r="B4" s="384"/>
      <c r="C4" s="385"/>
      <c r="D4" s="385"/>
      <c r="E4" s="386"/>
      <c r="F4" s="188" t="s">
        <v>590</v>
      </c>
      <c r="G4" s="382"/>
      <c r="H4" s="383"/>
      <c r="I4" s="387"/>
      <c r="J4" s="25"/>
      <c r="K4" s="40">
        <v>50</v>
      </c>
      <c r="L4" s="25"/>
      <c r="M4" s="57" t="s">
        <v>490</v>
      </c>
      <c r="O4" s="34"/>
      <c r="S4" s="25"/>
      <c r="T4" s="25"/>
      <c r="U4" s="25"/>
      <c r="V4" s="25"/>
      <c r="W4" s="556"/>
      <c r="X4" s="556"/>
      <c r="Y4" s="37"/>
      <c r="Z4" s="556"/>
      <c r="AA4" s="556"/>
      <c r="AB4" s="556"/>
      <c r="AC4" s="25"/>
      <c r="AD4" s="25"/>
      <c r="AE4" s="25"/>
      <c r="AF4" s="332" t="s">
        <v>695</v>
      </c>
      <c r="AG4" s="333"/>
      <c r="AH4" s="333"/>
      <c r="AI4" s="333"/>
      <c r="AJ4" s="333"/>
      <c r="AK4" s="333"/>
      <c r="AL4" s="334"/>
      <c r="AN4" s="32" t="s">
        <v>462</v>
      </c>
      <c r="AO4" s="29"/>
      <c r="AP4" s="29"/>
      <c r="AQ4" s="29"/>
      <c r="AR4" s="36"/>
    </row>
    <row r="5" spans="1:44" ht="12.75">
      <c r="A5" s="381" t="s">
        <v>591</v>
      </c>
      <c r="B5" s="384"/>
      <c r="C5" s="385"/>
      <c r="D5" s="385"/>
      <c r="E5" s="385"/>
      <c r="F5" s="188" t="s">
        <v>592</v>
      </c>
      <c r="G5" s="382"/>
      <c r="H5" s="188" t="s">
        <v>593</v>
      </c>
      <c r="I5" s="388"/>
      <c r="J5" s="25"/>
      <c r="K5" s="116">
        <v>3</v>
      </c>
      <c r="L5" s="25"/>
      <c r="M5" s="50" t="s">
        <v>335</v>
      </c>
      <c r="N5" s="109">
        <f>IF($D$23=36,58,IF($D$23=50,65))</f>
        <v>58</v>
      </c>
      <c r="O5" s="38" t="s">
        <v>245</v>
      </c>
      <c r="P5" s="38" t="str">
        <f>IF($D$23=36,"Fua = 58 for Fya = 36","Fua = 65 for Fya = 50")&amp;" (for angles)"</f>
        <v>Fua = 58 for Fya = 36 (for angles)</v>
      </c>
      <c r="S5" s="37"/>
      <c r="T5" s="37"/>
      <c r="U5" s="37"/>
      <c r="V5" s="37"/>
      <c r="W5" s="576"/>
      <c r="X5" s="577"/>
      <c r="Y5" s="37"/>
      <c r="Z5" s="577"/>
      <c r="AA5" s="577"/>
      <c r="AB5" s="577"/>
      <c r="AC5" s="25"/>
      <c r="AD5" s="25"/>
      <c r="AE5" s="25"/>
      <c r="AF5" s="330" t="s">
        <v>238</v>
      </c>
      <c r="AG5" s="331" t="s">
        <v>239</v>
      </c>
      <c r="AH5" s="331" t="s">
        <v>319</v>
      </c>
      <c r="AI5" s="331" t="s">
        <v>320</v>
      </c>
      <c r="AJ5" s="331" t="s">
        <v>321</v>
      </c>
      <c r="AK5" s="331" t="s">
        <v>322</v>
      </c>
      <c r="AL5" s="331" t="s">
        <v>323</v>
      </c>
      <c r="AN5" s="7" t="s">
        <v>461</v>
      </c>
      <c r="AO5" s="84" t="s">
        <v>236</v>
      </c>
      <c r="AP5" s="29"/>
      <c r="AQ5" s="29"/>
      <c r="AR5" s="84" t="s">
        <v>20</v>
      </c>
    </row>
    <row r="6" spans="1:44" ht="12.75">
      <c r="A6" s="19"/>
      <c r="B6" s="104"/>
      <c r="C6" s="104"/>
      <c r="D6" s="104"/>
      <c r="E6" s="104"/>
      <c r="F6" s="104"/>
      <c r="G6" s="131"/>
      <c r="H6" s="26"/>
      <c r="I6" s="198"/>
      <c r="J6" s="37"/>
      <c r="K6" s="116">
        <v>3.5</v>
      </c>
      <c r="L6" s="37"/>
      <c r="M6" s="50" t="s">
        <v>192</v>
      </c>
      <c r="N6" s="109">
        <f>IF($D$12=36,58,IF($D$12=50,65))</f>
        <v>65</v>
      </c>
      <c r="O6" s="38" t="s">
        <v>245</v>
      </c>
      <c r="P6" s="38" t="str">
        <f>IF($D$12=36,"Fub = 58 for Fyb = 36","Fub = 65 for Fyb = 50")&amp;" (for beam)"</f>
        <v>Fub = 65 for Fyb = 50 (for beam)</v>
      </c>
      <c r="S6" s="37"/>
      <c r="T6" s="37"/>
      <c r="U6" s="37"/>
      <c r="V6" s="37"/>
      <c r="W6" s="576"/>
      <c r="X6" s="577"/>
      <c r="Y6" s="48"/>
      <c r="Z6" s="577"/>
      <c r="AA6" s="577"/>
      <c r="AB6" s="577"/>
      <c r="AC6" s="37"/>
      <c r="AD6" s="37"/>
      <c r="AE6" s="37"/>
      <c r="AF6" s="400" t="s">
        <v>696</v>
      </c>
      <c r="AG6" s="401">
        <v>98.5</v>
      </c>
      <c r="AH6" s="402">
        <v>44</v>
      </c>
      <c r="AI6" s="403">
        <v>1.03</v>
      </c>
      <c r="AJ6" s="402">
        <v>15.9</v>
      </c>
      <c r="AK6" s="403">
        <v>1.77</v>
      </c>
      <c r="AL6" s="404">
        <v>2.56</v>
      </c>
      <c r="AN6" s="94" t="s">
        <v>55</v>
      </c>
      <c r="AO6" s="29"/>
      <c r="AP6" s="29"/>
      <c r="AQ6" s="29"/>
      <c r="AR6" s="126"/>
    </row>
    <row r="7" spans="1:46" ht="12.75">
      <c r="A7" s="11" t="s">
        <v>235</v>
      </c>
      <c r="B7" s="104"/>
      <c r="C7" s="104"/>
      <c r="D7" s="104"/>
      <c r="E7" s="104"/>
      <c r="F7" s="104"/>
      <c r="G7" s="119" t="s">
        <v>180</v>
      </c>
      <c r="H7" s="26"/>
      <c r="I7" s="199"/>
      <c r="J7" s="37"/>
      <c r="K7" s="116">
        <v>4</v>
      </c>
      <c r="L7" s="37"/>
      <c r="M7" s="50" t="s">
        <v>183</v>
      </c>
      <c r="N7" s="114">
        <f>IF($D$13=36,58,IF($D$13=50,65))</f>
        <v>65</v>
      </c>
      <c r="O7" s="38" t="s">
        <v>245</v>
      </c>
      <c r="P7" s="38" t="str">
        <f>IF($D$13=36,"Fug = 58 for Fyg = 36","Fug = 65 for Fyg = 50")&amp;" (for girder)"</f>
        <v>Fug = 65 for Fyg = 50 (for girder)</v>
      </c>
      <c r="S7" s="26"/>
      <c r="T7" s="26"/>
      <c r="U7" s="26"/>
      <c r="V7" s="26"/>
      <c r="W7" s="576"/>
      <c r="X7" s="577"/>
      <c r="Y7" s="48"/>
      <c r="Z7" s="577"/>
      <c r="AA7" s="577"/>
      <c r="AB7" s="577"/>
      <c r="AC7" s="37"/>
      <c r="AD7" s="37"/>
      <c r="AE7" s="37"/>
      <c r="AF7" s="405" t="s">
        <v>697</v>
      </c>
      <c r="AG7" s="406">
        <v>85.4</v>
      </c>
      <c r="AH7" s="407">
        <v>43.6</v>
      </c>
      <c r="AI7" s="408">
        <v>0.865</v>
      </c>
      <c r="AJ7" s="407">
        <v>15.8</v>
      </c>
      <c r="AK7" s="409">
        <v>1.58</v>
      </c>
      <c r="AL7" s="410">
        <v>2.36</v>
      </c>
      <c r="AN7" s="35">
        <v>63</v>
      </c>
      <c r="AO7" s="48" t="str">
        <f>IF($B$63&gt;=$D$16,"Rwv &gt;= R,  O.K.","Rwv &lt; R, N.G.")</f>
        <v>Rwv &gt;= R,  O.K.</v>
      </c>
      <c r="AP7" s="29"/>
      <c r="AQ7" s="29"/>
      <c r="AR7" s="6">
        <f>$D$16/$B$63</f>
        <v>0.4870087316640433</v>
      </c>
      <c r="AT7" s="100"/>
    </row>
    <row r="8" spans="1:46" ht="12.75">
      <c r="A8" s="19"/>
      <c r="B8" s="104"/>
      <c r="C8" s="104"/>
      <c r="D8" s="104"/>
      <c r="E8" s="200"/>
      <c r="F8" s="47"/>
      <c r="G8" s="10"/>
      <c r="H8" s="28" t="str">
        <f>"      ta="&amp;$D$22</f>
        <v>      ta=0.375</v>
      </c>
      <c r="I8" s="46"/>
      <c r="J8" s="37"/>
      <c r="K8" s="116">
        <v>5</v>
      </c>
      <c r="L8" s="37"/>
      <c r="M8" s="95" t="s">
        <v>361</v>
      </c>
      <c r="N8" s="48"/>
      <c r="O8" s="48"/>
      <c r="P8" s="48"/>
      <c r="Q8" s="48"/>
      <c r="R8" s="48"/>
      <c r="W8" s="576"/>
      <c r="X8" s="577"/>
      <c r="Y8" s="48"/>
      <c r="Z8" s="577"/>
      <c r="AA8" s="577"/>
      <c r="AB8" s="577"/>
      <c r="AC8" s="37"/>
      <c r="AD8" s="37"/>
      <c r="AE8" s="37"/>
      <c r="AF8" s="405" t="s">
        <v>698</v>
      </c>
      <c r="AG8" s="406">
        <v>76.9</v>
      </c>
      <c r="AH8" s="407">
        <v>43.3</v>
      </c>
      <c r="AI8" s="408">
        <v>0.785</v>
      </c>
      <c r="AJ8" s="407">
        <v>15.8</v>
      </c>
      <c r="AK8" s="409">
        <v>1.42</v>
      </c>
      <c r="AL8" s="410">
        <v>2.2</v>
      </c>
      <c r="AN8" s="35">
        <v>64</v>
      </c>
      <c r="AO8" s="48" t="str">
        <f>IF($D$17&gt;0,IF($B$64&gt;=$D$17,"Rwa &gt;= P,  O.K.","Rwa &lt; P, N.G."),"N.A.")</f>
        <v>Rwa &gt;= P,  O.K.</v>
      </c>
      <c r="AP8" s="29"/>
      <c r="AQ8" s="29"/>
      <c r="AR8" s="6">
        <f>IF($D$17&gt;0,$D$17/$B$64,"")</f>
        <v>0.48700873166404346</v>
      </c>
      <c r="AT8" s="100"/>
    </row>
    <row r="9" spans="1:46" ht="12.75">
      <c r="A9" s="11" t="s">
        <v>1142</v>
      </c>
      <c r="B9" s="25"/>
      <c r="C9" s="25"/>
      <c r="D9" s="25"/>
      <c r="E9" s="15" t="s">
        <v>655</v>
      </c>
      <c r="F9" s="10"/>
      <c r="G9" s="10" t="s">
        <v>654</v>
      </c>
      <c r="H9" s="10"/>
      <c r="I9" s="135" t="s">
        <v>653</v>
      </c>
      <c r="J9" s="37"/>
      <c r="K9" s="116">
        <v>6</v>
      </c>
      <c r="L9" s="37"/>
      <c r="M9" s="57" t="s">
        <v>623</v>
      </c>
      <c r="O9" s="57"/>
      <c r="P9" s="48" t="s">
        <v>622</v>
      </c>
      <c r="W9" s="576"/>
      <c r="X9" s="577"/>
      <c r="Y9" s="48"/>
      <c r="Z9" s="577"/>
      <c r="AA9" s="577"/>
      <c r="AB9" s="577"/>
      <c r="AC9" s="37"/>
      <c r="AD9" s="37"/>
      <c r="AE9" s="37"/>
      <c r="AF9" s="405" t="s">
        <v>699</v>
      </c>
      <c r="AG9" s="406">
        <v>67.7</v>
      </c>
      <c r="AH9" s="407">
        <v>42.9</v>
      </c>
      <c r="AI9" s="408">
        <v>0.71</v>
      </c>
      <c r="AJ9" s="407">
        <v>15.8</v>
      </c>
      <c r="AK9" s="409">
        <v>1.22</v>
      </c>
      <c r="AL9" s="410">
        <v>2.01</v>
      </c>
      <c r="AN9" s="35">
        <v>68</v>
      </c>
      <c r="AO9" s="38" t="str">
        <f>IF($D$17&gt;0,IF($B$68&gt;=$B$67,"Fb &gt;= fb,  O.K.","Fb &lt; fb, N.G.  "),"N.A.")</f>
        <v>Fb &gt;= fb,  O.K.</v>
      </c>
      <c r="AP9" s="29"/>
      <c r="AQ9" s="29"/>
      <c r="AR9" s="6">
        <f>IF($D$17&gt;0,$B$67/$B$68,"")</f>
        <v>0.8734855967078189</v>
      </c>
      <c r="AT9" s="100"/>
    </row>
    <row r="10" spans="1:46" ht="12.75">
      <c r="A10" s="19"/>
      <c r="B10" s="10"/>
      <c r="C10" s="44" t="s">
        <v>176</v>
      </c>
      <c r="D10" s="169" t="s">
        <v>1172</v>
      </c>
      <c r="E10" s="45"/>
      <c r="F10" s="15"/>
      <c r="G10" s="10"/>
      <c r="H10" s="15"/>
      <c r="I10" s="14"/>
      <c r="J10" s="26"/>
      <c r="K10" s="116">
        <v>7</v>
      </c>
      <c r="L10" s="44"/>
      <c r="M10" s="74" t="s">
        <v>51</v>
      </c>
      <c r="N10" s="43">
        <f>IF($D$17&gt;0,90-(ATAN($D$16/$D$17)*(180/PI())),0)</f>
        <v>7.125016348901795</v>
      </c>
      <c r="O10" s="31" t="s">
        <v>269</v>
      </c>
      <c r="P10" s="115" t="s">
        <v>53</v>
      </c>
      <c r="Q10" s="365"/>
      <c r="W10" s="576"/>
      <c r="X10" s="577"/>
      <c r="Y10" s="48"/>
      <c r="Z10" s="577"/>
      <c r="AA10" s="577"/>
      <c r="AB10" s="577"/>
      <c r="AC10" s="26"/>
      <c r="AD10" s="26"/>
      <c r="AE10" s="26"/>
      <c r="AF10" s="405" t="s">
        <v>700</v>
      </c>
      <c r="AG10" s="411">
        <v>174</v>
      </c>
      <c r="AH10" s="407">
        <v>43</v>
      </c>
      <c r="AI10" s="409">
        <v>1.79</v>
      </c>
      <c r="AJ10" s="407">
        <v>16.7</v>
      </c>
      <c r="AK10" s="409">
        <v>3.23</v>
      </c>
      <c r="AL10" s="410">
        <v>4.41</v>
      </c>
      <c r="AN10" s="94" t="s">
        <v>463</v>
      </c>
      <c r="AR10" s="390"/>
      <c r="AT10" s="100"/>
    </row>
    <row r="11" spans="1:46" ht="12.75">
      <c r="A11" s="19"/>
      <c r="B11" s="10"/>
      <c r="C11" s="44" t="s">
        <v>178</v>
      </c>
      <c r="D11" s="170" t="s">
        <v>1030</v>
      </c>
      <c r="E11" s="45"/>
      <c r="F11" s="15"/>
      <c r="G11" s="37"/>
      <c r="H11" s="10"/>
      <c r="I11" s="133" t="str">
        <f>"        D1="&amp;$D$27</f>
        <v>        D1=3.625</v>
      </c>
      <c r="K11" s="116">
        <v>8</v>
      </c>
      <c r="L11" s="44"/>
      <c r="M11" s="33" t="s">
        <v>427</v>
      </c>
      <c r="N11" s="61">
        <f>2*0.928*16*$D$25*$D$26/(SQRT(1+12.96*$D$20^2/$D$26^2))</f>
        <v>82.77323612608444</v>
      </c>
      <c r="O11" s="38" t="s">
        <v>237</v>
      </c>
      <c r="P11" s="48" t="s">
        <v>642</v>
      </c>
      <c r="Q11" s="9"/>
      <c r="R11" s="9"/>
      <c r="S11" s="37"/>
      <c r="W11" s="576"/>
      <c r="X11" s="577"/>
      <c r="Y11" s="48"/>
      <c r="Z11" s="577"/>
      <c r="AA11" s="577"/>
      <c r="AB11" s="577"/>
      <c r="AF11" s="405" t="s">
        <v>701</v>
      </c>
      <c r="AG11" s="411">
        <v>148</v>
      </c>
      <c r="AH11" s="407">
        <v>42.1</v>
      </c>
      <c r="AI11" s="409">
        <v>1.54</v>
      </c>
      <c r="AJ11" s="407">
        <v>16.4</v>
      </c>
      <c r="AK11" s="409">
        <v>2.76</v>
      </c>
      <c r="AL11" s="410">
        <v>3.94</v>
      </c>
      <c r="AN11" s="35">
        <v>89</v>
      </c>
      <c r="AO11" s="48" t="str">
        <f>IF($D$16&gt;0,IF($B$89&gt;=$D$16,"Rwv &gt;= R,  O.K.","Rwv &lt; R, N.G."),"N.A.")</f>
        <v>Rwv &gt;= R,  O.K.</v>
      </c>
      <c r="AP11" s="29"/>
      <c r="AQ11" s="29"/>
      <c r="AR11" s="43">
        <f>IF($D$16&gt;0,$D$16/$B$89,"")</f>
        <v>0.34341574354230037</v>
      </c>
      <c r="AT11" s="100"/>
    </row>
    <row r="12" spans="1:46" ht="12.75">
      <c r="A12" s="49"/>
      <c r="B12" s="10"/>
      <c r="C12" s="44" t="s">
        <v>1033</v>
      </c>
      <c r="D12" s="165">
        <v>50</v>
      </c>
      <c r="E12" s="110" t="s">
        <v>245</v>
      </c>
      <c r="F12" s="119" t="str">
        <f>"L="&amp;$D$26&amp;"    "</f>
        <v>L=12    </v>
      </c>
      <c r="G12" s="15"/>
      <c r="H12" s="28"/>
      <c r="I12" s="139"/>
      <c r="K12" s="116">
        <v>0.25</v>
      </c>
      <c r="L12" s="44"/>
      <c r="M12" s="33" t="s">
        <v>428</v>
      </c>
      <c r="N12" s="41">
        <f>$N$11*COS($N$10*PI()/180)</f>
        <v>82.13405099191012</v>
      </c>
      <c r="O12" s="31" t="s">
        <v>237</v>
      </c>
      <c r="P12" s="92" t="s">
        <v>1</v>
      </c>
      <c r="R12" s="9"/>
      <c r="S12" s="37"/>
      <c r="T12" s="37"/>
      <c r="W12" s="576"/>
      <c r="X12" s="577"/>
      <c r="Y12" s="48"/>
      <c r="Z12" s="577"/>
      <c r="AA12" s="577"/>
      <c r="AB12" s="577"/>
      <c r="AF12" s="405" t="s">
        <v>702</v>
      </c>
      <c r="AG12" s="411">
        <v>127</v>
      </c>
      <c r="AH12" s="407">
        <v>41.3</v>
      </c>
      <c r="AI12" s="409">
        <v>1.34</v>
      </c>
      <c r="AJ12" s="407">
        <v>16.2</v>
      </c>
      <c r="AK12" s="409">
        <v>2.36</v>
      </c>
      <c r="AL12" s="410">
        <v>3.54</v>
      </c>
      <c r="AN12" s="35">
        <v>90</v>
      </c>
      <c r="AO12" s="48" t="str">
        <f>IF($D$17&gt;0,IF($B$90&gt;=$D$17,"Rwa &gt;= P,  O.K.","Rwa &lt; P, N.G."),"N.A.")</f>
        <v>Rwa &gt;= P,  O.K.</v>
      </c>
      <c r="AP12" s="29"/>
      <c r="AQ12" s="29"/>
      <c r="AR12" s="43">
        <f>IF($D$17&gt;0,$D$17/$B$90,"")</f>
        <v>0.3434157435423005</v>
      </c>
      <c r="AT12" s="100"/>
    </row>
    <row r="13" spans="1:46" ht="12.75">
      <c r="A13" s="19"/>
      <c r="B13" s="10"/>
      <c r="C13" s="44" t="s">
        <v>179</v>
      </c>
      <c r="D13" s="166">
        <v>50</v>
      </c>
      <c r="E13" s="110" t="s">
        <v>245</v>
      </c>
      <c r="F13" s="119"/>
      <c r="G13" s="117"/>
      <c r="H13" s="15"/>
      <c r="I13" s="149" t="str">
        <f>"      P="&amp;$D$17&amp;" k"</f>
        <v>      P=5 k</v>
      </c>
      <c r="K13" s="116">
        <f>5/16</f>
        <v>0.3125</v>
      </c>
      <c r="L13" s="44"/>
      <c r="M13" s="33" t="s">
        <v>429</v>
      </c>
      <c r="N13" s="61">
        <f>$N$11*SIN($N$10*PI()/180)</f>
        <v>10.26675637398876</v>
      </c>
      <c r="O13" s="31" t="s">
        <v>237</v>
      </c>
      <c r="P13" s="92" t="s">
        <v>639</v>
      </c>
      <c r="T13" s="37"/>
      <c r="W13" s="576"/>
      <c r="X13" s="577"/>
      <c r="Y13" s="48"/>
      <c r="Z13" s="577"/>
      <c r="AA13" s="577"/>
      <c r="AB13" s="577"/>
      <c r="AF13" s="405" t="s">
        <v>703</v>
      </c>
      <c r="AG13" s="411">
        <v>117</v>
      </c>
      <c r="AH13" s="407">
        <v>41</v>
      </c>
      <c r="AI13" s="409">
        <v>1.22</v>
      </c>
      <c r="AJ13" s="407">
        <v>16.1</v>
      </c>
      <c r="AK13" s="409">
        <v>2.2</v>
      </c>
      <c r="AL13" s="410">
        <v>3.38</v>
      </c>
      <c r="AN13" s="35">
        <v>83</v>
      </c>
      <c r="AO13" s="48" t="str">
        <f>IF($D$24&gt;=$B$83,"Weld(used) &gt;= weld(req'd), O.K.","Weld(used) &lt; weld(req'd), N.G.")</f>
        <v>Weld(used) &gt;= weld(req'd), O.K.</v>
      </c>
      <c r="AP13" s="29"/>
      <c r="AQ13" s="29"/>
      <c r="AR13" s="43">
        <f>$B$83/$D$24</f>
        <v>0.3200451648723175</v>
      </c>
      <c r="AT13" s="100"/>
    </row>
    <row r="14" spans="1:46" ht="12.75">
      <c r="A14" s="19"/>
      <c r="B14" s="10"/>
      <c r="C14" s="10"/>
      <c r="D14" s="10"/>
      <c r="E14" s="10"/>
      <c r="F14" s="24"/>
      <c r="G14" s="121"/>
      <c r="H14" s="15" t="str">
        <f>"                 R=  "&amp;$D$16&amp;" k"</f>
        <v>                 R=  40 k</v>
      </c>
      <c r="I14" s="46"/>
      <c r="K14" s="116">
        <v>0.375</v>
      </c>
      <c r="L14" s="10"/>
      <c r="M14" s="57" t="s">
        <v>1173</v>
      </c>
      <c r="W14" s="37"/>
      <c r="X14" s="37"/>
      <c r="Y14" s="48"/>
      <c r="Z14" s="37"/>
      <c r="AA14" s="37"/>
      <c r="AB14" s="37"/>
      <c r="AF14" s="405" t="s">
        <v>704</v>
      </c>
      <c r="AG14" s="411">
        <v>109</v>
      </c>
      <c r="AH14" s="407">
        <v>40.6</v>
      </c>
      <c r="AI14" s="409">
        <v>1.16</v>
      </c>
      <c r="AJ14" s="407">
        <v>16.1</v>
      </c>
      <c r="AK14" s="409">
        <v>2.05</v>
      </c>
      <c r="AL14" s="410">
        <v>3.23</v>
      </c>
      <c r="AN14" s="35"/>
      <c r="AO14" s="43">
        <f>$D$24</f>
        <v>0.25</v>
      </c>
      <c r="AP14" s="43">
        <f>$B$83</f>
        <v>0.08001129121807937</v>
      </c>
      <c r="AQ14" s="29"/>
      <c r="AR14" s="57"/>
      <c r="AT14" s="100"/>
    </row>
    <row r="15" spans="1:44" ht="12.75">
      <c r="A15" s="11" t="s">
        <v>228</v>
      </c>
      <c r="B15" s="10"/>
      <c r="C15" s="10"/>
      <c r="D15" s="10"/>
      <c r="E15" s="112"/>
      <c r="F15" s="119" t="str">
        <f>"Lc="&amp;$D$20&amp;"  "</f>
        <v>Lc=3  </v>
      </c>
      <c r="G15" s="15"/>
      <c r="H15" s="10"/>
      <c r="I15" s="134"/>
      <c r="K15" s="116">
        <v>0.5</v>
      </c>
      <c r="L15" s="10"/>
      <c r="M15" s="33" t="s">
        <v>124</v>
      </c>
      <c r="N15" s="41">
        <f>($D$17*(2*$D$20+$B$46)/4)/($D$26*$D$22^2/6)</f>
        <v>28.244444444444447</v>
      </c>
      <c r="O15" s="38" t="s">
        <v>245</v>
      </c>
      <c r="P15" s="92" t="s">
        <v>1174</v>
      </c>
      <c r="W15" s="578"/>
      <c r="X15" s="578"/>
      <c r="Y15" s="578"/>
      <c r="Z15" s="37"/>
      <c r="AA15" s="551"/>
      <c r="AB15" s="551"/>
      <c r="AF15" s="405" t="s">
        <v>705</v>
      </c>
      <c r="AG15" s="411">
        <v>107</v>
      </c>
      <c r="AH15" s="407">
        <v>40.6</v>
      </c>
      <c r="AI15" s="409">
        <v>1.12</v>
      </c>
      <c r="AJ15" s="407">
        <v>16</v>
      </c>
      <c r="AK15" s="409">
        <v>2.01</v>
      </c>
      <c r="AL15" s="410">
        <v>3.19</v>
      </c>
      <c r="AN15" s="35">
        <v>94</v>
      </c>
      <c r="AO15" s="48" t="str">
        <f>IF($B$94&gt;=$D$16,"Rvg &gt;= R,  O.K.","Rvg &lt; R, N.G.")</f>
        <v>Rvg &gt;= R,  O.K.</v>
      </c>
      <c r="AR15" s="43">
        <f>$D$16/$B$94</f>
        <v>0.308641975308642</v>
      </c>
    </row>
    <row r="16" spans="1:46" ht="12.75">
      <c r="A16" s="19"/>
      <c r="B16" s="44"/>
      <c r="C16" s="44" t="s">
        <v>486</v>
      </c>
      <c r="D16" s="167">
        <v>40</v>
      </c>
      <c r="E16" s="123" t="s">
        <v>237</v>
      </c>
      <c r="F16" s="10"/>
      <c r="G16" s="13"/>
      <c r="H16" s="119" t="str">
        <f>"       s="&amp;$D$28</f>
        <v>       s=0.5</v>
      </c>
      <c r="I16" s="102"/>
      <c r="K16" s="84">
        <v>32</v>
      </c>
      <c r="L16" s="44"/>
      <c r="M16" s="33" t="s">
        <v>159</v>
      </c>
      <c r="N16" s="41">
        <f>(1.5/1.67)*$D$23</f>
        <v>32.33532934131737</v>
      </c>
      <c r="O16" s="38" t="s">
        <v>245</v>
      </c>
      <c r="P16" s="92" t="s">
        <v>1175</v>
      </c>
      <c r="W16" s="579"/>
      <c r="X16" s="579"/>
      <c r="Y16" s="579"/>
      <c r="Z16" s="37"/>
      <c r="AA16" s="556"/>
      <c r="AB16" s="556"/>
      <c r="AF16" s="405" t="s">
        <v>706</v>
      </c>
      <c r="AG16" s="406">
        <v>95.3</v>
      </c>
      <c r="AH16" s="407">
        <v>40.2</v>
      </c>
      <c r="AI16" s="409">
        <v>1</v>
      </c>
      <c r="AJ16" s="407">
        <v>15.9</v>
      </c>
      <c r="AK16" s="409">
        <v>1.81</v>
      </c>
      <c r="AL16" s="410">
        <v>2.99</v>
      </c>
      <c r="AN16" s="35">
        <v>98</v>
      </c>
      <c r="AO16" s="48" t="str">
        <f>IF($B$98&gt;=$D$16,"Rvn &gt;= R,  O.K.","Rvn &lt; R, N.G.")</f>
        <v>Rvn &gt;= R,  O.K.</v>
      </c>
      <c r="AR16" s="43">
        <f>$D$16/$B$98</f>
        <v>0.2554278416347382</v>
      </c>
      <c r="AT16" s="100"/>
    </row>
    <row r="17" spans="1:46" ht="12.75">
      <c r="A17" s="19"/>
      <c r="B17" s="44"/>
      <c r="C17" s="44" t="s">
        <v>367</v>
      </c>
      <c r="D17" s="168">
        <v>5</v>
      </c>
      <c r="E17" s="123" t="s">
        <v>237</v>
      </c>
      <c r="F17" s="55"/>
      <c r="G17" s="10"/>
      <c r="H17" s="28" t="str">
        <f>"             Lb="&amp;$D$21</f>
        <v>             Lb=3</v>
      </c>
      <c r="I17" s="54"/>
      <c r="K17" s="84">
        <v>30</v>
      </c>
      <c r="L17" s="44"/>
      <c r="M17" s="95" t="s">
        <v>463</v>
      </c>
      <c r="T17" s="37"/>
      <c r="W17" s="576"/>
      <c r="X17" s="576"/>
      <c r="Y17" s="576"/>
      <c r="Z17" s="37"/>
      <c r="AA17" s="577"/>
      <c r="AB17" s="577"/>
      <c r="AF17" s="405" t="s">
        <v>707</v>
      </c>
      <c r="AG17" s="406">
        <v>87.4</v>
      </c>
      <c r="AH17" s="407">
        <v>39.8</v>
      </c>
      <c r="AI17" s="408">
        <v>0.93</v>
      </c>
      <c r="AJ17" s="407">
        <v>15.8</v>
      </c>
      <c r="AK17" s="409">
        <v>1.65</v>
      </c>
      <c r="AL17" s="410">
        <v>2.83</v>
      </c>
      <c r="AN17" s="35">
        <v>106</v>
      </c>
      <c r="AO17" s="48" t="str">
        <f>IF($D$17&gt;0,IF($B$106&gt;=$D$17,"Rtg &gt;= P,  O.K.","Rtg &lt; P, N.G."),"N.A.")</f>
        <v>Rtg &gt;= P,  O.K.</v>
      </c>
      <c r="AR17" s="43">
        <f>IF($D$17&gt;0,$D$17/$B$106,"")</f>
        <v>0.028428234501347713</v>
      </c>
      <c r="AT17" s="100"/>
    </row>
    <row r="18" spans="1:46" ht="12.75">
      <c r="A18" s="53"/>
      <c r="B18" s="44"/>
      <c r="C18" s="10"/>
      <c r="D18" s="10"/>
      <c r="E18" s="10"/>
      <c r="F18" s="55"/>
      <c r="G18" s="10"/>
      <c r="H18" s="10"/>
      <c r="I18" s="54"/>
      <c r="K18" s="84">
        <v>28</v>
      </c>
      <c r="L18" s="10"/>
      <c r="M18" s="48" t="s">
        <v>527</v>
      </c>
      <c r="N18" s="34"/>
      <c r="O18" s="31"/>
      <c r="P18" s="57"/>
      <c r="W18" s="576"/>
      <c r="X18" s="576"/>
      <c r="Y18" s="576"/>
      <c r="Z18" s="37"/>
      <c r="AA18" s="577"/>
      <c r="AB18" s="577"/>
      <c r="AF18" s="405" t="s">
        <v>708</v>
      </c>
      <c r="AG18" s="406">
        <v>81.4</v>
      </c>
      <c r="AH18" s="407">
        <v>39.7</v>
      </c>
      <c r="AI18" s="408">
        <v>0.83</v>
      </c>
      <c r="AJ18" s="407">
        <v>15.8</v>
      </c>
      <c r="AK18" s="409">
        <v>1.58</v>
      </c>
      <c r="AL18" s="410">
        <v>2.76</v>
      </c>
      <c r="AN18" s="532" t="str">
        <f>IF(AND($D$29=0,$D$30=0,$D$31=0),$M$251,IF(AND($D$29&gt;0,$D$30&gt;0,$D$31=0),$M$279,IF(AND($D$29&gt;0,$D$30&gt;0,$D$31&gt;0),$M$320)))</f>
        <v>Beam Checks for Uncoped Flanges:</v>
      </c>
      <c r="AR18" s="390"/>
      <c r="AT18" s="100"/>
    </row>
    <row r="19" spans="1:46" ht="12.75">
      <c r="A19" s="11" t="s">
        <v>407</v>
      </c>
      <c r="B19" s="10"/>
      <c r="C19" s="10"/>
      <c r="D19" s="21"/>
      <c r="E19" s="112"/>
      <c r="F19" s="101" t="s">
        <v>233</v>
      </c>
      <c r="G19" s="22"/>
      <c r="H19" s="1"/>
      <c r="I19" s="12"/>
      <c r="K19" s="575">
        <v>26</v>
      </c>
      <c r="L19" s="10"/>
      <c r="M19" s="33" t="s">
        <v>401</v>
      </c>
      <c r="N19" s="43">
        <f>$D$26</f>
        <v>12</v>
      </c>
      <c r="O19" s="31" t="s">
        <v>33</v>
      </c>
      <c r="P19" s="38" t="s">
        <v>661</v>
      </c>
      <c r="W19" s="576"/>
      <c r="X19" s="576"/>
      <c r="Y19" s="576"/>
      <c r="Z19" s="37"/>
      <c r="AA19" s="577"/>
      <c r="AB19" s="577"/>
      <c r="AF19" s="405" t="s">
        <v>709</v>
      </c>
      <c r="AG19" s="406">
        <v>73.3</v>
      </c>
      <c r="AH19" s="407">
        <v>39.4</v>
      </c>
      <c r="AI19" s="408">
        <v>0.75</v>
      </c>
      <c r="AJ19" s="407">
        <v>15.8</v>
      </c>
      <c r="AK19" s="409">
        <v>1.42</v>
      </c>
      <c r="AL19" s="410">
        <v>2.6</v>
      </c>
      <c r="AN19" s="35">
        <v>115</v>
      </c>
      <c r="AO19" s="48" t="str">
        <f>IF($B$115&gt;=$D$16,"Rvg &gt;= R,  O.K.","Rvg &lt; R, N.G.")</f>
        <v>Rvg &gt;= R,  O.K.</v>
      </c>
      <c r="AP19" s="29"/>
      <c r="AQ19" s="29"/>
      <c r="AR19" s="43">
        <f>$D$16/$B$115</f>
        <v>0.3129890453834116</v>
      </c>
      <c r="AT19" s="100"/>
    </row>
    <row r="20" spans="1:46" ht="12.75">
      <c r="A20" s="19"/>
      <c r="B20" s="10"/>
      <c r="C20" s="58" t="s">
        <v>182</v>
      </c>
      <c r="D20" s="454">
        <f>IF($D$26&gt;=18,4,3)</f>
        <v>3</v>
      </c>
      <c r="E20" s="113" t="s">
        <v>268</v>
      </c>
      <c r="F20" s="10"/>
      <c r="G20" s="10"/>
      <c r="H20" s="10"/>
      <c r="I20" s="14"/>
      <c r="K20" s="575">
        <v>24</v>
      </c>
      <c r="L20" s="58"/>
      <c r="M20" s="33" t="s">
        <v>413</v>
      </c>
      <c r="N20" s="43">
        <f>$D$21-$D$28</f>
        <v>2.5</v>
      </c>
      <c r="O20" s="31" t="s">
        <v>268</v>
      </c>
      <c r="P20" s="57" t="s">
        <v>415</v>
      </c>
      <c r="W20" s="576"/>
      <c r="X20" s="576"/>
      <c r="Y20" s="576"/>
      <c r="Z20" s="37"/>
      <c r="AA20" s="577"/>
      <c r="AB20" s="577"/>
      <c r="AF20" s="405" t="s">
        <v>710</v>
      </c>
      <c r="AG20" s="406">
        <v>63.4</v>
      </c>
      <c r="AH20" s="407">
        <v>39</v>
      </c>
      <c r="AI20" s="408">
        <v>0.65</v>
      </c>
      <c r="AJ20" s="407">
        <v>15.8</v>
      </c>
      <c r="AK20" s="409">
        <v>1.22</v>
      </c>
      <c r="AL20" s="410">
        <v>2.4</v>
      </c>
      <c r="AN20" s="35">
        <v>119</v>
      </c>
      <c r="AO20" s="48" t="str">
        <f>IF($B$119="N.A.","N.A.",IF($B$119&gt;=$D$16,"Rvn &gt;= R,  O.K.","Rvn &lt; R, N.G."))</f>
        <v>N.A.</v>
      </c>
      <c r="AP20" s="29"/>
      <c r="AQ20" s="29"/>
      <c r="AR20" s="43">
        <f>IF($B$119="N.A.","",$D$16/$B$119)</f>
      </c>
      <c r="AT20" s="100"/>
    </row>
    <row r="21" spans="1:46" ht="12.75">
      <c r="A21" s="19"/>
      <c r="B21" s="10"/>
      <c r="C21" s="58" t="s">
        <v>366</v>
      </c>
      <c r="D21" s="437">
        <v>3</v>
      </c>
      <c r="E21" s="113" t="s">
        <v>268</v>
      </c>
      <c r="F21" s="24"/>
      <c r="G21" s="137" t="str">
        <f>"tw="&amp;$B$46</f>
        <v>tw=0.355</v>
      </c>
      <c r="H21" s="15" t="str">
        <f>"      c="&amp;$D$29</f>
        <v>      c=0</v>
      </c>
      <c r="I21" s="135"/>
      <c r="K21" s="575">
        <v>22</v>
      </c>
      <c r="L21" s="58"/>
      <c r="M21" s="33" t="s">
        <v>519</v>
      </c>
      <c r="N21" s="39">
        <f>$AD$69</f>
        <v>0.03125</v>
      </c>
      <c r="O21" s="31"/>
      <c r="P21" s="48" t="s">
        <v>543</v>
      </c>
      <c r="U21" s="37"/>
      <c r="V21" s="37"/>
      <c r="W21" s="576"/>
      <c r="X21" s="576"/>
      <c r="Y21" s="576"/>
      <c r="Z21" s="37"/>
      <c r="AA21" s="577"/>
      <c r="AB21" s="577"/>
      <c r="AF21" s="405" t="s">
        <v>711</v>
      </c>
      <c r="AG21" s="406">
        <v>58.5</v>
      </c>
      <c r="AH21" s="407">
        <v>38.7</v>
      </c>
      <c r="AI21" s="408">
        <v>0.65</v>
      </c>
      <c r="AJ21" s="407">
        <v>15.8</v>
      </c>
      <c r="AK21" s="409">
        <v>1.07</v>
      </c>
      <c r="AL21" s="410">
        <v>2.25</v>
      </c>
      <c r="AN21" s="16">
        <v>123</v>
      </c>
      <c r="AO21" s="48" t="str">
        <f>IF($D$17&gt;0,IF($B$123&gt;=$D$17,"Rtg &gt;= P,  O.K.","Rtg &lt; P, N.G."),"N.A.")</f>
        <v>Rtg &gt;= P,  O.K.</v>
      </c>
      <c r="AR21" s="43">
        <f>IF($D$17&gt;0,$D$17/$B$123,"")</f>
        <v>0.012569171445338081</v>
      </c>
      <c r="AT21" s="100"/>
    </row>
    <row r="22" spans="1:46" ht="12.75">
      <c r="A22" s="19"/>
      <c r="B22" s="10"/>
      <c r="C22" s="44" t="s">
        <v>336</v>
      </c>
      <c r="D22" s="172">
        <v>0.375</v>
      </c>
      <c r="E22" s="113" t="s">
        <v>268</v>
      </c>
      <c r="F22" s="15" t="str">
        <f>"tf="&amp;$B$48</f>
        <v>tf=0.57</v>
      </c>
      <c r="G22" s="28"/>
      <c r="H22" s="15"/>
      <c r="I22" s="135" t="str">
        <f>"        dc1="&amp;$D$30</f>
        <v>        dc1=0</v>
      </c>
      <c r="K22" s="575">
        <v>20</v>
      </c>
      <c r="L22" s="44"/>
      <c r="M22" s="33" t="s">
        <v>469</v>
      </c>
      <c r="N22" s="39">
        <f>$D$21-$N$21*$N$19</f>
        <v>2.625</v>
      </c>
      <c r="O22" s="31" t="s">
        <v>268</v>
      </c>
      <c r="P22" s="48" t="s">
        <v>520</v>
      </c>
      <c r="U22" s="37"/>
      <c r="V22" s="37"/>
      <c r="W22" s="576"/>
      <c r="X22" s="577"/>
      <c r="Y22" s="577"/>
      <c r="Z22" s="37"/>
      <c r="AA22" s="577"/>
      <c r="AB22" s="577"/>
      <c r="AF22" s="405" t="s">
        <v>712</v>
      </c>
      <c r="AG22" s="411">
        <v>115</v>
      </c>
      <c r="AH22" s="407">
        <v>41.6</v>
      </c>
      <c r="AI22" s="409">
        <v>1.42</v>
      </c>
      <c r="AJ22" s="407">
        <v>12.4</v>
      </c>
      <c r="AK22" s="409">
        <v>2.52</v>
      </c>
      <c r="AL22" s="410">
        <v>3.7</v>
      </c>
      <c r="AN22" s="16">
        <v>128</v>
      </c>
      <c r="AO22" s="48" t="str">
        <f>IF(AND($D$29=0,$D$30=0,$D$31=0),"N.A.",IF($B$128&gt;=$D$16,"Rbs &gt;= R,  O.K.","Rbs &lt; R, N.G."))</f>
        <v>N.A.</v>
      </c>
      <c r="AR22" s="43">
        <f>IF(AND($D$29=0,$D$30=0,$D$31=0),"",$D$16/$B$128)</f>
      </c>
      <c r="AT22" s="100"/>
    </row>
    <row r="23" spans="1:46" ht="12.75">
      <c r="A23" s="19"/>
      <c r="B23" s="10"/>
      <c r="C23" s="44" t="s">
        <v>1082</v>
      </c>
      <c r="D23" s="165">
        <v>36</v>
      </c>
      <c r="E23" s="110" t="s">
        <v>245</v>
      </c>
      <c r="F23" s="15"/>
      <c r="G23" s="37"/>
      <c r="H23" s="10"/>
      <c r="I23" s="133"/>
      <c r="K23" s="575">
        <v>18</v>
      </c>
      <c r="L23" s="44"/>
      <c r="M23" s="33" t="s">
        <v>1032</v>
      </c>
      <c r="N23" s="43">
        <f>$N$22/$N$19</f>
        <v>0.21875</v>
      </c>
      <c r="O23" s="31"/>
      <c r="P23" s="48" t="s">
        <v>470</v>
      </c>
      <c r="R23" s="146"/>
      <c r="S23" s="50"/>
      <c r="U23" s="37"/>
      <c r="V23" s="37"/>
      <c r="W23" s="580"/>
      <c r="X23" s="580"/>
      <c r="Y23" s="580"/>
      <c r="Z23" s="37"/>
      <c r="AA23" s="577"/>
      <c r="AB23" s="577"/>
      <c r="AF23" s="405" t="s">
        <v>713</v>
      </c>
      <c r="AG23" s="406">
        <v>97.5</v>
      </c>
      <c r="AH23" s="407">
        <v>40.8</v>
      </c>
      <c r="AI23" s="409">
        <v>1.22</v>
      </c>
      <c r="AJ23" s="407">
        <v>12.2</v>
      </c>
      <c r="AK23" s="409">
        <v>2.13</v>
      </c>
      <c r="AL23" s="410">
        <v>3.31</v>
      </c>
      <c r="AN23" s="16">
        <v>133</v>
      </c>
      <c r="AO23" s="48" t="str">
        <f>IF(AND($D$29=0,$D$30=0,$D$31=0),"N.A.",IF($D$17&gt;0,IF($B$133&gt;=$D$17,"Rto &gt;= P,  O.K.","Rto &lt; P, N.G."),"N.A."))</f>
        <v>N.A.</v>
      </c>
      <c r="AR23" s="43">
        <f>IF(AND($D$29=0,$D$30=0,$D$31=0),"",IF($D$17&gt;0,$D$17/$B$133,""))</f>
      </c>
      <c r="AT23" s="100"/>
    </row>
    <row r="24" spans="1:46" ht="12.75">
      <c r="A24" s="19"/>
      <c r="B24" s="10"/>
      <c r="C24" s="44" t="s">
        <v>657</v>
      </c>
      <c r="D24" s="437">
        <f>MIN(5/16,$D$22-1/8)</f>
        <v>0.25</v>
      </c>
      <c r="E24" s="112" t="s">
        <v>268</v>
      </c>
      <c r="F24" s="119"/>
      <c r="G24" s="15"/>
      <c r="H24" s="28"/>
      <c r="I24" s="139"/>
      <c r="J24" s="37"/>
      <c r="K24" s="575">
        <v>16</v>
      </c>
      <c r="L24" s="44"/>
      <c r="M24" s="33" t="s">
        <v>460</v>
      </c>
      <c r="N24" s="43">
        <f>$N$20/$N$19</f>
        <v>0.20833333333333334</v>
      </c>
      <c r="O24" s="31"/>
      <c r="P24" s="48" t="s">
        <v>402</v>
      </c>
      <c r="S24" s="50"/>
      <c r="T24" s="37"/>
      <c r="U24" s="37"/>
      <c r="V24" s="37"/>
      <c r="W24" s="60"/>
      <c r="X24" s="60"/>
      <c r="Y24" s="60"/>
      <c r="Z24" s="37"/>
      <c r="AA24" s="577"/>
      <c r="AB24" s="577"/>
      <c r="AC24" s="37"/>
      <c r="AD24" s="37"/>
      <c r="AE24" s="37"/>
      <c r="AF24" s="405" t="s">
        <v>714</v>
      </c>
      <c r="AG24" s="406">
        <v>96</v>
      </c>
      <c r="AH24" s="407">
        <v>40.8</v>
      </c>
      <c r="AI24" s="409">
        <v>1.18</v>
      </c>
      <c r="AJ24" s="407">
        <v>12.1</v>
      </c>
      <c r="AK24" s="409">
        <v>2.13</v>
      </c>
      <c r="AL24" s="410">
        <v>3.31</v>
      </c>
      <c r="AN24" s="16">
        <v>138</v>
      </c>
      <c r="AO24" s="48" t="str">
        <f>IF(D17&gt;0,IF($B$138&gt;=$D$17,"Rto &gt;= P,  O.K.","Rto &lt; P, N.G."),"N.A.")</f>
        <v>Rto &gt;= P,  O.K.</v>
      </c>
      <c r="AR24" s="43">
        <f>IF($D$17&gt;0,$D$17/$B$138,"")</f>
        <v>0.030289262456459187</v>
      </c>
      <c r="AT24" s="100"/>
    </row>
    <row r="25" spans="1:46" ht="12.75">
      <c r="A25" s="19"/>
      <c r="B25" s="10"/>
      <c r="C25" s="44" t="s">
        <v>660</v>
      </c>
      <c r="D25" s="437">
        <f>MIN(3/8,$D$22-1/16)</f>
        <v>0.3125</v>
      </c>
      <c r="E25" s="583" t="s">
        <v>268</v>
      </c>
      <c r="F25" s="119" t="str">
        <f>"d="&amp;$B$45&amp;"       "</f>
        <v>d=18       </v>
      </c>
      <c r="G25" s="117"/>
      <c r="H25" s="28"/>
      <c r="I25" s="149"/>
      <c r="J25" s="37"/>
      <c r="K25" s="575">
        <v>14</v>
      </c>
      <c r="L25" s="44"/>
      <c r="M25" s="33" t="s">
        <v>381</v>
      </c>
      <c r="N25" s="114">
        <v>1</v>
      </c>
      <c r="O25" s="31"/>
      <c r="P25" s="48" t="s">
        <v>382</v>
      </c>
      <c r="T25" s="37"/>
      <c r="W25" s="37"/>
      <c r="X25" s="37"/>
      <c r="Y25" s="37"/>
      <c r="Z25" s="37"/>
      <c r="AA25" s="37"/>
      <c r="AB25" s="37"/>
      <c r="AC25" s="37"/>
      <c r="AD25" s="37"/>
      <c r="AE25" s="37"/>
      <c r="AF25" s="405" t="s">
        <v>715</v>
      </c>
      <c r="AG25" s="406">
        <v>86.3</v>
      </c>
      <c r="AH25" s="407">
        <v>40.4</v>
      </c>
      <c r="AI25" s="409">
        <v>1.06</v>
      </c>
      <c r="AJ25" s="407">
        <v>12</v>
      </c>
      <c r="AK25" s="409">
        <v>1.93</v>
      </c>
      <c r="AL25" s="410">
        <v>3.11</v>
      </c>
      <c r="AN25" s="16">
        <v>147</v>
      </c>
      <c r="AO25" s="48" t="str">
        <f>IF(AND($D$29=0,$D$30=0,$D$31=0),"N.A.",IF($B$147&gt;=$D$16,"Rwb &gt;= R,  O.K.","Rwb &lt; R, N.G."))</f>
        <v>N.A.</v>
      </c>
      <c r="AR25" s="43">
        <f>IF(AND($D$29=0,$D$30=0,$D$31=0),"",$D$16/$B$147)</f>
      </c>
      <c r="AT25" s="100"/>
    </row>
    <row r="26" spans="1:46" ht="12.75">
      <c r="A26" s="19"/>
      <c r="B26" s="10"/>
      <c r="C26" s="44" t="s">
        <v>659</v>
      </c>
      <c r="D26" s="185">
        <v>12</v>
      </c>
      <c r="E26" s="113" t="s">
        <v>268</v>
      </c>
      <c r="F26" s="24"/>
      <c r="G26" s="121"/>
      <c r="H26" s="28"/>
      <c r="I26" s="46"/>
      <c r="J26" s="37"/>
      <c r="K26" s="84">
        <v>12</v>
      </c>
      <c r="L26" s="44"/>
      <c r="M26" s="33" t="s">
        <v>19</v>
      </c>
      <c r="N26" s="43">
        <f>$AD$72</f>
        <v>2.6240625</v>
      </c>
      <c r="O26" s="31"/>
      <c r="P26" s="48" t="s">
        <v>528</v>
      </c>
      <c r="T26" s="37"/>
      <c r="W26" s="37"/>
      <c r="X26" s="37"/>
      <c r="Y26" s="37"/>
      <c r="Z26" s="37"/>
      <c r="AA26" s="37"/>
      <c r="AB26" s="37"/>
      <c r="AC26" s="37"/>
      <c r="AD26" s="37"/>
      <c r="AE26" s="37"/>
      <c r="AF26" s="405" t="s">
        <v>716</v>
      </c>
      <c r="AG26" s="406">
        <v>82</v>
      </c>
      <c r="AH26" s="407">
        <v>40.2</v>
      </c>
      <c r="AI26" s="409">
        <v>1.03</v>
      </c>
      <c r="AJ26" s="407">
        <v>12</v>
      </c>
      <c r="AK26" s="409">
        <v>1.81</v>
      </c>
      <c r="AL26" s="410">
        <v>2.99</v>
      </c>
      <c r="AN26" s="16">
        <v>163</v>
      </c>
      <c r="AO26" s="48" t="str">
        <f>IF(AND($D$29=0,$D$30=0,$D$31=0),"N.A.",IF($B$163&gt;=$D$16,"Rwb &gt;= R,  O.K.","Rwb &lt; R, N.G."))</f>
        <v>N.A.</v>
      </c>
      <c r="AR26" s="43">
        <f>IF(AND($D$29=0,$D$30=0,$D$31=0),"",$D$16/$B$163)</f>
      </c>
      <c r="AT26" s="100"/>
    </row>
    <row r="27" spans="1:46" ht="12.75">
      <c r="A27" s="19"/>
      <c r="B27" s="10"/>
      <c r="C27" s="93" t="s">
        <v>658</v>
      </c>
      <c r="D27" s="171">
        <v>3.625</v>
      </c>
      <c r="E27" s="113" t="s">
        <v>268</v>
      </c>
      <c r="F27" s="15"/>
      <c r="G27" s="15"/>
      <c r="H27" s="10"/>
      <c r="I27" s="134"/>
      <c r="J27" s="37"/>
      <c r="K27" s="84">
        <v>10</v>
      </c>
      <c r="L27" s="44"/>
      <c r="M27" s="33" t="s">
        <v>32</v>
      </c>
      <c r="N27" s="61">
        <f>SQRT($D$16^2+$D$17^2)</f>
        <v>40.311288741492746</v>
      </c>
      <c r="O27" s="31" t="s">
        <v>237</v>
      </c>
      <c r="P27" s="37" t="s">
        <v>539</v>
      </c>
      <c r="T27" s="37"/>
      <c r="W27" s="37"/>
      <c r="X27" s="37"/>
      <c r="Y27" s="37"/>
      <c r="Z27" s="37"/>
      <c r="AA27" s="37"/>
      <c r="AB27" s="37"/>
      <c r="AC27" s="37"/>
      <c r="AD27" s="37"/>
      <c r="AE27" s="37"/>
      <c r="AF27" s="405" t="s">
        <v>717</v>
      </c>
      <c r="AG27" s="406">
        <v>77.6</v>
      </c>
      <c r="AH27" s="407">
        <v>40</v>
      </c>
      <c r="AI27" s="408">
        <v>0.96</v>
      </c>
      <c r="AJ27" s="407">
        <v>11.9</v>
      </c>
      <c r="AK27" s="409">
        <v>1.73</v>
      </c>
      <c r="AL27" s="410">
        <v>2.91</v>
      </c>
      <c r="AN27" s="32" t="s">
        <v>184</v>
      </c>
      <c r="AO27" s="38"/>
      <c r="AR27" s="6"/>
      <c r="AT27" s="100"/>
    </row>
    <row r="28" spans="1:46" ht="12.75">
      <c r="A28" s="19"/>
      <c r="B28" s="10"/>
      <c r="C28" s="44" t="s">
        <v>285</v>
      </c>
      <c r="D28" s="171">
        <v>0.5</v>
      </c>
      <c r="E28" s="113" t="s">
        <v>268</v>
      </c>
      <c r="F28" s="10"/>
      <c r="G28" s="13" t="str">
        <f>"  bf="&amp;$B$47</f>
        <v>  bf=7.5</v>
      </c>
      <c r="H28" s="13"/>
      <c r="I28" s="122" t="str">
        <f>"        dc2="&amp;$D$31</f>
        <v>        dc2=0</v>
      </c>
      <c r="J28" s="37"/>
      <c r="K28" s="84">
        <v>9</v>
      </c>
      <c r="L28" s="44"/>
      <c r="M28" s="74" t="s">
        <v>51</v>
      </c>
      <c r="N28" s="43">
        <f>IF($D$17&gt;0,90-(ATAN($D$16/$D$17)*(180/PI())),0)</f>
        <v>7.125016348901795</v>
      </c>
      <c r="O28" s="31" t="s">
        <v>269</v>
      </c>
      <c r="P28" s="115" t="s">
        <v>53</v>
      </c>
      <c r="W28" s="37"/>
      <c r="X28" s="37"/>
      <c r="Y28" s="37"/>
      <c r="Z28" s="37"/>
      <c r="AA28" s="37"/>
      <c r="AB28" s="37"/>
      <c r="AC28" s="37"/>
      <c r="AD28" s="37"/>
      <c r="AE28" s="37"/>
      <c r="AF28" s="405" t="s">
        <v>718</v>
      </c>
      <c r="AG28" s="406">
        <v>69</v>
      </c>
      <c r="AH28" s="407">
        <v>39.7</v>
      </c>
      <c r="AI28" s="408">
        <v>0.83</v>
      </c>
      <c r="AJ28" s="407">
        <v>11.9</v>
      </c>
      <c r="AK28" s="409">
        <v>1.58</v>
      </c>
      <c r="AL28" s="410">
        <v>2.76</v>
      </c>
      <c r="AN28" s="16">
        <v>172</v>
      </c>
      <c r="AO28" s="38" t="str">
        <f>IF($D$16&gt;0,IF($B$172&gt;=$D$16,"Rwv &gt;= R,  O.K.","Rwv &lt; R, N.G."),"N.A.")</f>
        <v>Rwv &gt;= R,  O.K.</v>
      </c>
      <c r="AR28" s="6">
        <f>IF($D$16&gt;0,$D$16/$B$172,"")</f>
        <v>0.4870087316640433</v>
      </c>
      <c r="AT28" s="100"/>
    </row>
    <row r="29" spans="1:46" ht="12.75">
      <c r="A29" s="19"/>
      <c r="B29" s="10"/>
      <c r="C29" s="44" t="s">
        <v>5</v>
      </c>
      <c r="D29" s="171">
        <v>0</v>
      </c>
      <c r="E29" s="113" t="s">
        <v>268</v>
      </c>
      <c r="F29" s="55"/>
      <c r="G29" s="10"/>
      <c r="H29" s="28" t="str">
        <f>"      c="&amp;IF($D$31&gt;0,$D$29,0)</f>
        <v>      c=0</v>
      </c>
      <c r="I29" s="54"/>
      <c r="J29" s="37"/>
      <c r="K29" s="84">
        <v>8</v>
      </c>
      <c r="L29" s="44"/>
      <c r="M29" s="74" t="s">
        <v>540</v>
      </c>
      <c r="N29" s="40">
        <f>FLOOR($N$28,15)</f>
        <v>0</v>
      </c>
      <c r="O29" s="31" t="s">
        <v>269</v>
      </c>
      <c r="P29" s="75" t="s">
        <v>518</v>
      </c>
      <c r="W29" s="37"/>
      <c r="X29" s="37"/>
      <c r="Y29" s="37"/>
      <c r="Z29" s="37"/>
      <c r="AA29" s="37"/>
      <c r="AB29" s="37"/>
      <c r="AC29" s="37"/>
      <c r="AD29" s="37"/>
      <c r="AE29" s="37"/>
      <c r="AF29" s="405" t="s">
        <v>719</v>
      </c>
      <c r="AG29" s="406">
        <v>62</v>
      </c>
      <c r="AH29" s="407">
        <v>39.4</v>
      </c>
      <c r="AI29" s="408">
        <v>0.75</v>
      </c>
      <c r="AJ29" s="407">
        <v>11.8</v>
      </c>
      <c r="AK29" s="409">
        <v>1.42</v>
      </c>
      <c r="AL29" s="410">
        <v>2.6</v>
      </c>
      <c r="AN29" s="16">
        <v>173</v>
      </c>
      <c r="AO29" s="38" t="str">
        <f>IF($D$17&gt;0,IF($B$173&gt;=$D$17,"Rwa &gt;= P,  O.K.","Rwa &lt; P, N.G."),"N.A.")</f>
        <v>Rwa &gt;= P,  O.K.</v>
      </c>
      <c r="AR29" s="6">
        <f>IF($D$17&gt;0,$D$17/$B$173,"")</f>
        <v>0.48700873166404346</v>
      </c>
      <c r="AT29" s="100"/>
    </row>
    <row r="30" spans="1:46" ht="12.75">
      <c r="A30" s="19"/>
      <c r="B30" s="10"/>
      <c r="C30" s="44" t="s">
        <v>1098</v>
      </c>
      <c r="D30" s="171">
        <v>0</v>
      </c>
      <c r="E30" s="113" t="s">
        <v>268</v>
      </c>
      <c r="F30" s="55"/>
      <c r="G30" s="10"/>
      <c r="H30" s="10"/>
      <c r="I30" s="54"/>
      <c r="J30" s="37"/>
      <c r="K30" s="84">
        <v>7</v>
      </c>
      <c r="L30" s="44"/>
      <c r="M30" s="74" t="s">
        <v>279</v>
      </c>
      <c r="N30" s="70">
        <f>((2*$N$27/2)/($N$26*$N$25*$N$19))/16</f>
        <v>0.08001129121807937</v>
      </c>
      <c r="O30" s="38" t="s">
        <v>393</v>
      </c>
      <c r="P30" s="75" t="s">
        <v>279</v>
      </c>
      <c r="Q30" s="31" t="s">
        <v>534</v>
      </c>
      <c r="W30" s="37"/>
      <c r="X30" s="37"/>
      <c r="Y30" s="37"/>
      <c r="Z30" s="37"/>
      <c r="AA30" s="37"/>
      <c r="AB30" s="37"/>
      <c r="AC30" s="37"/>
      <c r="AD30" s="37"/>
      <c r="AE30" s="37"/>
      <c r="AF30" s="405" t="s">
        <v>720</v>
      </c>
      <c r="AG30" s="406">
        <v>53.3</v>
      </c>
      <c r="AH30" s="407">
        <v>39</v>
      </c>
      <c r="AI30" s="408">
        <v>0.65</v>
      </c>
      <c r="AJ30" s="407">
        <v>11.8</v>
      </c>
      <c r="AK30" s="409">
        <v>1.2</v>
      </c>
      <c r="AL30" s="410">
        <v>2.38</v>
      </c>
      <c r="AN30" s="16">
        <v>185</v>
      </c>
      <c r="AO30" s="38" t="str">
        <f>IF($D$17&gt;0,IF($D$34="Yes",IF($B$185&gt;=$D$17,"Pa &gt;= P,  O.K.","Pa &lt; P, N.G."),"N.A."),"N.A.")</f>
        <v>N.A.</v>
      </c>
      <c r="AR30" s="6">
        <f>IF($D$17&gt;0,IF($D$34="Yes",$D$17/$B$185,""),"")</f>
      </c>
      <c r="AT30" s="100"/>
    </row>
    <row r="31" spans="1:46" ht="12.75">
      <c r="A31" s="19"/>
      <c r="B31" s="10"/>
      <c r="C31" s="44" t="s">
        <v>1099</v>
      </c>
      <c r="D31" s="171">
        <v>0</v>
      </c>
      <c r="E31" s="113" t="s">
        <v>268</v>
      </c>
      <c r="F31" s="101" t="s">
        <v>234</v>
      </c>
      <c r="G31" s="22"/>
      <c r="H31" s="1"/>
      <c r="I31" s="12"/>
      <c r="J31" s="37"/>
      <c r="K31" s="84">
        <v>6</v>
      </c>
      <c r="L31" s="93"/>
      <c r="M31" s="74" t="s">
        <v>430</v>
      </c>
      <c r="N31" s="116">
        <f>IF(MIN($D$22,$B$46)&lt;=0.25,0.125,IF(MIN($D$22,$B$46)&lt;=0.5,0.1875,IF(MIN($D$22,$B$46)&lt;=0.75,0.25,IF(MIN($D$22,$B$46)&gt;0.75,0.3125))))</f>
        <v>0.1875</v>
      </c>
      <c r="O31" s="31" t="s">
        <v>268</v>
      </c>
      <c r="P31" s="75" t="s">
        <v>535</v>
      </c>
      <c r="W31" s="37"/>
      <c r="X31" s="37"/>
      <c r="Y31" s="37"/>
      <c r="Z31" s="37"/>
      <c r="AA31" s="37"/>
      <c r="AB31" s="37"/>
      <c r="AC31" s="37"/>
      <c r="AD31" s="37"/>
      <c r="AE31" s="37"/>
      <c r="AF31" s="405" t="s">
        <v>721</v>
      </c>
      <c r="AG31" s="406">
        <v>49.2</v>
      </c>
      <c r="AH31" s="407">
        <v>38.6</v>
      </c>
      <c r="AI31" s="408">
        <v>0.65</v>
      </c>
      <c r="AJ31" s="407">
        <v>11.8</v>
      </c>
      <c r="AK31" s="409">
        <v>1.03</v>
      </c>
      <c r="AL31" s="410">
        <v>2.21</v>
      </c>
      <c r="AN31" s="16">
        <v>192</v>
      </c>
      <c r="AO31" s="38" t="str">
        <f>IF($D$17&gt;0,IF($D$34="Yes",IF($B$193&gt;=$B$192,"Fv &gt;= fv,  O.K.","Fv &lt; fv, N.G."),"N.A."),"N.A.")</f>
        <v>N.A.</v>
      </c>
      <c r="AR31" s="6">
        <f>IF($D$17&gt;0,IF($D$34="Yes",$B$192/$B$193,""),"")</f>
      </c>
      <c r="AT31" s="100"/>
    </row>
    <row r="32" spans="1:46" ht="12.75">
      <c r="A32" s="19"/>
      <c r="B32" s="10"/>
      <c r="C32" s="44" t="s">
        <v>570</v>
      </c>
      <c r="D32" s="171">
        <v>0</v>
      </c>
      <c r="E32" s="112" t="s">
        <v>268</v>
      </c>
      <c r="F32" s="10"/>
      <c r="G32" s="10"/>
      <c r="H32" s="10"/>
      <c r="I32" s="14"/>
      <c r="J32" s="37"/>
      <c r="K32" s="84">
        <v>5</v>
      </c>
      <c r="L32" s="44"/>
      <c r="M32" s="33" t="s">
        <v>427</v>
      </c>
      <c r="N32" s="41">
        <f>2*$D$24*16*$N$26*$N$25*$N$19/2</f>
        <v>125.955</v>
      </c>
      <c r="O32" s="31" t="s">
        <v>237</v>
      </c>
      <c r="P32" s="92" t="s">
        <v>662</v>
      </c>
      <c r="T32" s="61"/>
      <c r="W32" s="37"/>
      <c r="X32" s="37"/>
      <c r="Y32" s="37"/>
      <c r="Z32" s="37"/>
      <c r="AA32" s="37"/>
      <c r="AB32" s="37"/>
      <c r="AC32" s="37"/>
      <c r="AD32" s="37"/>
      <c r="AE32" s="37"/>
      <c r="AF32" s="405" t="s">
        <v>722</v>
      </c>
      <c r="AG32" s="406">
        <v>43.8</v>
      </c>
      <c r="AH32" s="407">
        <v>38.2</v>
      </c>
      <c r="AI32" s="408">
        <v>0.63</v>
      </c>
      <c r="AJ32" s="407">
        <v>11.8</v>
      </c>
      <c r="AK32" s="408">
        <v>0.83</v>
      </c>
      <c r="AL32" s="410">
        <v>2.01</v>
      </c>
      <c r="AN32" s="16">
        <v>198</v>
      </c>
      <c r="AO32" s="38" t="str">
        <f>IF($D$17&gt;0,IF($D$34="Yes",IF($D$32&gt;0,IF($B$198&lt;=$B$199,"Weld size &lt;= weld max., O.K.","Weld size &gt; weld max."),"N.A."),"N.A."),"N.A.")</f>
        <v>N.A.</v>
      </c>
      <c r="AR32" s="6">
        <f>IF($D$17&gt;0,IF($D$34="Yes",IF($D$32&gt;0,$B$198/$B$199,""),""),"")</f>
      </c>
      <c r="AT32" s="100"/>
    </row>
    <row r="33" spans="1:46" ht="12.75">
      <c r="A33" s="19"/>
      <c r="B33" s="10"/>
      <c r="C33" s="44" t="s">
        <v>43</v>
      </c>
      <c r="D33" s="185">
        <v>36</v>
      </c>
      <c r="E33" s="112" t="s">
        <v>268</v>
      </c>
      <c r="F33" s="10"/>
      <c r="G33" s="10"/>
      <c r="H33" s="10"/>
      <c r="I33" s="14"/>
      <c r="J33" s="37"/>
      <c r="K33" s="84">
        <v>4</v>
      </c>
      <c r="L33" s="44"/>
      <c r="M33" s="33" t="s">
        <v>625</v>
      </c>
      <c r="N33" s="43">
        <f>6.19*16*$D$24/$N$7</f>
        <v>0.3809230769230769</v>
      </c>
      <c r="O33" s="29" t="s">
        <v>268</v>
      </c>
      <c r="P33" s="29" t="s">
        <v>537</v>
      </c>
      <c r="T33" s="43"/>
      <c r="W33" s="37"/>
      <c r="X33" s="37"/>
      <c r="Y33" s="37"/>
      <c r="Z33" s="37"/>
      <c r="AA33" s="37"/>
      <c r="AB33" s="37"/>
      <c r="AC33" s="37"/>
      <c r="AD33" s="37"/>
      <c r="AE33" s="37"/>
      <c r="AF33" s="405" t="s">
        <v>723</v>
      </c>
      <c r="AG33" s="411">
        <v>236</v>
      </c>
      <c r="AH33" s="407">
        <v>42.6</v>
      </c>
      <c r="AI33" s="409">
        <v>2.38</v>
      </c>
      <c r="AJ33" s="407">
        <v>18</v>
      </c>
      <c r="AK33" s="409">
        <v>4.29</v>
      </c>
      <c r="AL33" s="410">
        <v>5.24</v>
      </c>
      <c r="AO33" s="61" t="str">
        <f>$B$198</f>
        <v>N.A.</v>
      </c>
      <c r="AP33" s="61" t="str">
        <f>$B$199</f>
        <v>N.A.</v>
      </c>
      <c r="AT33" s="100"/>
    </row>
    <row r="34" spans="1:46" ht="12.75">
      <c r="A34" s="19"/>
      <c r="B34" s="10"/>
      <c r="C34" s="44" t="s">
        <v>46</v>
      </c>
      <c r="D34" s="458" t="s">
        <v>45</v>
      </c>
      <c r="E34" s="10"/>
      <c r="F34" s="10"/>
      <c r="G34" s="10"/>
      <c r="H34" s="10"/>
      <c r="I34" s="14"/>
      <c r="J34" s="37"/>
      <c r="K34" s="84" t="s">
        <v>365</v>
      </c>
      <c r="L34" s="58"/>
      <c r="M34" s="33" t="s">
        <v>648</v>
      </c>
      <c r="N34" s="34" t="str">
        <f>IF($N$33&gt;$B$46,"Yes","No")</f>
        <v>Yes</v>
      </c>
      <c r="P34" s="29" t="s">
        <v>538</v>
      </c>
      <c r="W34" s="37"/>
      <c r="X34" s="37"/>
      <c r="Y34" s="37"/>
      <c r="Z34" s="37"/>
      <c r="AA34" s="37"/>
      <c r="AB34" s="37"/>
      <c r="AC34" s="37"/>
      <c r="AD34" s="37"/>
      <c r="AE34" s="37"/>
      <c r="AF34" s="405" t="s">
        <v>724</v>
      </c>
      <c r="AG34" s="411">
        <v>192</v>
      </c>
      <c r="AH34" s="407">
        <v>41.1</v>
      </c>
      <c r="AI34" s="409">
        <v>1.97</v>
      </c>
      <c r="AJ34" s="407">
        <v>17.6</v>
      </c>
      <c r="AK34" s="409">
        <v>3.54</v>
      </c>
      <c r="AL34" s="410">
        <v>4.49</v>
      </c>
      <c r="AT34" s="100"/>
    </row>
    <row r="35" spans="1:46" ht="12.75">
      <c r="A35" s="19"/>
      <c r="B35" s="10"/>
      <c r="C35" s="10"/>
      <c r="D35" s="10"/>
      <c r="E35" s="10"/>
      <c r="F35" s="10"/>
      <c r="G35" s="10"/>
      <c r="H35" s="10"/>
      <c r="I35" s="14"/>
      <c r="J35" s="37"/>
      <c r="K35" s="84" t="s">
        <v>45</v>
      </c>
      <c r="L35" s="44"/>
      <c r="M35" s="33" t="s">
        <v>624</v>
      </c>
      <c r="N35" s="61">
        <f>IF($N$34="No",$N$32,$N$32*$B$46/$N$33)</f>
        <v>117.38334511308562</v>
      </c>
      <c r="O35" s="31" t="s">
        <v>237</v>
      </c>
      <c r="P35" s="155" t="str">
        <f>IF($N$34="No","Rwr' = Rwr, tmin &lt; twb, no reduction in strength is needed","Rwr' = Rwr*twb/tmin")</f>
        <v>Rwr' = Rwr*twb/tmin</v>
      </c>
      <c r="Q35" s="38"/>
      <c r="AD35" s="460" t="s">
        <v>521</v>
      </c>
      <c r="AE35" s="37"/>
      <c r="AF35" s="405" t="s">
        <v>725</v>
      </c>
      <c r="AG35" s="411">
        <v>156</v>
      </c>
      <c r="AH35" s="407">
        <v>39.8</v>
      </c>
      <c r="AI35" s="409">
        <v>1.61</v>
      </c>
      <c r="AJ35" s="407">
        <v>17.2</v>
      </c>
      <c r="AK35" s="409">
        <v>2.91</v>
      </c>
      <c r="AL35" s="410">
        <v>3.86</v>
      </c>
      <c r="AT35" s="100"/>
    </row>
    <row r="36" spans="1:46" ht="12.75">
      <c r="A36" s="19"/>
      <c r="B36" s="10"/>
      <c r="C36" s="10"/>
      <c r="D36" s="10"/>
      <c r="E36" s="10"/>
      <c r="F36" s="10"/>
      <c r="G36" s="10"/>
      <c r="H36" s="10"/>
      <c r="I36" s="14"/>
      <c r="J36" s="37"/>
      <c r="K36" s="34"/>
      <c r="L36" s="44"/>
      <c r="M36" s="33" t="s">
        <v>428</v>
      </c>
      <c r="N36" s="41">
        <f>$N$35*COS($N$28*PI()/180)</f>
        <v>116.47689645036027</v>
      </c>
      <c r="O36" s="31" t="s">
        <v>237</v>
      </c>
      <c r="P36" s="92" t="s">
        <v>635</v>
      </c>
      <c r="R36" s="9"/>
      <c r="AD36" s="460" t="s">
        <v>522</v>
      </c>
      <c r="AE36" s="37"/>
      <c r="AF36" s="405" t="s">
        <v>726</v>
      </c>
      <c r="AG36" s="411">
        <v>143</v>
      </c>
      <c r="AH36" s="407">
        <v>39.3</v>
      </c>
      <c r="AI36" s="409">
        <v>1.5</v>
      </c>
      <c r="AJ36" s="407">
        <v>17.1</v>
      </c>
      <c r="AK36" s="409">
        <v>2.68</v>
      </c>
      <c r="AL36" s="410">
        <v>3.63</v>
      </c>
      <c r="AT36" s="100"/>
    </row>
    <row r="37" spans="1:46" ht="12.75">
      <c r="A37" s="19"/>
      <c r="B37" s="10"/>
      <c r="C37" s="10"/>
      <c r="D37" s="10"/>
      <c r="E37" s="10"/>
      <c r="F37" s="530" t="s">
        <v>311</v>
      </c>
      <c r="G37" s="10"/>
      <c r="H37" s="10"/>
      <c r="I37" s="14"/>
      <c r="J37" s="37"/>
      <c r="K37" s="34"/>
      <c r="L37" s="44"/>
      <c r="M37" s="33" t="s">
        <v>429</v>
      </c>
      <c r="N37" s="61">
        <f>$N$35*SIN($N$28*PI()/180)</f>
        <v>14.55961205629503</v>
      </c>
      <c r="O37" s="31" t="s">
        <v>237</v>
      </c>
      <c r="P37" s="92" t="s">
        <v>636</v>
      </c>
      <c r="AD37" s="461">
        <f>IF(AD45&lt;0.1,1,MATCH(AD45,N45:AC45))</f>
        <v>3</v>
      </c>
      <c r="AE37" s="37"/>
      <c r="AF37" s="405" t="s">
        <v>727</v>
      </c>
      <c r="AG37" s="411">
        <v>130</v>
      </c>
      <c r="AH37" s="407">
        <v>38.9</v>
      </c>
      <c r="AI37" s="409">
        <v>1.36</v>
      </c>
      <c r="AJ37" s="407">
        <v>17</v>
      </c>
      <c r="AK37" s="409">
        <v>2.44</v>
      </c>
      <c r="AL37" s="410">
        <v>3.39</v>
      </c>
      <c r="AT37" s="100"/>
    </row>
    <row r="38" spans="1:46" ht="12.75">
      <c r="A38" s="19"/>
      <c r="B38" s="10"/>
      <c r="C38" s="10"/>
      <c r="D38" s="10"/>
      <c r="E38" s="10"/>
      <c r="F38" s="58" t="s">
        <v>312</v>
      </c>
      <c r="G38" s="158">
        <f>MIN($B$63,$B$89,$B$94,$B$98,$B$115,$B$119,$B$128,$B$147,$B$163,$B$172)</f>
        <v>82.13405099191012</v>
      </c>
      <c r="H38" s="121" t="s">
        <v>237</v>
      </c>
      <c r="I38" s="531"/>
      <c r="K38" s="34"/>
      <c r="L38" s="37"/>
      <c r="AD38" s="462"/>
      <c r="AF38" s="405" t="s">
        <v>728</v>
      </c>
      <c r="AG38" s="411">
        <v>116</v>
      </c>
      <c r="AH38" s="407">
        <v>38.4</v>
      </c>
      <c r="AI38" s="409">
        <v>1.22</v>
      </c>
      <c r="AJ38" s="407">
        <v>16.8</v>
      </c>
      <c r="AK38" s="409">
        <v>2.2</v>
      </c>
      <c r="AL38" s="410">
        <v>3.15</v>
      </c>
      <c r="AT38" s="100"/>
    </row>
    <row r="39" spans="1:38" ht="12.75">
      <c r="A39" s="19"/>
      <c r="B39" s="10"/>
      <c r="C39" s="10"/>
      <c r="D39" s="10"/>
      <c r="E39" s="10"/>
      <c r="F39" s="58" t="s">
        <v>313</v>
      </c>
      <c r="G39" s="179">
        <f>$D$16</f>
        <v>40</v>
      </c>
      <c r="H39" s="121" t="s">
        <v>237</v>
      </c>
      <c r="I39" s="531"/>
      <c r="K39" s="34"/>
      <c r="L39" s="37"/>
      <c r="AD39" s="460" t="s">
        <v>523</v>
      </c>
      <c r="AF39" s="405" t="s">
        <v>729</v>
      </c>
      <c r="AG39" s="411">
        <v>106</v>
      </c>
      <c r="AH39" s="407">
        <v>38</v>
      </c>
      <c r="AI39" s="409">
        <v>1.12</v>
      </c>
      <c r="AJ39" s="407">
        <v>16.7</v>
      </c>
      <c r="AK39" s="409">
        <v>2.01</v>
      </c>
      <c r="AL39" s="410">
        <v>2.96</v>
      </c>
    </row>
    <row r="40" spans="1:46" ht="12.75">
      <c r="A40" s="19"/>
      <c r="B40" s="10"/>
      <c r="C40" s="10"/>
      <c r="D40" s="10"/>
      <c r="E40" s="10"/>
      <c r="F40" s="58" t="s">
        <v>314</v>
      </c>
      <c r="G40" s="158">
        <f>$G$39/$G$38</f>
        <v>0.4870087316640433</v>
      </c>
      <c r="H40" s="87"/>
      <c r="I40" s="389" t="str">
        <f>IF($G$40&lt;=1,"S.R. &lt;= 1.0,  O.K.","S.R. &gt; 1.0, N.G.")</f>
        <v>S.R. &lt;= 1.0,  O.K.</v>
      </c>
      <c r="K40" s="34"/>
      <c r="L40" s="37"/>
      <c r="AD40" s="460" t="s">
        <v>524</v>
      </c>
      <c r="AF40" s="405" t="s">
        <v>730</v>
      </c>
      <c r="AG40" s="406">
        <v>97</v>
      </c>
      <c r="AH40" s="407">
        <v>37.7</v>
      </c>
      <c r="AI40" s="409">
        <v>1.02</v>
      </c>
      <c r="AJ40" s="407">
        <v>16.6</v>
      </c>
      <c r="AK40" s="409">
        <v>1.85</v>
      </c>
      <c r="AL40" s="410">
        <v>2.8</v>
      </c>
      <c r="AT40" s="100"/>
    </row>
    <row r="41" spans="1:46" ht="12.75">
      <c r="A41" s="19"/>
      <c r="B41" s="10"/>
      <c r="C41" s="10"/>
      <c r="D41" s="10"/>
      <c r="E41" s="10"/>
      <c r="F41" s="80">
        <f>IF($D$26&lt;($B$45-2*$B$49)/2,"Connection Length &lt; (d-2*k)/2","")</f>
      </c>
      <c r="G41" s="10"/>
      <c r="H41" s="10"/>
      <c r="I41" s="54"/>
      <c r="K41" s="34"/>
      <c r="L41" s="37"/>
      <c r="AD41" s="461">
        <f>MATCH($N$23,$M$46:$M$68)</f>
        <v>4</v>
      </c>
      <c r="AF41" s="405" t="s">
        <v>731</v>
      </c>
      <c r="AG41" s="406">
        <v>88.8</v>
      </c>
      <c r="AH41" s="407">
        <v>37.3</v>
      </c>
      <c r="AI41" s="408">
        <v>0.945</v>
      </c>
      <c r="AJ41" s="407">
        <v>16.7</v>
      </c>
      <c r="AK41" s="409">
        <v>1.68</v>
      </c>
      <c r="AL41" s="410">
        <v>2.63</v>
      </c>
      <c r="AT41" s="100"/>
    </row>
    <row r="42" spans="1:46" ht="12.75">
      <c r="A42" s="64" t="s">
        <v>56</v>
      </c>
      <c r="B42" s="10"/>
      <c r="C42" s="10"/>
      <c r="D42" s="10"/>
      <c r="E42" s="10"/>
      <c r="F42" s="98">
        <f>IF(AND($D$29=0,$D$30=0,$D$31=0),IF($B$45&lt;$D$26+2*$D$24+2*$B$49,"Connection too long, reduce L!",""),IF(AND($D$29&gt;0,$D$30&gt;0,$D$31=0),IF($B$45-$D$30&lt;$D$26+2*$D$24+1*$B$49,"Connection too long, reduce L!",""),IF(AND($D$29&gt;0,$D$30&gt;0,$D$31&gt;0),IF($B$45-($D$30+$D$31)&lt;$D$26+2*$D$24,"Connection too long, reduce L!",""))))</f>
      </c>
      <c r="G42" s="10"/>
      <c r="H42" s="10"/>
      <c r="I42" s="54"/>
      <c r="J42" s="37"/>
      <c r="K42" s="34"/>
      <c r="L42" s="37"/>
      <c r="AD42" s="446"/>
      <c r="AE42" s="37"/>
      <c r="AF42" s="405" t="s">
        <v>732</v>
      </c>
      <c r="AG42" s="406">
        <v>82.9</v>
      </c>
      <c r="AH42" s="407">
        <v>37.1</v>
      </c>
      <c r="AI42" s="408">
        <v>0.885</v>
      </c>
      <c r="AJ42" s="407">
        <v>16.6</v>
      </c>
      <c r="AK42" s="409">
        <v>1.57</v>
      </c>
      <c r="AL42" s="410">
        <v>2.52</v>
      </c>
      <c r="AT42" s="100"/>
    </row>
    <row r="43" spans="1:46" ht="12.75">
      <c r="A43" s="19"/>
      <c r="B43" s="89" t="s">
        <v>57</v>
      </c>
      <c r="C43" s="10"/>
      <c r="D43" s="89" t="s">
        <v>181</v>
      </c>
      <c r="E43" s="10"/>
      <c r="F43" s="80">
        <f>IF(AND($D$29&gt;0,$D$29&gt;2*$B$45),"c MUST BE &lt;= 2*d = "&amp;2*$B$45&amp;" in.!","")</f>
      </c>
      <c r="G43" s="97"/>
      <c r="H43" s="10"/>
      <c r="I43" s="54"/>
      <c r="J43" s="37"/>
      <c r="K43" s="84"/>
      <c r="L43" s="37"/>
      <c r="M43" s="141" t="str">
        <f>IF($N$29=0,M74,IF($N$29=15,M102,IF($N$29=30,M130,IF($N$29=45,M158,IF($N$29=60,M186,IF($N$29=75,M214,"ERROR"))))))</f>
        <v>TABLE 8-8 Coefficients, "C" (AISC Manual - page 8-90), Angle = 0°</v>
      </c>
      <c r="N43" s="463"/>
      <c r="O43" s="107"/>
      <c r="P43" s="463"/>
      <c r="Q43" s="463"/>
      <c r="R43" s="143"/>
      <c r="S43" s="143"/>
      <c r="T43" s="143"/>
      <c r="U43" s="142"/>
      <c r="V43" s="143"/>
      <c r="W43" s="143"/>
      <c r="X43" s="143"/>
      <c r="Y43" s="143"/>
      <c r="Z43" s="144"/>
      <c r="AA43" s="143"/>
      <c r="AB43" s="143"/>
      <c r="AC43" s="144"/>
      <c r="AD43" s="446"/>
      <c r="AE43" s="37"/>
      <c r="AF43" s="405" t="s">
        <v>733</v>
      </c>
      <c r="AG43" s="406">
        <v>77</v>
      </c>
      <c r="AH43" s="407">
        <v>36.9</v>
      </c>
      <c r="AI43" s="408">
        <v>0.84</v>
      </c>
      <c r="AJ43" s="407">
        <v>16.6</v>
      </c>
      <c r="AK43" s="409">
        <v>1.44</v>
      </c>
      <c r="AL43" s="410">
        <v>2.39</v>
      </c>
      <c r="AT43" s="100"/>
    </row>
    <row r="44" spans="1:46" ht="12.75">
      <c r="A44" s="62" t="s">
        <v>229</v>
      </c>
      <c r="B44" s="174">
        <f>VLOOKUP($D$10,$AF$6:$AL$406,ROWS(B$44:B44)+1,FALSE)</f>
        <v>14.7</v>
      </c>
      <c r="C44" s="58" t="s">
        <v>229</v>
      </c>
      <c r="D44" s="174">
        <f>VLOOKUP($D$11,$AF$6:$AL$336,ROWS(D$44:D44)+1,FALSE)</f>
        <v>26.5</v>
      </c>
      <c r="E44" s="113" t="s">
        <v>243</v>
      </c>
      <c r="F44" s="80">
        <f>IF(AND($D$30&gt;0,$D$31=0,$D$30&gt;$B$45/2),"dc1 MUST BE &lt;= d/2 = "&amp;$B$45/2&amp;" in.!",IF(AND($D$30&gt;0,$D$31&gt;0,$D$30&gt;0.2*$B$45),"dc1 MUST BE &lt;= 0.2*d = "&amp;0.2*$B$45&amp;" in.!",""))</f>
      </c>
      <c r="G44" s="10"/>
      <c r="H44" s="10"/>
      <c r="I44" s="65"/>
      <c r="J44" s="37"/>
      <c r="K44" s="84"/>
      <c r="L44" s="37"/>
      <c r="M44" s="464"/>
      <c r="N44" s="141" t="s">
        <v>323</v>
      </c>
      <c r="O44" s="107"/>
      <c r="P44" s="143"/>
      <c r="Q44" s="143"/>
      <c r="R44" s="143"/>
      <c r="S44" s="143"/>
      <c r="T44" s="465"/>
      <c r="U44" s="143"/>
      <c r="V44" s="143"/>
      <c r="W44" s="143"/>
      <c r="X44" s="143"/>
      <c r="Y44" s="156"/>
      <c r="Z44" s="144"/>
      <c r="AA44" s="143"/>
      <c r="AB44" s="156"/>
      <c r="AC44" s="144"/>
      <c r="AD44" s="466"/>
      <c r="AE44" s="37"/>
      <c r="AF44" s="405" t="s">
        <v>734</v>
      </c>
      <c r="AG44" s="406">
        <v>72.5</v>
      </c>
      <c r="AH44" s="407">
        <v>36.7</v>
      </c>
      <c r="AI44" s="408">
        <v>0.8</v>
      </c>
      <c r="AJ44" s="407">
        <v>16.5</v>
      </c>
      <c r="AK44" s="409">
        <v>1.35</v>
      </c>
      <c r="AL44" s="410">
        <v>2.3</v>
      </c>
      <c r="AT44" s="100"/>
    </row>
    <row r="45" spans="1:46" ht="12.75">
      <c r="A45" s="69" t="s">
        <v>58</v>
      </c>
      <c r="B45" s="435">
        <f>VLOOKUP($D$10,$AF$6:$AL$406,ROWS(B$44:B45)+1,FALSE)</f>
        <v>18</v>
      </c>
      <c r="C45" s="58" t="s">
        <v>58</v>
      </c>
      <c r="D45" s="435">
        <f>VLOOKUP($D$11,$AF$6:$AL$336,ROWS(D$44:D45)+1,FALSE)</f>
        <v>14</v>
      </c>
      <c r="E45" s="113" t="s">
        <v>268</v>
      </c>
      <c r="F45" s="80">
        <f>IF(AND($D$31&gt;0,$D$31&gt;0.2*$B$45),"dc2 MUST BE &lt;= 0.2*d = "&amp;0.2*$B$45&amp;" in.!","")</f>
      </c>
      <c r="G45" s="10"/>
      <c r="H45" s="10"/>
      <c r="I45" s="54"/>
      <c r="J45" s="37"/>
      <c r="M45" s="467" t="s">
        <v>18</v>
      </c>
      <c r="N45" s="468">
        <v>0</v>
      </c>
      <c r="O45" s="140">
        <v>0.1</v>
      </c>
      <c r="P45" s="140">
        <v>0.2</v>
      </c>
      <c r="Q45" s="469">
        <v>0.3</v>
      </c>
      <c r="R45" s="140">
        <v>0.4</v>
      </c>
      <c r="S45" s="469">
        <v>0.5</v>
      </c>
      <c r="T45" s="140">
        <v>0.6</v>
      </c>
      <c r="U45" s="469">
        <v>0.7</v>
      </c>
      <c r="V45" s="140">
        <v>0.8</v>
      </c>
      <c r="W45" s="469">
        <v>0.9</v>
      </c>
      <c r="X45" s="140">
        <v>1</v>
      </c>
      <c r="Y45" s="469">
        <v>1.2</v>
      </c>
      <c r="Z45" s="140">
        <v>1.4</v>
      </c>
      <c r="AA45" s="140">
        <v>1.6</v>
      </c>
      <c r="AB45" s="469">
        <v>1.8</v>
      </c>
      <c r="AC45" s="140">
        <v>2</v>
      </c>
      <c r="AD45" s="470">
        <f>$N$24</f>
        <v>0.20833333333333334</v>
      </c>
      <c r="AE45" s="37"/>
      <c r="AF45" s="405" t="s">
        <v>735</v>
      </c>
      <c r="AG45" s="406">
        <v>68.1</v>
      </c>
      <c r="AH45" s="407">
        <v>36.5</v>
      </c>
      <c r="AI45" s="408">
        <v>0.76</v>
      </c>
      <c r="AJ45" s="407">
        <v>16.5</v>
      </c>
      <c r="AK45" s="409">
        <v>1.26</v>
      </c>
      <c r="AL45" s="410">
        <v>2.21</v>
      </c>
      <c r="AT45" s="100"/>
    </row>
    <row r="46" spans="1:46" ht="12.75">
      <c r="A46" s="69" t="s">
        <v>507</v>
      </c>
      <c r="B46" s="175">
        <f>VLOOKUP($D$10,$AF$6:$AL$406,ROWS(B$44:B46)+1,FALSE)</f>
        <v>0.355</v>
      </c>
      <c r="C46" s="58" t="s">
        <v>507</v>
      </c>
      <c r="D46" s="175">
        <f>VLOOKUP($D$11,$AF$6:$AL$336,ROWS(D$44:D46)+1,FALSE)</f>
        <v>0.44</v>
      </c>
      <c r="E46" s="113" t="s">
        <v>268</v>
      </c>
      <c r="F46" s="80">
        <f>IF(AND($D$30&gt;0,$D$30&lt;$B$49),"dc1 MUST BE &gt;= k = "&amp;$B$49&amp;" in.!","")</f>
      </c>
      <c r="G46" s="10"/>
      <c r="H46" s="10"/>
      <c r="I46" s="66"/>
      <c r="J46" s="37"/>
      <c r="M46" s="471">
        <v>0</v>
      </c>
      <c r="N46" s="515">
        <f aca="true" t="shared" si="0" ref="N46:AC46">IF($N$29=0,N77,IF($N$29=15,N105,IF($N$29=30,N133,IF($N$29=45,N161,IF($N$29=60,N189,IF($N$29=75,N217,"ERROR"))))))</f>
        <v>1.53</v>
      </c>
      <c r="O46" s="318">
        <f t="shared" si="0"/>
        <v>2.09</v>
      </c>
      <c r="P46" s="318">
        <f t="shared" si="0"/>
        <v>2.64</v>
      </c>
      <c r="Q46" s="318">
        <f t="shared" si="0"/>
        <v>3.2</v>
      </c>
      <c r="R46" s="318">
        <f t="shared" si="0"/>
        <v>3.76</v>
      </c>
      <c r="S46" s="318">
        <f t="shared" si="0"/>
        <v>4.32</v>
      </c>
      <c r="T46" s="318">
        <f t="shared" si="0"/>
        <v>4.87</v>
      </c>
      <c r="U46" s="318">
        <f t="shared" si="0"/>
        <v>5.43</v>
      </c>
      <c r="V46" s="318">
        <f t="shared" si="0"/>
        <v>5.99</v>
      </c>
      <c r="W46" s="318">
        <f t="shared" si="0"/>
        <v>6.54</v>
      </c>
      <c r="X46" s="318">
        <f t="shared" si="0"/>
        <v>7.1</v>
      </c>
      <c r="Y46" s="318">
        <f t="shared" si="0"/>
        <v>8.21</v>
      </c>
      <c r="Z46" s="318">
        <f t="shared" si="0"/>
        <v>9.33</v>
      </c>
      <c r="AA46" s="474">
        <f t="shared" si="0"/>
        <v>10.4</v>
      </c>
      <c r="AB46" s="474">
        <f t="shared" si="0"/>
        <v>11.6</v>
      </c>
      <c r="AC46" s="476">
        <f t="shared" si="0"/>
        <v>12.7</v>
      </c>
      <c r="AD46" s="512">
        <f ca="1">IF($AD$45=2,$AC46,IF($AD$45&gt;2,"ERROR",FORECAST($AD$45,OFFSET($M46,0,$AD$37):OFFSET($M46,0,$AD$37+1),OFFSET($M$45,0,$AD$37):OFFSET($M$45,0,$AD$37+1))))</f>
        <v>2.6866666666666665</v>
      </c>
      <c r="AE46" s="37"/>
      <c r="AF46" s="405" t="s">
        <v>736</v>
      </c>
      <c r="AG46" s="406">
        <v>75.4</v>
      </c>
      <c r="AH46" s="407">
        <v>37.4</v>
      </c>
      <c r="AI46" s="408">
        <v>0.96</v>
      </c>
      <c r="AJ46" s="407">
        <v>12.2</v>
      </c>
      <c r="AK46" s="409">
        <v>1.73</v>
      </c>
      <c r="AL46" s="410">
        <v>2.48</v>
      </c>
      <c r="AT46" s="100"/>
    </row>
    <row r="47" spans="1:46" ht="12.75">
      <c r="A47" s="69" t="s">
        <v>338</v>
      </c>
      <c r="B47" s="175">
        <f>VLOOKUP($D$10,$AF$6:$AL$406,ROWS(B$44:B47)+1,FALSE)</f>
        <v>7.5</v>
      </c>
      <c r="C47" s="58" t="s">
        <v>338</v>
      </c>
      <c r="D47" s="175">
        <f>VLOOKUP($D$11,$AF$6:$AL$336,ROWS(D$44:D47)+1,FALSE)</f>
        <v>14.5</v>
      </c>
      <c r="E47" s="113" t="s">
        <v>268</v>
      </c>
      <c r="F47" s="80">
        <f>IF(AND($D$31&gt;0,$D$31&lt;$B$49),"dc2 MUST BE &gt;= k = "&amp;$B$49&amp;" in.!","")</f>
      </c>
      <c r="G47" s="10"/>
      <c r="H47" s="10"/>
      <c r="I47" s="66"/>
      <c r="J47" s="37"/>
      <c r="M47" s="477">
        <v>0.1</v>
      </c>
      <c r="N47" s="517">
        <f aca="true" t="shared" si="1" ref="N47:AC47">IF($N$29=0,N78,IF($N$29=15,N106,IF($N$29=30,N134,IF($N$29=45,N162,IF($N$29=60,N190,IF($N$29=75,N218,"ERROR"))))))</f>
        <v>1.86</v>
      </c>
      <c r="O47" s="495">
        <f t="shared" si="1"/>
        <v>2.28</v>
      </c>
      <c r="P47" s="495">
        <f t="shared" si="1"/>
        <v>2.78</v>
      </c>
      <c r="Q47" s="495">
        <f t="shared" si="1"/>
        <v>3.3</v>
      </c>
      <c r="R47" s="495">
        <f t="shared" si="1"/>
        <v>3.84</v>
      </c>
      <c r="S47" s="495">
        <f t="shared" si="1"/>
        <v>4.37</v>
      </c>
      <c r="T47" s="495">
        <f t="shared" si="1"/>
        <v>4.92</v>
      </c>
      <c r="U47" s="495">
        <f t="shared" si="1"/>
        <v>5.46</v>
      </c>
      <c r="V47" s="495">
        <f t="shared" si="1"/>
        <v>6.01</v>
      </c>
      <c r="W47" s="495">
        <f t="shared" si="1"/>
        <v>6.56</v>
      </c>
      <c r="X47" s="495">
        <f t="shared" si="1"/>
        <v>7.11</v>
      </c>
      <c r="Y47" s="495">
        <f t="shared" si="1"/>
        <v>8.21</v>
      </c>
      <c r="Z47" s="495">
        <f t="shared" si="1"/>
        <v>9.32</v>
      </c>
      <c r="AA47" s="480">
        <f t="shared" si="1"/>
        <v>10.4</v>
      </c>
      <c r="AB47" s="480">
        <f t="shared" si="1"/>
        <v>11.5</v>
      </c>
      <c r="AC47" s="482">
        <f t="shared" si="1"/>
        <v>12.6</v>
      </c>
      <c r="AD47" s="513">
        <f ca="1">IF($AD$45=2,$AC47,IF($AD$45&gt;2,"ERROR",FORECAST($AD$45,OFFSET($M47,0,$AD$37):OFFSET($M47,0,$AD$37+1),OFFSET($M$45,0,$AD$37):OFFSET($M$45,0,$AD$37+1))))</f>
        <v>2.8233333333333333</v>
      </c>
      <c r="AE47" s="37"/>
      <c r="AF47" s="405" t="s">
        <v>737</v>
      </c>
      <c r="AG47" s="406">
        <v>68.1</v>
      </c>
      <c r="AH47" s="407">
        <v>37.1</v>
      </c>
      <c r="AI47" s="408">
        <v>0.87</v>
      </c>
      <c r="AJ47" s="407">
        <v>12.1</v>
      </c>
      <c r="AK47" s="409">
        <v>1.57</v>
      </c>
      <c r="AL47" s="410">
        <v>2.32</v>
      </c>
      <c r="AT47" s="100"/>
    </row>
    <row r="48" spans="1:46" ht="12.75">
      <c r="A48" s="69" t="s">
        <v>177</v>
      </c>
      <c r="B48" s="175">
        <f>VLOOKUP($D$10,$AF$6:$AL$406,ROWS(B$44:B48)+1,FALSE)</f>
        <v>0.57</v>
      </c>
      <c r="C48" s="58" t="s">
        <v>177</v>
      </c>
      <c r="D48" s="175">
        <f>VLOOKUP($D$11,$AF$6:$AL$336,ROWS(D$44:D48)+1,FALSE)</f>
        <v>0.71</v>
      </c>
      <c r="E48" s="113" t="s">
        <v>268</v>
      </c>
      <c r="F48" s="80">
        <f>IF($D$24&lt;$N$31,"Fillet weld size &lt; "&amp;$N$31&amp;" in. (min.)!","")</f>
      </c>
      <c r="G48" s="10"/>
      <c r="H48" s="10"/>
      <c r="I48" s="14"/>
      <c r="J48" s="37"/>
      <c r="M48" s="483">
        <v>0.15</v>
      </c>
      <c r="N48" s="516">
        <f aca="true" t="shared" si="2" ref="N48:AC48">IF($N$29=0,N79,IF($N$29=15,N107,IF($N$29=30,N135,IF($N$29=45,N163,IF($N$29=60,N191,IF($N$29=75,N219,"ERROR"))))))</f>
        <v>1.83</v>
      </c>
      <c r="O48" s="495">
        <f t="shared" si="2"/>
        <v>2.25</v>
      </c>
      <c r="P48" s="495">
        <f t="shared" si="2"/>
        <v>2.73</v>
      </c>
      <c r="Q48" s="495">
        <f t="shared" si="2"/>
        <v>3.23</v>
      </c>
      <c r="R48" s="495">
        <f t="shared" si="2"/>
        <v>3.75</v>
      </c>
      <c r="S48" s="495">
        <f t="shared" si="2"/>
        <v>4.27</v>
      </c>
      <c r="T48" s="495">
        <f t="shared" si="2"/>
        <v>4.8</v>
      </c>
      <c r="U48" s="495">
        <f t="shared" si="2"/>
        <v>5.33</v>
      </c>
      <c r="V48" s="495">
        <f t="shared" si="2"/>
        <v>5.87</v>
      </c>
      <c r="W48" s="495">
        <f t="shared" si="2"/>
        <v>6.4</v>
      </c>
      <c r="X48" s="495">
        <f t="shared" si="2"/>
        <v>6.94</v>
      </c>
      <c r="Y48" s="495">
        <f t="shared" si="2"/>
        <v>8.02</v>
      </c>
      <c r="Z48" s="495">
        <f t="shared" si="2"/>
        <v>9.12</v>
      </c>
      <c r="AA48" s="480">
        <f t="shared" si="2"/>
        <v>10.2</v>
      </c>
      <c r="AB48" s="480">
        <f t="shared" si="2"/>
        <v>11.3</v>
      </c>
      <c r="AC48" s="482">
        <f t="shared" si="2"/>
        <v>12.4</v>
      </c>
      <c r="AD48" s="513">
        <f ca="1">IF($AD$45=2,$AC48,IF($AD$45&gt;2,"ERROR",FORECAST($AD$45,OFFSET($M48,0,$AD$37):OFFSET($M48,0,$AD$37+1),OFFSET($M$45,0,$AD$37):OFFSET($M$45,0,$AD$37+1))))</f>
        <v>2.7716666666666665</v>
      </c>
      <c r="AE48" s="37"/>
      <c r="AF48" s="405" t="s">
        <v>738</v>
      </c>
      <c r="AG48" s="406">
        <v>61.8</v>
      </c>
      <c r="AH48" s="407">
        <v>36.7</v>
      </c>
      <c r="AI48" s="408">
        <v>0.83</v>
      </c>
      <c r="AJ48" s="407">
        <v>12.2</v>
      </c>
      <c r="AK48" s="409">
        <v>1.36</v>
      </c>
      <c r="AL48" s="410">
        <v>2.11</v>
      </c>
      <c r="AT48" s="100"/>
    </row>
    <row r="49" spans="1:46" ht="12.75">
      <c r="A49" s="88" t="s">
        <v>460</v>
      </c>
      <c r="B49" s="436">
        <f>VLOOKUP($D$10,$AF$6:$AL$406,ROWS(B$44:B49)+1,FALSE)</f>
        <v>0.972</v>
      </c>
      <c r="C49" s="58" t="s">
        <v>460</v>
      </c>
      <c r="D49" s="436">
        <f>VLOOKUP($D$11,$AF$6:$AL$336,ROWS(D$44:D49)+1,FALSE)</f>
        <v>1.31</v>
      </c>
      <c r="E49" s="113" t="s">
        <v>268</v>
      </c>
      <c r="F49" s="10"/>
      <c r="G49" s="10"/>
      <c r="H49" s="10"/>
      <c r="I49" s="14"/>
      <c r="M49" s="483">
        <v>0.2</v>
      </c>
      <c r="N49" s="516">
        <f aca="true" t="shared" si="3" ref="N49:AC49">IF($N$29=0,N80,IF($N$29=15,N108,IF($N$29=30,N136,IF($N$29=45,N164,IF($N$29=60,N192,IF($N$29=75,N220,"ERROR"))))))</f>
        <v>1.76</v>
      </c>
      <c r="O49" s="495">
        <f t="shared" si="3"/>
        <v>2.18</v>
      </c>
      <c r="P49" s="495">
        <f t="shared" si="3"/>
        <v>2.63</v>
      </c>
      <c r="Q49" s="495">
        <f t="shared" si="3"/>
        <v>3.11</v>
      </c>
      <c r="R49" s="495">
        <f t="shared" si="3"/>
        <v>3.6</v>
      </c>
      <c r="S49" s="495">
        <f t="shared" si="3"/>
        <v>4.1</v>
      </c>
      <c r="T49" s="495">
        <f t="shared" si="3"/>
        <v>4.61</v>
      </c>
      <c r="U49" s="495">
        <f t="shared" si="3"/>
        <v>5.13</v>
      </c>
      <c r="V49" s="495">
        <f t="shared" si="3"/>
        <v>5.64</v>
      </c>
      <c r="W49" s="495">
        <f t="shared" si="3"/>
        <v>6.16</v>
      </c>
      <c r="X49" s="495">
        <f t="shared" si="3"/>
        <v>6.65</v>
      </c>
      <c r="Y49" s="495">
        <f t="shared" si="3"/>
        <v>7.73</v>
      </c>
      <c r="Z49" s="495">
        <f t="shared" si="3"/>
        <v>8.78</v>
      </c>
      <c r="AA49" s="495">
        <f t="shared" si="3"/>
        <v>9.83</v>
      </c>
      <c r="AB49" s="480">
        <f t="shared" si="3"/>
        <v>10.9</v>
      </c>
      <c r="AC49" s="484">
        <f t="shared" si="3"/>
        <v>12</v>
      </c>
      <c r="AD49" s="513">
        <f ca="1">IF($AD$45=2,$AC49,IF($AD$45&gt;2,"ERROR",FORECAST($AD$45,OFFSET($M49,0,$AD$37):OFFSET($M49,0,$AD$37+1),OFFSET($M$45,0,$AD$37):OFFSET($M$45,0,$AD$37+1))))</f>
        <v>2.67</v>
      </c>
      <c r="AF49" s="405" t="s">
        <v>739</v>
      </c>
      <c r="AG49" s="406">
        <v>57</v>
      </c>
      <c r="AH49" s="407">
        <v>36.5</v>
      </c>
      <c r="AI49" s="408">
        <v>0.765</v>
      </c>
      <c r="AJ49" s="407">
        <v>12.1</v>
      </c>
      <c r="AK49" s="409">
        <v>1.26</v>
      </c>
      <c r="AL49" s="410">
        <v>2.01</v>
      </c>
      <c r="AT49" s="100"/>
    </row>
    <row r="50" spans="1:46" ht="12.75">
      <c r="A50" s="161"/>
      <c r="B50" s="164"/>
      <c r="C50" s="162"/>
      <c r="D50" s="164"/>
      <c r="E50" s="163"/>
      <c r="F50" s="21"/>
      <c r="G50" s="21"/>
      <c r="H50" s="21"/>
      <c r="I50" s="128" t="s">
        <v>105</v>
      </c>
      <c r="M50" s="483">
        <v>0.25</v>
      </c>
      <c r="N50" s="516">
        <f aca="true" t="shared" si="4" ref="N50:AC50">IF($N$29=0,N81,IF($N$29=15,N109,IF($N$29=30,N137,IF($N$29=45,N165,IF($N$29=60,N193,IF($N$29=75,N221,"ERROR"))))))</f>
        <v>1.66</v>
      </c>
      <c r="O50" s="495">
        <f t="shared" si="4"/>
        <v>2.07</v>
      </c>
      <c r="P50" s="495">
        <f t="shared" si="4"/>
        <v>2.51</v>
      </c>
      <c r="Q50" s="495">
        <f t="shared" si="4"/>
        <v>2.96</v>
      </c>
      <c r="R50" s="495">
        <f t="shared" si="4"/>
        <v>3.42</v>
      </c>
      <c r="S50" s="495">
        <f t="shared" si="4"/>
        <v>3.9</v>
      </c>
      <c r="T50" s="495">
        <f t="shared" si="4"/>
        <v>4.38</v>
      </c>
      <c r="U50" s="495">
        <f t="shared" si="4"/>
        <v>4.87</v>
      </c>
      <c r="V50" s="495">
        <f t="shared" si="4"/>
        <v>5.37</v>
      </c>
      <c r="W50" s="495">
        <f t="shared" si="4"/>
        <v>5.86</v>
      </c>
      <c r="X50" s="495">
        <f t="shared" si="4"/>
        <v>6.36</v>
      </c>
      <c r="Y50" s="495">
        <f t="shared" si="4"/>
        <v>7.37</v>
      </c>
      <c r="Z50" s="495">
        <f t="shared" si="4"/>
        <v>8.39</v>
      </c>
      <c r="AA50" s="495">
        <f t="shared" si="4"/>
        <v>9.42</v>
      </c>
      <c r="AB50" s="480">
        <f t="shared" si="4"/>
        <v>10.5</v>
      </c>
      <c r="AC50" s="482">
        <f t="shared" si="4"/>
        <v>11.5</v>
      </c>
      <c r="AD50" s="513">
        <f ca="1">IF($AD$45=2,$AC50,IF($AD$45&gt;2,"ERROR",FORECAST($AD$45,OFFSET($M50,0,$AD$37):OFFSET($M50,0,$AD$37+1),OFFSET($M$45,0,$AD$37):OFFSET($M$45,0,$AD$37+1))))</f>
        <v>2.5475</v>
      </c>
      <c r="AF50" s="405" t="s">
        <v>740</v>
      </c>
      <c r="AG50" s="406">
        <v>53.6</v>
      </c>
      <c r="AH50" s="407">
        <v>36.3</v>
      </c>
      <c r="AI50" s="408">
        <v>0.725</v>
      </c>
      <c r="AJ50" s="407">
        <v>12.1</v>
      </c>
      <c r="AK50" s="409">
        <v>1.18</v>
      </c>
      <c r="AL50" s="410">
        <v>1.93</v>
      </c>
      <c r="AT50" s="100"/>
    </row>
    <row r="51" spans="1:46" ht="12.75">
      <c r="A51" s="17"/>
      <c r="B51" s="18"/>
      <c r="C51" s="18"/>
      <c r="D51" s="18"/>
      <c r="E51" s="18"/>
      <c r="F51" s="18"/>
      <c r="G51" s="18"/>
      <c r="H51" s="195"/>
      <c r="I51" s="189"/>
      <c r="M51" s="483">
        <v>0.3</v>
      </c>
      <c r="N51" s="516">
        <f aca="true" t="shared" si="5" ref="N51:AC51">IF($N$29=0,N82,IF($N$29=15,N110,IF($N$29=30,N138,IF($N$29=45,N166,IF($N$29=60,N194,IF($N$29=75,N222,"ERROR"))))))</f>
        <v>1.55</v>
      </c>
      <c r="O51" s="495">
        <f t="shared" si="5"/>
        <v>1.95</v>
      </c>
      <c r="P51" s="495">
        <f t="shared" si="5"/>
        <v>2.36</v>
      </c>
      <c r="Q51" s="495">
        <f t="shared" si="5"/>
        <v>2.79</v>
      </c>
      <c r="R51" s="495">
        <f t="shared" si="5"/>
        <v>3.23</v>
      </c>
      <c r="S51" s="495">
        <f t="shared" si="5"/>
        <v>3.68</v>
      </c>
      <c r="T51" s="495">
        <f t="shared" si="5"/>
        <v>4.14</v>
      </c>
      <c r="U51" s="495">
        <f t="shared" si="5"/>
        <v>4.6</v>
      </c>
      <c r="V51" s="495">
        <f t="shared" si="5"/>
        <v>5.07</v>
      </c>
      <c r="W51" s="495">
        <f t="shared" si="5"/>
        <v>5.55</v>
      </c>
      <c r="X51" s="495">
        <f t="shared" si="5"/>
        <v>6.03</v>
      </c>
      <c r="Y51" s="495">
        <f t="shared" si="5"/>
        <v>7.01</v>
      </c>
      <c r="Z51" s="495">
        <f t="shared" si="5"/>
        <v>8</v>
      </c>
      <c r="AA51" s="495">
        <f t="shared" si="5"/>
        <v>9</v>
      </c>
      <c r="AB51" s="486">
        <f t="shared" si="5"/>
        <v>10</v>
      </c>
      <c r="AC51" s="484">
        <f t="shared" si="5"/>
        <v>11</v>
      </c>
      <c r="AD51" s="513">
        <f ca="1">IF($AD$45=2,$AC51,IF($AD$45&gt;2,"ERROR",FORECAST($AD$45,OFFSET($M51,0,$AD$37):OFFSET($M51,0,$AD$37+1),OFFSET($M$45,0,$AD$37):OFFSET($M$45,0,$AD$37+1))))</f>
        <v>2.3958333333333335</v>
      </c>
      <c r="AF51" s="405" t="s">
        <v>741</v>
      </c>
      <c r="AG51" s="406">
        <v>50.1</v>
      </c>
      <c r="AH51" s="407">
        <v>36.2</v>
      </c>
      <c r="AI51" s="408">
        <v>0.68</v>
      </c>
      <c r="AJ51" s="407">
        <v>12</v>
      </c>
      <c r="AK51" s="409">
        <v>1.1</v>
      </c>
      <c r="AL51" s="410">
        <v>1.85</v>
      </c>
      <c r="AT51" s="100"/>
    </row>
    <row r="52" spans="1:38" ht="12.75">
      <c r="A52" s="11" t="s">
        <v>236</v>
      </c>
      <c r="B52" s="10"/>
      <c r="C52" s="112"/>
      <c r="D52" s="10"/>
      <c r="E52" s="10"/>
      <c r="F52" s="10"/>
      <c r="G52" s="10"/>
      <c r="H52" s="89"/>
      <c r="I52" s="190"/>
      <c r="M52" s="483">
        <v>0.4</v>
      </c>
      <c r="N52" s="516">
        <f aca="true" t="shared" si="6" ref="N52:AC52">IF($N$29=0,N83,IF($N$29=15,N111,IF($N$29=30,N139,IF($N$29=45,N167,IF($N$29=60,N195,IF($N$29=75,N223,"ERROR"))))))</f>
        <v>1.33</v>
      </c>
      <c r="O52" s="495">
        <f t="shared" si="6"/>
        <v>1.69</v>
      </c>
      <c r="P52" s="495">
        <f t="shared" si="6"/>
        <v>2.07</v>
      </c>
      <c r="Q52" s="495">
        <f t="shared" si="6"/>
        <v>2.45</v>
      </c>
      <c r="R52" s="495">
        <f t="shared" si="6"/>
        <v>2.84</v>
      </c>
      <c r="S52" s="495">
        <f t="shared" si="6"/>
        <v>3.24</v>
      </c>
      <c r="T52" s="495">
        <f t="shared" si="6"/>
        <v>3.65</v>
      </c>
      <c r="U52" s="495">
        <f t="shared" si="6"/>
        <v>4.07</v>
      </c>
      <c r="V52" s="495">
        <f t="shared" si="6"/>
        <v>4.5</v>
      </c>
      <c r="W52" s="495">
        <f t="shared" si="6"/>
        <v>4.94</v>
      </c>
      <c r="X52" s="495">
        <f t="shared" si="6"/>
        <v>5.39</v>
      </c>
      <c r="Y52" s="495">
        <f t="shared" si="6"/>
        <v>6.3</v>
      </c>
      <c r="Z52" s="495">
        <f t="shared" si="6"/>
        <v>7.24</v>
      </c>
      <c r="AA52" s="495">
        <f t="shared" si="6"/>
        <v>8.19</v>
      </c>
      <c r="AB52" s="495">
        <f t="shared" si="6"/>
        <v>9.16</v>
      </c>
      <c r="AC52" s="484">
        <f t="shared" si="6"/>
        <v>10.1</v>
      </c>
      <c r="AD52" s="513">
        <f ca="1">IF($AD$45=2,$AC52,IF($AD$45&gt;2,"ERROR",FORECAST($AD$45,OFFSET($M52,0,$AD$37):OFFSET($M52,0,$AD$37+1),OFFSET($M$45,0,$AD$37):OFFSET($M$45,0,$AD$37+1))))</f>
        <v>2.101666666666666</v>
      </c>
      <c r="AF52" s="405" t="s">
        <v>742</v>
      </c>
      <c r="AG52" s="406">
        <v>47</v>
      </c>
      <c r="AH52" s="407">
        <v>36</v>
      </c>
      <c r="AI52" s="408">
        <v>0.65</v>
      </c>
      <c r="AJ52" s="407">
        <v>12</v>
      </c>
      <c r="AK52" s="409">
        <v>1.02</v>
      </c>
      <c r="AL52" s="410">
        <v>1.77</v>
      </c>
    </row>
    <row r="53" spans="1:38" ht="12.75">
      <c r="A53" s="11" t="s">
        <v>219</v>
      </c>
      <c r="B53" s="10"/>
      <c r="C53" s="10"/>
      <c r="D53" s="10"/>
      <c r="E53" s="37"/>
      <c r="F53" s="37"/>
      <c r="G53" s="45"/>
      <c r="H53" s="89"/>
      <c r="I53" s="194"/>
      <c r="M53" s="483">
        <v>0.5</v>
      </c>
      <c r="N53" s="516">
        <f aca="true" t="shared" si="7" ref="N53:AC53">IF($N$29=0,N84,IF($N$29=15,N112,IF($N$29=30,N140,IF($N$29=45,N168,IF($N$29=60,N196,IF($N$29=75,N224,"ERROR"))))))</f>
        <v>1.15</v>
      </c>
      <c r="O53" s="495">
        <f t="shared" si="7"/>
        <v>1.46</v>
      </c>
      <c r="P53" s="495">
        <f t="shared" si="7"/>
        <v>1.79</v>
      </c>
      <c r="Q53" s="495">
        <f t="shared" si="7"/>
        <v>2.14</v>
      </c>
      <c r="R53" s="495">
        <f t="shared" si="7"/>
        <v>2.49</v>
      </c>
      <c r="S53" s="495">
        <f t="shared" si="7"/>
        <v>2.85</v>
      </c>
      <c r="T53" s="495">
        <f t="shared" si="7"/>
        <v>3.22</v>
      </c>
      <c r="U53" s="495">
        <f t="shared" si="7"/>
        <v>3.6</v>
      </c>
      <c r="V53" s="495">
        <f t="shared" si="7"/>
        <v>4</v>
      </c>
      <c r="W53" s="495">
        <f t="shared" si="7"/>
        <v>4.4</v>
      </c>
      <c r="X53" s="495">
        <f t="shared" si="7"/>
        <v>4.81</v>
      </c>
      <c r="Y53" s="495">
        <f t="shared" si="7"/>
        <v>5.67</v>
      </c>
      <c r="Z53" s="495">
        <f t="shared" si="7"/>
        <v>6.56</v>
      </c>
      <c r="AA53" s="495">
        <f t="shared" si="7"/>
        <v>7.47</v>
      </c>
      <c r="AB53" s="495">
        <f t="shared" si="7"/>
        <v>8.4</v>
      </c>
      <c r="AC53" s="495">
        <f t="shared" si="7"/>
        <v>9.35</v>
      </c>
      <c r="AD53" s="513">
        <f ca="1">IF($AD$45=2,$AC53,IF($AD$45&gt;2,"ERROR",FORECAST($AD$45,OFFSET($M53,0,$AD$37):OFFSET($M53,0,$AD$37+1),OFFSET($M$45,0,$AD$37):OFFSET($M$45,0,$AD$37+1))))</f>
        <v>1.8191666666666666</v>
      </c>
      <c r="AF53" s="405" t="s">
        <v>743</v>
      </c>
      <c r="AG53" s="406">
        <v>44.2</v>
      </c>
      <c r="AH53" s="407">
        <v>35.9</v>
      </c>
      <c r="AI53" s="408">
        <v>0.625</v>
      </c>
      <c r="AJ53" s="407">
        <v>12</v>
      </c>
      <c r="AK53" s="408">
        <v>0.94</v>
      </c>
      <c r="AL53" s="410">
        <v>1.69</v>
      </c>
    </row>
    <row r="54" spans="1:38" ht="12.75">
      <c r="A54" s="73" t="s">
        <v>490</v>
      </c>
      <c r="B54" s="10"/>
      <c r="C54" s="10"/>
      <c r="D54" s="10"/>
      <c r="E54" s="10"/>
      <c r="F54" s="10"/>
      <c r="G54" s="37"/>
      <c r="H54" s="10"/>
      <c r="I54" s="14"/>
      <c r="M54" s="483">
        <v>0.6</v>
      </c>
      <c r="N54" s="518">
        <f aca="true" t="shared" si="8" ref="N54:AC54">IF($N$29=0,N85,IF($N$29=15,N113,IF($N$29=30,N141,IF($N$29=45,N169,IF($N$29=60,N197,IF($N$29=75,N225,"ERROR"))))))</f>
        <v>0.997</v>
      </c>
      <c r="O54" s="495">
        <f t="shared" si="8"/>
        <v>1.27</v>
      </c>
      <c r="P54" s="495">
        <f t="shared" si="8"/>
        <v>1.57</v>
      </c>
      <c r="Q54" s="495">
        <f t="shared" si="8"/>
        <v>1.88</v>
      </c>
      <c r="R54" s="495">
        <f t="shared" si="8"/>
        <v>2.19</v>
      </c>
      <c r="S54" s="495">
        <f t="shared" si="8"/>
        <v>2.52</v>
      </c>
      <c r="T54" s="495">
        <f t="shared" si="8"/>
        <v>2.85</v>
      </c>
      <c r="U54" s="495">
        <f t="shared" si="8"/>
        <v>3.2</v>
      </c>
      <c r="V54" s="495">
        <f t="shared" si="8"/>
        <v>3.56</v>
      </c>
      <c r="W54" s="495">
        <f t="shared" si="8"/>
        <v>3.94</v>
      </c>
      <c r="X54" s="495">
        <f t="shared" si="8"/>
        <v>4.32</v>
      </c>
      <c r="Y54" s="495">
        <f t="shared" si="8"/>
        <v>5.13</v>
      </c>
      <c r="Z54" s="495">
        <f t="shared" si="8"/>
        <v>5.97</v>
      </c>
      <c r="AA54" s="495">
        <f t="shared" si="8"/>
        <v>6.84</v>
      </c>
      <c r="AB54" s="495">
        <f t="shared" si="8"/>
        <v>7.73</v>
      </c>
      <c r="AC54" s="495">
        <f t="shared" si="8"/>
        <v>8.65</v>
      </c>
      <c r="AD54" s="513">
        <f ca="1">IF($AD$45=2,$AC54,IF($AD$45&gt;2,"ERROR",FORECAST($AD$45,OFFSET($M54,0,$AD$37):OFFSET($M54,0,$AD$37+1),OFFSET($M$45,0,$AD$37):OFFSET($M$45,0,$AD$37+1))))</f>
        <v>1.5958333333333334</v>
      </c>
      <c r="AF54" s="405" t="s">
        <v>744</v>
      </c>
      <c r="AG54" s="406">
        <v>39.7</v>
      </c>
      <c r="AH54" s="407">
        <v>35.6</v>
      </c>
      <c r="AI54" s="408">
        <v>0.6</v>
      </c>
      <c r="AJ54" s="407">
        <v>12</v>
      </c>
      <c r="AK54" s="408">
        <v>0.79</v>
      </c>
      <c r="AL54" s="410">
        <v>1.54</v>
      </c>
    </row>
    <row r="55" spans="1:38" ht="12.75">
      <c r="A55" s="69" t="s">
        <v>335</v>
      </c>
      <c r="B55" s="581">
        <f>$N$5</f>
        <v>58</v>
      </c>
      <c r="C55" s="113" t="s">
        <v>245</v>
      </c>
      <c r="D55" s="52" t="str">
        <f>$P$5</f>
        <v>Fua = 58 for Fya = 36 (for angles)</v>
      </c>
      <c r="E55" s="10"/>
      <c r="F55" s="10"/>
      <c r="G55" s="10"/>
      <c r="H55" s="10"/>
      <c r="I55" s="14"/>
      <c r="M55" s="483">
        <v>0.7</v>
      </c>
      <c r="N55" s="518">
        <f aca="true" t="shared" si="9" ref="N55:AC55">IF($N$29=0,N86,IF($N$29=15,N114,IF($N$29=30,N142,IF($N$29=45,N170,IF($N$29=60,N198,IF($N$29=75,N226,"ERROR"))))))</f>
        <v>0.879</v>
      </c>
      <c r="O55" s="495">
        <f t="shared" si="9"/>
        <v>1.12</v>
      </c>
      <c r="P55" s="495">
        <f t="shared" si="9"/>
        <v>1.38</v>
      </c>
      <c r="Q55" s="495">
        <f t="shared" si="9"/>
        <v>1.66</v>
      </c>
      <c r="R55" s="495">
        <f t="shared" si="9"/>
        <v>1.95</v>
      </c>
      <c r="S55" s="495">
        <f t="shared" si="9"/>
        <v>2.24</v>
      </c>
      <c r="T55" s="495">
        <f t="shared" si="9"/>
        <v>2.55</v>
      </c>
      <c r="U55" s="495">
        <f t="shared" si="9"/>
        <v>2.87</v>
      </c>
      <c r="V55" s="495">
        <f t="shared" si="9"/>
        <v>3.2</v>
      </c>
      <c r="W55" s="495">
        <f t="shared" si="9"/>
        <v>3.55</v>
      </c>
      <c r="X55" s="495">
        <f t="shared" si="9"/>
        <v>3.91</v>
      </c>
      <c r="Y55" s="495">
        <f t="shared" si="9"/>
        <v>4.66</v>
      </c>
      <c r="Z55" s="495">
        <f t="shared" si="9"/>
        <v>5.46</v>
      </c>
      <c r="AA55" s="495">
        <f t="shared" si="9"/>
        <v>6.29</v>
      </c>
      <c r="AB55" s="495">
        <f t="shared" si="9"/>
        <v>7.15</v>
      </c>
      <c r="AC55" s="495">
        <f t="shared" si="9"/>
        <v>8.04</v>
      </c>
      <c r="AD55" s="513">
        <f ca="1">IF($AD$45=2,$AC55,IF($AD$45&gt;2,"ERROR",FORECAST($AD$45,OFFSET($M55,0,$AD$37):OFFSET($M55,0,$AD$37+1),OFFSET($M$45,0,$AD$37):OFFSET($M$45,0,$AD$37+1))))</f>
        <v>1.4033333333333333</v>
      </c>
      <c r="AF55" s="405" t="s">
        <v>745</v>
      </c>
      <c r="AG55" s="411">
        <v>114</v>
      </c>
      <c r="AH55" s="407">
        <v>36</v>
      </c>
      <c r="AI55" s="409">
        <v>1.26</v>
      </c>
      <c r="AJ55" s="407">
        <v>16.2</v>
      </c>
      <c r="AK55" s="409">
        <v>2.28</v>
      </c>
      <c r="AL55" s="410">
        <v>3.07</v>
      </c>
    </row>
    <row r="56" spans="1:38" ht="12.75">
      <c r="A56" s="69" t="s">
        <v>192</v>
      </c>
      <c r="B56" s="177">
        <f>$N$6</f>
        <v>65</v>
      </c>
      <c r="C56" s="113" t="s">
        <v>245</v>
      </c>
      <c r="D56" s="52" t="str">
        <f>$P$6</f>
        <v>Fub = 65 for Fyb = 50 (for beam)</v>
      </c>
      <c r="E56" s="10"/>
      <c r="F56" s="10"/>
      <c r="G56" s="10"/>
      <c r="H56" s="10"/>
      <c r="I56" s="14"/>
      <c r="M56" s="483">
        <v>0.8</v>
      </c>
      <c r="N56" s="483">
        <f aca="true" t="shared" si="10" ref="N56:AC56">IF($N$29=0,N87,IF($N$29=15,N115,IF($N$29=30,N143,IF($N$29=45,N171,IF($N$29=60,N199,IF($N$29=75,N227,"ERROR"))))))</f>
        <v>0.781</v>
      </c>
      <c r="O56" s="319">
        <f t="shared" si="10"/>
        <v>0.995</v>
      </c>
      <c r="P56" s="495">
        <f t="shared" si="10"/>
        <v>1.23</v>
      </c>
      <c r="Q56" s="495">
        <f t="shared" si="10"/>
        <v>1.48</v>
      </c>
      <c r="R56" s="495">
        <f t="shared" si="10"/>
        <v>1.75</v>
      </c>
      <c r="S56" s="495">
        <f t="shared" si="10"/>
        <v>2.02</v>
      </c>
      <c r="T56" s="495">
        <f t="shared" si="10"/>
        <v>2.3</v>
      </c>
      <c r="U56" s="495">
        <f t="shared" si="10"/>
        <v>2.59</v>
      </c>
      <c r="V56" s="495">
        <f t="shared" si="10"/>
        <v>2.9</v>
      </c>
      <c r="W56" s="495">
        <f t="shared" si="10"/>
        <v>3.22</v>
      </c>
      <c r="X56" s="495">
        <f t="shared" si="10"/>
        <v>3.56</v>
      </c>
      <c r="Y56" s="495">
        <f t="shared" si="10"/>
        <v>4.27</v>
      </c>
      <c r="Z56" s="495">
        <f t="shared" si="10"/>
        <v>5.02</v>
      </c>
      <c r="AA56" s="495">
        <f t="shared" si="10"/>
        <v>5.81</v>
      </c>
      <c r="AB56" s="495">
        <f t="shared" si="10"/>
        <v>6.64</v>
      </c>
      <c r="AC56" s="495">
        <f t="shared" si="10"/>
        <v>7.5</v>
      </c>
      <c r="AD56" s="513">
        <f ca="1">IF($AD$45=2,$AC56,IF($AD$45&gt;2,"ERROR",FORECAST($AD$45,OFFSET($M56,0,$AD$37):OFFSET($M56,0,$AD$37+1),OFFSET($M$45,0,$AD$37):OFFSET($M$45,0,$AD$37+1))))</f>
        <v>1.2508333333333335</v>
      </c>
      <c r="AF56" s="405" t="s">
        <v>746</v>
      </c>
      <c r="AG56" s="411">
        <v>104</v>
      </c>
      <c r="AH56" s="407">
        <v>35.6</v>
      </c>
      <c r="AI56" s="409">
        <v>1.16</v>
      </c>
      <c r="AJ56" s="407">
        <v>16.1</v>
      </c>
      <c r="AK56" s="409">
        <v>2.09</v>
      </c>
      <c r="AL56" s="410">
        <v>2.88</v>
      </c>
    </row>
    <row r="57" spans="1:38" ht="12.75">
      <c r="A57" s="62" t="s">
        <v>183</v>
      </c>
      <c r="B57" s="178">
        <f>$N$7</f>
        <v>65</v>
      </c>
      <c r="C57" s="113" t="s">
        <v>245</v>
      </c>
      <c r="D57" s="52" t="str">
        <f>$P$7</f>
        <v>Fug = 65 for Fyg = 50 (for girder)</v>
      </c>
      <c r="E57" s="10"/>
      <c r="F57" s="10"/>
      <c r="G57" s="10"/>
      <c r="H57" s="10"/>
      <c r="I57" s="14"/>
      <c r="M57" s="483">
        <v>0.9</v>
      </c>
      <c r="N57" s="483">
        <f aca="true" t="shared" si="11" ref="N57:AC57">IF($N$29=0,N88,IF($N$29=15,N116,IF($N$29=30,N144,IF($N$29=45,N172,IF($N$29=60,N200,IF($N$29=75,N228,"ERROR"))))))</f>
        <v>0.709</v>
      </c>
      <c r="O57" s="319">
        <f t="shared" si="11"/>
        <v>0.895</v>
      </c>
      <c r="P57" s="495">
        <f t="shared" si="11"/>
        <v>1.11</v>
      </c>
      <c r="Q57" s="495">
        <f t="shared" si="11"/>
        <v>1.33</v>
      </c>
      <c r="R57" s="495">
        <f t="shared" si="11"/>
        <v>1.58</v>
      </c>
      <c r="S57" s="495">
        <f t="shared" si="11"/>
        <v>1.83</v>
      </c>
      <c r="T57" s="495">
        <f t="shared" si="11"/>
        <v>2.09</v>
      </c>
      <c r="U57" s="495">
        <f t="shared" si="11"/>
        <v>2.36</v>
      </c>
      <c r="V57" s="495">
        <f t="shared" si="11"/>
        <v>2.64</v>
      </c>
      <c r="W57" s="495">
        <f t="shared" si="11"/>
        <v>2.94</v>
      </c>
      <c r="X57" s="495">
        <f t="shared" si="11"/>
        <v>3.26</v>
      </c>
      <c r="Y57" s="495">
        <f t="shared" si="11"/>
        <v>3.93</v>
      </c>
      <c r="Z57" s="495">
        <f t="shared" si="11"/>
        <v>4.64</v>
      </c>
      <c r="AA57" s="495">
        <f t="shared" si="11"/>
        <v>5.4</v>
      </c>
      <c r="AB57" s="495">
        <f t="shared" si="11"/>
        <v>6.18</v>
      </c>
      <c r="AC57" s="495">
        <f t="shared" si="11"/>
        <v>7</v>
      </c>
      <c r="AD57" s="513">
        <f ca="1">IF($AD$45=2,$AC57,IF($AD$45&gt;2,"ERROR",FORECAST($AD$45,OFFSET($M57,0,$AD$37):OFFSET($M57,0,$AD$37+1),OFFSET($M$45,0,$AD$37):OFFSET($M$45,0,$AD$37+1))))</f>
        <v>1.1283333333333334</v>
      </c>
      <c r="AF57" s="405" t="s">
        <v>747</v>
      </c>
      <c r="AG57" s="406">
        <v>93.6</v>
      </c>
      <c r="AH57" s="407">
        <v>35.2</v>
      </c>
      <c r="AI57" s="409">
        <v>1.04</v>
      </c>
      <c r="AJ57" s="407">
        <v>16</v>
      </c>
      <c r="AK57" s="409">
        <v>1.89</v>
      </c>
      <c r="AL57" s="410">
        <v>2.68</v>
      </c>
    </row>
    <row r="58" spans="1:38" ht="12.75">
      <c r="A58" s="19"/>
      <c r="B58" s="10"/>
      <c r="C58" s="10"/>
      <c r="D58" s="10"/>
      <c r="E58" s="10"/>
      <c r="F58" s="10"/>
      <c r="G58" s="10"/>
      <c r="H58" s="10"/>
      <c r="I58" s="14"/>
      <c r="M58" s="487">
        <v>1</v>
      </c>
      <c r="N58" s="483">
        <f aca="true" t="shared" si="12" ref="N58:AC58">IF($N$29=0,N89,IF($N$29=15,N117,IF($N$29=30,N145,IF($N$29=45,N173,IF($N$29=60,N201,IF($N$29=75,N229,"ERROR"))))))</f>
        <v>0.637</v>
      </c>
      <c r="O58" s="319">
        <f t="shared" si="12"/>
        <v>0.712</v>
      </c>
      <c r="P58" s="495">
        <f t="shared" si="12"/>
        <v>1</v>
      </c>
      <c r="Q58" s="495">
        <f t="shared" si="12"/>
        <v>1.21</v>
      </c>
      <c r="R58" s="495">
        <f t="shared" si="12"/>
        <v>1.44</v>
      </c>
      <c r="S58" s="495">
        <f t="shared" si="12"/>
        <v>1.67</v>
      </c>
      <c r="T58" s="495">
        <f t="shared" si="12"/>
        <v>1.91</v>
      </c>
      <c r="U58" s="495">
        <f t="shared" si="12"/>
        <v>2.16</v>
      </c>
      <c r="V58" s="495">
        <f t="shared" si="12"/>
        <v>2.43</v>
      </c>
      <c r="W58" s="495">
        <f t="shared" si="12"/>
        <v>2.71</v>
      </c>
      <c r="X58" s="495">
        <f t="shared" si="12"/>
        <v>3.01</v>
      </c>
      <c r="Y58" s="495">
        <f t="shared" si="12"/>
        <v>3.63</v>
      </c>
      <c r="Z58" s="495">
        <f t="shared" si="12"/>
        <v>4.31</v>
      </c>
      <c r="AA58" s="495">
        <f t="shared" si="12"/>
        <v>5.02</v>
      </c>
      <c r="AB58" s="495">
        <f t="shared" si="12"/>
        <v>5.77</v>
      </c>
      <c r="AC58" s="495">
        <f t="shared" si="12"/>
        <v>6.56</v>
      </c>
      <c r="AD58" s="513">
        <f ca="1">IF($AD$45=2,$AC58,IF($AD$45&gt;2,"ERROR",FORECAST($AD$45,OFFSET($M58,0,$AD$37):OFFSET($M58,0,$AD$37+1),OFFSET($M$45,0,$AD$37):OFFSET($M$45,0,$AD$37+1))))</f>
        <v>1.0175</v>
      </c>
      <c r="AF58" s="405" t="s">
        <v>748</v>
      </c>
      <c r="AG58" s="406">
        <v>85.7</v>
      </c>
      <c r="AH58" s="407">
        <v>34.8</v>
      </c>
      <c r="AI58" s="408">
        <v>0.96</v>
      </c>
      <c r="AJ58" s="407">
        <v>15.9</v>
      </c>
      <c r="AK58" s="409">
        <v>1.73</v>
      </c>
      <c r="AL58" s="410">
        <v>2.52</v>
      </c>
    </row>
    <row r="59" spans="1:38" ht="12.75">
      <c r="A59" s="86" t="s">
        <v>55</v>
      </c>
      <c r="B59" s="10"/>
      <c r="C59" s="10"/>
      <c r="D59" s="10"/>
      <c r="E59" s="10"/>
      <c r="F59" s="10"/>
      <c r="G59" s="10"/>
      <c r="H59" s="10"/>
      <c r="I59" s="14"/>
      <c r="M59" s="487">
        <v>1.2</v>
      </c>
      <c r="N59" s="483">
        <f aca="true" t="shared" si="13" ref="N59:AC59">IF($N$29=0,N90,IF($N$29=15,N118,IF($N$29=30,N146,IF($N$29=45,N174,IF($N$29=60,N202,IF($N$29=75,N230,"ERROR"))))))</f>
        <v>0.537</v>
      </c>
      <c r="O59" s="522">
        <f t="shared" si="13"/>
        <v>0.683</v>
      </c>
      <c r="P59" s="319">
        <f t="shared" si="13"/>
        <v>0.844</v>
      </c>
      <c r="Q59" s="320">
        <f t="shared" si="13"/>
        <v>1.02</v>
      </c>
      <c r="R59" s="320">
        <f t="shared" si="13"/>
        <v>1.21</v>
      </c>
      <c r="S59" s="320">
        <f t="shared" si="13"/>
        <v>1.42</v>
      </c>
      <c r="T59" s="320">
        <f t="shared" si="13"/>
        <v>1.63</v>
      </c>
      <c r="U59" s="320">
        <f t="shared" si="13"/>
        <v>1.85</v>
      </c>
      <c r="V59" s="523">
        <f t="shared" si="13"/>
        <v>2.08</v>
      </c>
      <c r="W59" s="495">
        <f t="shared" si="13"/>
        <v>2.33</v>
      </c>
      <c r="X59" s="495">
        <f t="shared" si="13"/>
        <v>2.59</v>
      </c>
      <c r="Y59" s="495">
        <f t="shared" si="13"/>
        <v>3.15</v>
      </c>
      <c r="Z59" s="495">
        <f t="shared" si="13"/>
        <v>3.75</v>
      </c>
      <c r="AA59" s="495">
        <f t="shared" si="13"/>
        <v>4.39</v>
      </c>
      <c r="AB59" s="495">
        <f t="shared" si="13"/>
        <v>5.07</v>
      </c>
      <c r="AC59" s="495">
        <f t="shared" si="13"/>
        <v>5.78</v>
      </c>
      <c r="AD59" s="513">
        <f ca="1">IF($AD$45=2,$AC59,IF($AD$45&gt;2,"ERROR",FORECAST($AD$45,OFFSET($M59,0,$AD$37):OFFSET($M59,0,$AD$37+1),OFFSET($M$45,0,$AD$37):OFFSET($M$45,0,$AD$37+1))))</f>
        <v>0.8586666666666666</v>
      </c>
      <c r="AF59" s="405" t="s">
        <v>749</v>
      </c>
      <c r="AG59" s="406">
        <v>77.5</v>
      </c>
      <c r="AH59" s="407">
        <v>34.5</v>
      </c>
      <c r="AI59" s="408">
        <v>0.87</v>
      </c>
      <c r="AJ59" s="407">
        <v>15.8</v>
      </c>
      <c r="AK59" s="409">
        <v>1.57</v>
      </c>
      <c r="AL59" s="410">
        <v>2.36</v>
      </c>
    </row>
    <row r="60" spans="1:38" ht="12.75">
      <c r="A60" s="73" t="s">
        <v>623</v>
      </c>
      <c r="B60" s="21"/>
      <c r="C60" s="112"/>
      <c r="D60" s="52" t="str">
        <f>$P$9</f>
        <v>(Note: eccentricity between C.L.'s  of beam and connection is included)</v>
      </c>
      <c r="E60" s="55"/>
      <c r="F60" s="55"/>
      <c r="G60" s="10"/>
      <c r="H60" s="10"/>
      <c r="I60" s="14"/>
      <c r="M60" s="487">
        <v>1.4</v>
      </c>
      <c r="N60" s="483">
        <f aca="true" t="shared" si="14" ref="N60:AC60">IF($N$29=0,N91,IF($N$29=15,N119,IF($N$29=30,N147,IF($N$29=45,N175,IF($N$29=60,N203,IF($N$29=75,N231,"ERROR"))))))</f>
        <v>0.464</v>
      </c>
      <c r="O60" s="522">
        <f t="shared" si="14"/>
        <v>0.588</v>
      </c>
      <c r="P60" s="319">
        <f t="shared" si="14"/>
        <v>0.728</v>
      </c>
      <c r="Q60" s="319">
        <f t="shared" si="14"/>
        <v>0.881</v>
      </c>
      <c r="R60" s="320">
        <f t="shared" si="14"/>
        <v>1.05</v>
      </c>
      <c r="S60" s="320">
        <f t="shared" si="14"/>
        <v>1.23</v>
      </c>
      <c r="T60" s="320">
        <f t="shared" si="14"/>
        <v>1.41</v>
      </c>
      <c r="U60" s="495">
        <f t="shared" si="14"/>
        <v>1.61</v>
      </c>
      <c r="V60" s="523">
        <f t="shared" si="14"/>
        <v>1.82</v>
      </c>
      <c r="W60" s="495">
        <f t="shared" si="14"/>
        <v>2.04</v>
      </c>
      <c r="X60" s="495">
        <f t="shared" si="14"/>
        <v>2.27</v>
      </c>
      <c r="Y60" s="495">
        <f t="shared" si="14"/>
        <v>2.77</v>
      </c>
      <c r="Z60" s="495">
        <f t="shared" si="14"/>
        <v>3.31</v>
      </c>
      <c r="AA60" s="495">
        <f t="shared" si="14"/>
        <v>3.89</v>
      </c>
      <c r="AB60" s="495">
        <f t="shared" si="14"/>
        <v>4.5</v>
      </c>
      <c r="AC60" s="495">
        <f t="shared" si="14"/>
        <v>5.15</v>
      </c>
      <c r="AD60" s="513">
        <f ca="1">IF($AD$45=2,$AC60,IF($AD$45&gt;2,"ERROR",FORECAST($AD$45,OFFSET($M60,0,$AD$37):OFFSET($M60,0,$AD$37+1),OFFSET($M$45,0,$AD$37):OFFSET($M$45,0,$AD$37+1))))</f>
        <v>0.74075</v>
      </c>
      <c r="AF60" s="405" t="s">
        <v>750</v>
      </c>
      <c r="AG60" s="406">
        <v>71</v>
      </c>
      <c r="AH60" s="407">
        <v>34.2</v>
      </c>
      <c r="AI60" s="408">
        <v>0.83</v>
      </c>
      <c r="AJ60" s="407">
        <v>15.9</v>
      </c>
      <c r="AK60" s="409">
        <v>1.4</v>
      </c>
      <c r="AL60" s="410">
        <v>2.19</v>
      </c>
    </row>
    <row r="61" spans="1:38" ht="12.75">
      <c r="A61" s="439" t="s">
        <v>631</v>
      </c>
      <c r="B61" s="175">
        <f>$N$10</f>
        <v>7.125016348901795</v>
      </c>
      <c r="C61" s="121" t="s">
        <v>425</v>
      </c>
      <c r="D61" s="438" t="s">
        <v>630</v>
      </c>
      <c r="E61" s="37"/>
      <c r="F61" s="37"/>
      <c r="G61" s="10"/>
      <c r="H61" s="10"/>
      <c r="I61" s="46"/>
      <c r="M61" s="487">
        <v>1.6</v>
      </c>
      <c r="N61" s="483">
        <f aca="true" t="shared" si="15" ref="N61:AC61">IF($N$29=0,N92,IF($N$29=15,N120,IF($N$29=30,N148,IF($N$29=45,N176,IF($N$29=60,N204,IF($N$29=75,N232,"ERROR"))))))</f>
        <v>0.407</v>
      </c>
      <c r="O61" s="522">
        <f t="shared" si="15"/>
        <v>0.516</v>
      </c>
      <c r="P61" s="319">
        <f t="shared" si="15"/>
        <v>0.639</v>
      </c>
      <c r="Q61" s="319">
        <f t="shared" si="15"/>
        <v>0.775</v>
      </c>
      <c r="R61" s="319">
        <f t="shared" si="15"/>
        <v>0.923</v>
      </c>
      <c r="S61" s="320">
        <f t="shared" si="15"/>
        <v>1.08</v>
      </c>
      <c r="T61" s="320">
        <f t="shared" si="15"/>
        <v>1.25</v>
      </c>
      <c r="U61" s="495">
        <f t="shared" si="15"/>
        <v>1.43</v>
      </c>
      <c r="V61" s="523">
        <f t="shared" si="15"/>
        <v>1.61</v>
      </c>
      <c r="W61" s="495">
        <f t="shared" si="15"/>
        <v>1.81</v>
      </c>
      <c r="X61" s="495">
        <f t="shared" si="15"/>
        <v>2.02</v>
      </c>
      <c r="Y61" s="495">
        <f t="shared" si="15"/>
        <v>2.46</v>
      </c>
      <c r="Z61" s="495">
        <f t="shared" si="15"/>
        <v>2.95</v>
      </c>
      <c r="AA61" s="495">
        <f t="shared" si="15"/>
        <v>3.47</v>
      </c>
      <c r="AB61" s="495">
        <f t="shared" si="15"/>
        <v>4.04</v>
      </c>
      <c r="AC61" s="495">
        <f t="shared" si="15"/>
        <v>4.63</v>
      </c>
      <c r="AD61" s="513">
        <f ca="1">IF($AD$45=2,$AC61,IF($AD$45&gt;2,"ERROR",FORECAST($AD$45,OFFSET($M61,0,$AD$37):OFFSET($M61,0,$AD$37+1),OFFSET($M$45,0,$AD$37):OFFSET($M$45,0,$AD$37+1))))</f>
        <v>0.6503333333333334</v>
      </c>
      <c r="AF61" s="405" t="s">
        <v>751</v>
      </c>
      <c r="AG61" s="406">
        <v>65.2</v>
      </c>
      <c r="AH61" s="407">
        <v>33.9</v>
      </c>
      <c r="AI61" s="408">
        <v>0.775</v>
      </c>
      <c r="AJ61" s="407">
        <v>15.8</v>
      </c>
      <c r="AK61" s="409">
        <v>1.28</v>
      </c>
      <c r="AL61" s="410">
        <v>2.06</v>
      </c>
    </row>
    <row r="62" spans="1:38" ht="12.75">
      <c r="A62" s="51" t="s">
        <v>427</v>
      </c>
      <c r="B62" s="179">
        <f>$N$11</f>
        <v>82.77323612608444</v>
      </c>
      <c r="C62" s="113" t="s">
        <v>244</v>
      </c>
      <c r="D62" s="447" t="s">
        <v>643</v>
      </c>
      <c r="E62" s="37"/>
      <c r="F62" s="37"/>
      <c r="G62" s="37"/>
      <c r="H62" s="80"/>
      <c r="I62" s="14"/>
      <c r="M62" s="487">
        <v>1.8</v>
      </c>
      <c r="N62" s="483">
        <f aca="true" t="shared" si="16" ref="N62:AC62">IF($N$29=0,N93,IF($N$29=15,N121,IF($N$29=30,N149,IF($N$29=45,N177,IF($N$29=60,N205,IF($N$29=75,N233,"ERROR"))))))</f>
        <v>0.363</v>
      </c>
      <c r="O62" s="522">
        <f t="shared" si="16"/>
        <v>0.46</v>
      </c>
      <c r="P62" s="319">
        <f t="shared" si="16"/>
        <v>0.569</v>
      </c>
      <c r="Q62" s="319">
        <f t="shared" si="16"/>
        <v>0.691</v>
      </c>
      <c r="R62" s="319">
        <f t="shared" si="16"/>
        <v>0.824</v>
      </c>
      <c r="S62" s="319">
        <f t="shared" si="16"/>
        <v>0.969</v>
      </c>
      <c r="T62" s="320">
        <f t="shared" si="16"/>
        <v>1.12</v>
      </c>
      <c r="U62" s="495">
        <f t="shared" si="16"/>
        <v>1.28</v>
      </c>
      <c r="V62" s="523">
        <f t="shared" si="16"/>
        <v>1.45</v>
      </c>
      <c r="W62" s="495">
        <f t="shared" si="16"/>
        <v>1.62</v>
      </c>
      <c r="X62" s="495">
        <f t="shared" si="16"/>
        <v>1.81</v>
      </c>
      <c r="Y62" s="495">
        <f t="shared" si="16"/>
        <v>2.22</v>
      </c>
      <c r="Z62" s="495">
        <f t="shared" si="16"/>
        <v>2.66</v>
      </c>
      <c r="AA62" s="495">
        <f t="shared" si="16"/>
        <v>3.14</v>
      </c>
      <c r="AB62" s="495">
        <f t="shared" si="16"/>
        <v>3.65</v>
      </c>
      <c r="AC62" s="495">
        <f t="shared" si="16"/>
        <v>4.2</v>
      </c>
      <c r="AD62" s="513">
        <f ca="1">IF($AD$45=2,$AC62,IF($AD$45&gt;2,"ERROR",FORECAST($AD$45,OFFSET($M62,0,$AD$37):OFFSET($M62,0,$AD$37+1),OFFSET($M$45,0,$AD$37):OFFSET($M$45,0,$AD$37+1))))</f>
        <v>0.5791666666666666</v>
      </c>
      <c r="AF62" s="405" t="s">
        <v>752</v>
      </c>
      <c r="AG62" s="406">
        <v>59.2</v>
      </c>
      <c r="AH62" s="407">
        <v>33.7</v>
      </c>
      <c r="AI62" s="408">
        <v>0.715</v>
      </c>
      <c r="AJ62" s="407">
        <v>15.7</v>
      </c>
      <c r="AK62" s="409">
        <v>1.15</v>
      </c>
      <c r="AL62" s="410">
        <v>1.94</v>
      </c>
    </row>
    <row r="63" spans="1:41" ht="12.75">
      <c r="A63" s="51" t="s">
        <v>428</v>
      </c>
      <c r="B63" s="179">
        <f>$N$12</f>
        <v>82.13405099191012</v>
      </c>
      <c r="C63" s="113" t="s">
        <v>425</v>
      </c>
      <c r="D63" s="455" t="s">
        <v>640</v>
      </c>
      <c r="E63" s="10"/>
      <c r="F63" s="10"/>
      <c r="G63" s="10"/>
      <c r="H63" s="80"/>
      <c r="I63" s="389" t="str">
        <f>IF($B$63&gt;=$D$16,"Rwv &gt;= R,  O.K.  ","Rwv &lt; R, N.G.  ")</f>
        <v>Rwv &gt;= R,  O.K.  </v>
      </c>
      <c r="M63" s="487">
        <v>2</v>
      </c>
      <c r="N63" s="483">
        <f aca="true" t="shared" si="17" ref="N63:AC63">IF($N$29=0,N94,IF($N$29=15,N122,IF($N$29=30,N150,IF($N$29=45,N178,IF($N$29=60,N206,IF($N$29=75,N234,"ERROR"))))))</f>
        <v>0.327</v>
      </c>
      <c r="O63" s="522">
        <f t="shared" si="17"/>
        <v>0.415</v>
      </c>
      <c r="P63" s="319">
        <f t="shared" si="17"/>
        <v>0.513</v>
      </c>
      <c r="Q63" s="319">
        <f t="shared" si="17"/>
        <v>0.623</v>
      </c>
      <c r="R63" s="319">
        <f t="shared" si="17"/>
        <v>0.744</v>
      </c>
      <c r="S63" s="319">
        <f t="shared" si="17"/>
        <v>0.876</v>
      </c>
      <c r="T63" s="320">
        <f t="shared" si="17"/>
        <v>1.01</v>
      </c>
      <c r="U63" s="495">
        <f t="shared" si="17"/>
        <v>1.16</v>
      </c>
      <c r="V63" s="523">
        <f t="shared" si="17"/>
        <v>1.31</v>
      </c>
      <c r="W63" s="495">
        <f t="shared" si="17"/>
        <v>1.47</v>
      </c>
      <c r="X63" s="495">
        <f t="shared" si="17"/>
        <v>1.64</v>
      </c>
      <c r="Y63" s="495">
        <f t="shared" si="17"/>
        <v>2.01</v>
      </c>
      <c r="Z63" s="495">
        <f t="shared" si="17"/>
        <v>2.42</v>
      </c>
      <c r="AA63" s="495">
        <f t="shared" si="17"/>
        <v>2.86</v>
      </c>
      <c r="AB63" s="495">
        <f t="shared" si="17"/>
        <v>3.33</v>
      </c>
      <c r="AC63" s="495">
        <f t="shared" si="17"/>
        <v>3.85</v>
      </c>
      <c r="AD63" s="513">
        <f ca="1">IF($AD$45=2,$AC63,IF($AD$45&gt;2,"ERROR",FORECAST($AD$45,OFFSET($M63,0,$AD$37):OFFSET($M63,0,$AD$37+1),OFFSET($M$45,0,$AD$37):OFFSET($M$45,0,$AD$37+1))))</f>
        <v>0.5221666666666667</v>
      </c>
      <c r="AF63" s="405" t="s">
        <v>753</v>
      </c>
      <c r="AG63" s="406">
        <v>49.5</v>
      </c>
      <c r="AH63" s="407">
        <v>33.8</v>
      </c>
      <c r="AI63" s="408">
        <v>0.67</v>
      </c>
      <c r="AJ63" s="407">
        <v>11.5</v>
      </c>
      <c r="AK63" s="409">
        <v>1.22</v>
      </c>
      <c r="AL63" s="410">
        <v>1.92</v>
      </c>
      <c r="AN63" s="50" t="s">
        <v>388</v>
      </c>
      <c r="AO63" s="100">
        <f>IF($D$16&gt;0,$D$16/$B$63,"")</f>
        <v>0.4870087316640433</v>
      </c>
    </row>
    <row r="64" spans="1:41" ht="12.75">
      <c r="A64" s="51" t="s">
        <v>429</v>
      </c>
      <c r="B64" s="183">
        <f>$N$13</f>
        <v>10.26675637398876</v>
      </c>
      <c r="C64" s="113" t="s">
        <v>425</v>
      </c>
      <c r="D64" s="455" t="s">
        <v>641</v>
      </c>
      <c r="E64" s="10"/>
      <c r="F64" s="10"/>
      <c r="G64" s="10"/>
      <c r="H64" s="10"/>
      <c r="I64" s="389" t="str">
        <f>IF($D$17&gt;0,IF($B$64&gt;=$D$17,"Rwa &gt;= P,  O.K.  ","Rwa &lt; P, N.G.  "),"")</f>
        <v>Rwa &gt;= P,  O.K.  </v>
      </c>
      <c r="M64" s="487">
        <v>2.2</v>
      </c>
      <c r="N64" s="483">
        <f aca="true" t="shared" si="18" ref="N64:AC64">IF($N$29=0,N95,IF($N$29=15,N123,IF($N$29=30,N151,IF($N$29=45,N179,IF($N$29=60,N207,IF($N$29=75,N235,"ERROR"))))))</f>
        <v>0.297</v>
      </c>
      <c r="O64" s="522">
        <f t="shared" si="18"/>
        <v>0.377</v>
      </c>
      <c r="P64" s="319">
        <f t="shared" si="18"/>
        <v>0.467</v>
      </c>
      <c r="Q64" s="319">
        <f t="shared" si="18"/>
        <v>0.567</v>
      </c>
      <c r="R64" s="319">
        <f t="shared" si="18"/>
        <v>0.677</v>
      </c>
      <c r="S64" s="319">
        <f t="shared" si="18"/>
        <v>0.799</v>
      </c>
      <c r="T64" s="319">
        <f t="shared" si="18"/>
        <v>0.925</v>
      </c>
      <c r="U64" s="495">
        <f t="shared" si="18"/>
        <v>1.06</v>
      </c>
      <c r="V64" s="495">
        <f t="shared" si="18"/>
        <v>1.2</v>
      </c>
      <c r="W64" s="495">
        <f t="shared" si="18"/>
        <v>1.35</v>
      </c>
      <c r="X64" s="495">
        <f t="shared" si="18"/>
        <v>1.5</v>
      </c>
      <c r="Y64" s="495">
        <f t="shared" si="18"/>
        <v>1.84</v>
      </c>
      <c r="Z64" s="495">
        <f t="shared" si="18"/>
        <v>2.21</v>
      </c>
      <c r="AA64" s="495">
        <f t="shared" si="18"/>
        <v>2.62</v>
      </c>
      <c r="AB64" s="495">
        <f t="shared" si="18"/>
        <v>3.07</v>
      </c>
      <c r="AC64" s="495">
        <f t="shared" si="18"/>
        <v>3.54</v>
      </c>
      <c r="AD64" s="513">
        <f ca="1">IF($AD$45=2,$AC64,IF($AD$45&gt;2,"ERROR",FORECAST($AD$45,OFFSET($M64,0,$AD$37):OFFSET($M64,0,$AD$37+1),OFFSET($M$45,0,$AD$37):OFFSET($M$45,0,$AD$37+1))))</f>
        <v>0.4753333333333334</v>
      </c>
      <c r="AF64" s="405" t="s">
        <v>754</v>
      </c>
      <c r="AG64" s="406">
        <v>44.8</v>
      </c>
      <c r="AH64" s="407">
        <v>33.5</v>
      </c>
      <c r="AI64" s="408">
        <v>0.635</v>
      </c>
      <c r="AJ64" s="407">
        <v>11.6</v>
      </c>
      <c r="AK64" s="409">
        <v>1.06</v>
      </c>
      <c r="AL64" s="410">
        <v>1.76</v>
      </c>
      <c r="AN64" s="50" t="str">
        <f>IF(AO64="","N.A.","SR =")</f>
        <v>SR =</v>
      </c>
      <c r="AO64" s="100">
        <f>IF($D$17&gt;0,$D$17/$B$64,"")</f>
        <v>0.48700873166404346</v>
      </c>
    </row>
    <row r="65" spans="1:38" ht="12.75">
      <c r="A65" s="19"/>
      <c r="B65" s="10"/>
      <c r="C65" s="10"/>
      <c r="D65" s="10"/>
      <c r="E65" s="10"/>
      <c r="F65" s="10"/>
      <c r="G65" s="10"/>
      <c r="H65" s="10"/>
      <c r="I65" s="389"/>
      <c r="M65" s="487">
        <v>2.4</v>
      </c>
      <c r="N65" s="483">
        <f aca="true" t="shared" si="19" ref="N65:AC65">IF($N$29=0,N96,IF($N$29=15,N124,IF($N$29=30,N152,IF($N$29=45,N180,IF($N$29=60,N208,IF($N$29=75,N236,"ERROR"))))))</f>
        <v>0.273</v>
      </c>
      <c r="O65" s="522">
        <f t="shared" si="19"/>
        <v>0.347</v>
      </c>
      <c r="P65" s="319">
        <f t="shared" si="19"/>
        <v>0.428</v>
      </c>
      <c r="Q65" s="319">
        <f t="shared" si="19"/>
        <v>0.52</v>
      </c>
      <c r="R65" s="319">
        <f t="shared" si="19"/>
        <v>0.623</v>
      </c>
      <c r="S65" s="319">
        <f t="shared" si="19"/>
        <v>0.735</v>
      </c>
      <c r="T65" s="319">
        <f t="shared" si="19"/>
        <v>0.852</v>
      </c>
      <c r="U65" s="319">
        <f t="shared" si="19"/>
        <v>0.972</v>
      </c>
      <c r="V65" s="495">
        <f t="shared" si="19"/>
        <v>1.1</v>
      </c>
      <c r="W65" s="495">
        <f t="shared" si="19"/>
        <v>1.24</v>
      </c>
      <c r="X65" s="495">
        <f t="shared" si="19"/>
        <v>1.38</v>
      </c>
      <c r="Y65" s="495">
        <f t="shared" si="19"/>
        <v>1.7</v>
      </c>
      <c r="Z65" s="495">
        <f t="shared" si="19"/>
        <v>2.04</v>
      </c>
      <c r="AA65" s="495">
        <f t="shared" si="19"/>
        <v>2.42</v>
      </c>
      <c r="AB65" s="495">
        <f t="shared" si="19"/>
        <v>2.83</v>
      </c>
      <c r="AC65" s="495">
        <f t="shared" si="19"/>
        <v>3.27</v>
      </c>
      <c r="AD65" s="513">
        <f ca="1">IF($AD$45=2,$AC65,IF($AD$45&gt;2,"ERROR",FORECAST($AD$45,OFFSET($M65,0,$AD$37):OFFSET($M65,0,$AD$37+1),OFFSET($M$45,0,$AD$37):OFFSET($M$45,0,$AD$37+1))))</f>
        <v>0.43566666666666665</v>
      </c>
      <c r="AF65" s="405" t="s">
        <v>755</v>
      </c>
      <c r="AG65" s="406">
        <v>41.6</v>
      </c>
      <c r="AH65" s="407">
        <v>33.3</v>
      </c>
      <c r="AI65" s="408">
        <v>0.605</v>
      </c>
      <c r="AJ65" s="407">
        <v>11.5</v>
      </c>
      <c r="AK65" s="408">
        <v>0.96</v>
      </c>
      <c r="AL65" s="410">
        <v>1.66</v>
      </c>
    </row>
    <row r="66" spans="1:38" ht="12.75">
      <c r="A66" s="73" t="s">
        <v>1173</v>
      </c>
      <c r="B66" s="10"/>
      <c r="C66" s="10"/>
      <c r="D66" s="10"/>
      <c r="E66" s="10"/>
      <c r="F66" s="10"/>
      <c r="G66" s="10"/>
      <c r="H66" s="10"/>
      <c r="I66" s="14"/>
      <c r="M66" s="487">
        <v>2.6</v>
      </c>
      <c r="N66" s="483">
        <f aca="true" t="shared" si="20" ref="N66:AC66">IF($N$29=0,N97,IF($N$29=15,N125,IF($N$29=30,N153,IF($N$29=45,N181,IF($N$29=60,N209,IF($N$29=75,N237,"ERROR"))))))</f>
        <v>0.252</v>
      </c>
      <c r="O66" s="522">
        <f t="shared" si="20"/>
        <v>0.32</v>
      </c>
      <c r="P66" s="319">
        <f t="shared" si="20"/>
        <v>0.396</v>
      </c>
      <c r="Q66" s="319">
        <f t="shared" si="20"/>
        <v>0.48</v>
      </c>
      <c r="R66" s="319">
        <f t="shared" si="20"/>
        <v>0.575</v>
      </c>
      <c r="S66" s="319">
        <f t="shared" si="20"/>
        <v>0.679</v>
      </c>
      <c r="T66" s="319">
        <f t="shared" si="20"/>
        <v>0.788</v>
      </c>
      <c r="U66" s="319">
        <f t="shared" si="20"/>
        <v>0.9</v>
      </c>
      <c r="V66" s="495">
        <f t="shared" si="20"/>
        <v>1.02</v>
      </c>
      <c r="W66" s="495">
        <f t="shared" si="20"/>
        <v>1.15</v>
      </c>
      <c r="X66" s="495">
        <f t="shared" si="20"/>
        <v>1.28</v>
      </c>
      <c r="Y66" s="495">
        <f t="shared" si="20"/>
        <v>1.57</v>
      </c>
      <c r="Z66" s="495">
        <f t="shared" si="20"/>
        <v>1.9</v>
      </c>
      <c r="AA66" s="495">
        <f t="shared" si="20"/>
        <v>2.25</v>
      </c>
      <c r="AB66" s="495">
        <f t="shared" si="20"/>
        <v>2.63</v>
      </c>
      <c r="AC66" s="495">
        <f t="shared" si="20"/>
        <v>3.05</v>
      </c>
      <c r="AD66" s="513">
        <f ca="1">IF($AD$45=2,$AC66,IF($AD$45&gt;2,"ERROR",FORECAST($AD$45,OFFSET($M66,0,$AD$37):OFFSET($M66,0,$AD$37+1),OFFSET($M$45,0,$AD$37):OFFSET($M$45,0,$AD$37+1))))</f>
        <v>0.403</v>
      </c>
      <c r="AF66" s="405" t="s">
        <v>756</v>
      </c>
      <c r="AG66" s="406">
        <v>38.3</v>
      </c>
      <c r="AH66" s="407">
        <v>33.1</v>
      </c>
      <c r="AI66" s="408">
        <v>0.58</v>
      </c>
      <c r="AJ66" s="407">
        <v>11.5</v>
      </c>
      <c r="AK66" s="408">
        <v>0.855</v>
      </c>
      <c r="AL66" s="410">
        <v>1.56</v>
      </c>
    </row>
    <row r="67" spans="1:38" ht="12.75">
      <c r="A67" s="443" t="s">
        <v>124</v>
      </c>
      <c r="B67" s="607">
        <f>$N$15</f>
        <v>28.244444444444447</v>
      </c>
      <c r="C67" s="113" t="s">
        <v>245</v>
      </c>
      <c r="D67" s="10" t="str">
        <f>$P$15</f>
        <v>fb = (P*(2*Lc+tw)/4) / (L*ta^2 / 6)</v>
      </c>
      <c r="E67" s="10"/>
      <c r="F67" s="10"/>
      <c r="G67" s="10"/>
      <c r="H67" s="10"/>
      <c r="I67" s="14"/>
      <c r="M67" s="487">
        <v>2.8</v>
      </c>
      <c r="N67" s="483">
        <f aca="true" t="shared" si="21" ref="N67:AC67">IF($N$29=0,N98,IF($N$29=15,N126,IF($N$29=30,N154,IF($N$29=45,N182,IF($N$29=60,N210,IF($N$29=75,N238,"ERROR"))))))</f>
        <v>0.235</v>
      </c>
      <c r="O67" s="522">
        <f t="shared" si="21"/>
        <v>0.297</v>
      </c>
      <c r="P67" s="319">
        <f t="shared" si="21"/>
        <v>0.368</v>
      </c>
      <c r="Q67" s="319">
        <f t="shared" si="21"/>
        <v>0.447</v>
      </c>
      <c r="R67" s="319">
        <f t="shared" si="21"/>
        <v>0.535</v>
      </c>
      <c r="S67" s="319">
        <f t="shared" si="21"/>
        <v>0.632</v>
      </c>
      <c r="T67" s="319">
        <f t="shared" si="21"/>
        <v>0.733</v>
      </c>
      <c r="U67" s="319">
        <f t="shared" si="21"/>
        <v>0.837</v>
      </c>
      <c r="V67" s="324">
        <f t="shared" si="21"/>
        <v>0.949</v>
      </c>
      <c r="W67" s="495">
        <f t="shared" si="21"/>
        <v>1.07</v>
      </c>
      <c r="X67" s="495">
        <f t="shared" si="21"/>
        <v>1.19</v>
      </c>
      <c r="Y67" s="495">
        <f t="shared" si="21"/>
        <v>1.47</v>
      </c>
      <c r="Z67" s="495">
        <f t="shared" si="21"/>
        <v>1.77</v>
      </c>
      <c r="AA67" s="495">
        <f t="shared" si="21"/>
        <v>2.1</v>
      </c>
      <c r="AB67" s="495">
        <f t="shared" si="21"/>
        <v>2.46</v>
      </c>
      <c r="AC67" s="495">
        <f t="shared" si="21"/>
        <v>2.85</v>
      </c>
      <c r="AD67" s="513">
        <f ca="1">IF($AD$45=2,$AC67,IF($AD$45&gt;2,"ERROR",FORECAST($AD$45,OFFSET($M67,0,$AD$37):OFFSET($M67,0,$AD$37+1),OFFSET($M$45,0,$AD$37):OFFSET($M$45,0,$AD$37+1))))</f>
        <v>0.37458333333333327</v>
      </c>
      <c r="AF67" s="405" t="s">
        <v>757</v>
      </c>
      <c r="AG67" s="406">
        <v>34.7</v>
      </c>
      <c r="AH67" s="407">
        <v>32.9</v>
      </c>
      <c r="AI67" s="408">
        <v>0.55</v>
      </c>
      <c r="AJ67" s="407">
        <v>11.5</v>
      </c>
      <c r="AK67" s="408">
        <v>0.74</v>
      </c>
      <c r="AL67" s="410">
        <v>1.44</v>
      </c>
    </row>
    <row r="68" spans="1:41" ht="12.75">
      <c r="A68" s="443" t="s">
        <v>159</v>
      </c>
      <c r="B68" s="183">
        <f>$N$16</f>
        <v>32.33532934131737</v>
      </c>
      <c r="C68" s="113" t="s">
        <v>245</v>
      </c>
      <c r="D68" s="10" t="str">
        <f>$P$16</f>
        <v>Fb = (1.5/1.67)*Fya</v>
      </c>
      <c r="E68" s="10"/>
      <c r="F68" s="10"/>
      <c r="G68" s="10"/>
      <c r="H68" s="10"/>
      <c r="I68" s="389" t="str">
        <f>IF($D$17&gt;0,IF($B$68&gt;=$B$67,"Fb &gt;= fb,  O.K.  ","Fb &lt; fb, N.G.  "),"")</f>
        <v>Fb &gt;= fb,  O.K.  </v>
      </c>
      <c r="M68" s="498">
        <v>3</v>
      </c>
      <c r="N68" s="505">
        <f aca="true" t="shared" si="22" ref="N68:AC68">IF($N$29=0,N99,IF($N$29=15,N127,IF($N$29=30,N155,IF($N$29=45,N183,IF($N$29=60,N211,IF($N$29=75,N239,"ERROR"))))))</f>
        <v>0.219</v>
      </c>
      <c r="O68" s="322">
        <f t="shared" si="22"/>
        <v>0.277</v>
      </c>
      <c r="P68" s="322">
        <f t="shared" si="22"/>
        <v>0.343</v>
      </c>
      <c r="Q68" s="322">
        <f t="shared" si="22"/>
        <v>0.417</v>
      </c>
      <c r="R68" s="322">
        <f t="shared" si="22"/>
        <v>0.5</v>
      </c>
      <c r="S68" s="322">
        <f t="shared" si="22"/>
        <v>0.591</v>
      </c>
      <c r="T68" s="322">
        <f t="shared" si="22"/>
        <v>0.685</v>
      </c>
      <c r="U68" s="322">
        <f t="shared" si="22"/>
        <v>0.784</v>
      </c>
      <c r="V68" s="322">
        <f t="shared" si="22"/>
        <v>0.888</v>
      </c>
      <c r="W68" s="322">
        <f t="shared" si="22"/>
        <v>0.999</v>
      </c>
      <c r="X68" s="495">
        <f t="shared" si="22"/>
        <v>1.12</v>
      </c>
      <c r="Y68" s="495">
        <f t="shared" si="22"/>
        <v>1.37</v>
      </c>
      <c r="Z68" s="495">
        <f t="shared" si="22"/>
        <v>1.65</v>
      </c>
      <c r="AA68" s="495">
        <f t="shared" si="22"/>
        <v>1.97</v>
      </c>
      <c r="AB68" s="495">
        <f t="shared" si="22"/>
        <v>2.31</v>
      </c>
      <c r="AC68" s="495">
        <f t="shared" si="22"/>
        <v>2.67</v>
      </c>
      <c r="AD68" s="514">
        <f ca="1">IF($AD$45=2,$AC68,IF($AD$45&gt;2,"ERROR",FORECAST($AD$45,OFFSET($M68,0,$AD$37):OFFSET($M68,0,$AD$37+1),OFFSET($M$45,0,$AD$37):OFFSET($M$45,0,$AD$37+1))))</f>
        <v>0.3491666666666667</v>
      </c>
      <c r="AF68" s="405" t="s">
        <v>758</v>
      </c>
      <c r="AG68" s="411">
        <v>115</v>
      </c>
      <c r="AH68" s="407">
        <v>33.2</v>
      </c>
      <c r="AI68" s="409">
        <v>1.36</v>
      </c>
      <c r="AJ68" s="407">
        <v>15.6</v>
      </c>
      <c r="AK68" s="409">
        <v>2.44</v>
      </c>
      <c r="AL68" s="410">
        <v>3.23</v>
      </c>
      <c r="AN68" s="50" t="s">
        <v>388</v>
      </c>
      <c r="AO68" s="100">
        <f>IF($D$17&gt;0,$B$67/$B$68,"")</f>
        <v>0.8734855967078189</v>
      </c>
    </row>
    <row r="69" spans="1:38" ht="12.75">
      <c r="A69" s="19"/>
      <c r="B69" s="10"/>
      <c r="C69" s="10"/>
      <c r="D69" s="10"/>
      <c r="E69" s="10"/>
      <c r="F69" s="10"/>
      <c r="G69" s="10"/>
      <c r="H69" s="10"/>
      <c r="I69" s="14"/>
      <c r="M69" s="504" t="s">
        <v>526</v>
      </c>
      <c r="N69" s="519">
        <f aca="true" t="shared" si="23" ref="N69:AC69">IF($N$29=0,N100,IF($N$29=15,N128,IF($N$29=30,N156,IF($N$29=45,N184,IF($N$29=60,N212,IF($N$29=75,N240,"ERROR"))))))</f>
        <v>0</v>
      </c>
      <c r="O69" s="520">
        <f t="shared" si="23"/>
        <v>0.008</v>
      </c>
      <c r="P69" s="520">
        <f t="shared" si="23"/>
        <v>0.029</v>
      </c>
      <c r="Q69" s="520">
        <f t="shared" si="23"/>
        <v>0.056</v>
      </c>
      <c r="R69" s="520">
        <f t="shared" si="23"/>
        <v>0.089</v>
      </c>
      <c r="S69" s="520">
        <f t="shared" si="23"/>
        <v>0.125</v>
      </c>
      <c r="T69" s="520">
        <f t="shared" si="23"/>
        <v>0.164</v>
      </c>
      <c r="U69" s="520">
        <f t="shared" si="23"/>
        <v>0.204</v>
      </c>
      <c r="V69" s="520">
        <f t="shared" si="23"/>
        <v>0.246</v>
      </c>
      <c r="W69" s="520">
        <f t="shared" si="23"/>
        <v>0.289</v>
      </c>
      <c r="X69" s="520">
        <f t="shared" si="23"/>
        <v>0.333</v>
      </c>
      <c r="Y69" s="520">
        <f t="shared" si="23"/>
        <v>0.424</v>
      </c>
      <c r="Z69" s="520">
        <f t="shared" si="23"/>
        <v>0.516</v>
      </c>
      <c r="AA69" s="520">
        <f t="shared" si="23"/>
        <v>0.61</v>
      </c>
      <c r="AB69" s="520">
        <f t="shared" si="23"/>
        <v>0.704</v>
      </c>
      <c r="AC69" s="521">
        <f t="shared" si="23"/>
        <v>0.8</v>
      </c>
      <c r="AD69" s="507">
        <f ca="1">IF($AD$45=2,$AC69,IF($AD$45&gt;2,"ERROR",FORECAST($AD$45,OFFSET($M69,0,$AD$37):OFFSET($M69,0,$AD$37+1),OFFSET($M$45,0,$AD$37):OFFSET($M$45,0,$AD$37+1))))</f>
        <v>0.03125</v>
      </c>
      <c r="AF69" s="405" t="s">
        <v>759</v>
      </c>
      <c r="AG69" s="411">
        <v>105</v>
      </c>
      <c r="AH69" s="407">
        <v>32.8</v>
      </c>
      <c r="AI69" s="409">
        <v>1.24</v>
      </c>
      <c r="AJ69" s="407">
        <v>15.5</v>
      </c>
      <c r="AK69" s="409">
        <v>2.24</v>
      </c>
      <c r="AL69" s="410">
        <v>3.03</v>
      </c>
    </row>
    <row r="70" spans="1:38" ht="12.75">
      <c r="A70" s="86" t="s">
        <v>463</v>
      </c>
      <c r="B70" s="10"/>
      <c r="C70" s="10"/>
      <c r="D70" s="10"/>
      <c r="E70" s="10"/>
      <c r="F70" s="10"/>
      <c r="G70" s="10"/>
      <c r="H70" s="10"/>
      <c r="I70" s="389"/>
      <c r="M70" s="153"/>
      <c r="N70" s="148"/>
      <c r="O70" s="147"/>
      <c r="P70" s="147"/>
      <c r="Q70" s="147"/>
      <c r="R70" s="147"/>
      <c r="S70" s="147"/>
      <c r="T70" s="147"/>
      <c r="U70" s="148"/>
      <c r="V70" s="148"/>
      <c r="W70" s="148"/>
      <c r="X70" s="148"/>
      <c r="Y70" s="148"/>
      <c r="Z70" s="148"/>
      <c r="AB70" s="148"/>
      <c r="AC70" s="508"/>
      <c r="AD70" s="37"/>
      <c r="AF70" s="405" t="s">
        <v>760</v>
      </c>
      <c r="AG70" s="406">
        <v>95.8</v>
      </c>
      <c r="AH70" s="407">
        <v>32.4</v>
      </c>
      <c r="AI70" s="409">
        <v>1.14</v>
      </c>
      <c r="AJ70" s="407">
        <v>15.4</v>
      </c>
      <c r="AK70" s="409">
        <v>2.05</v>
      </c>
      <c r="AL70" s="410">
        <v>2.84</v>
      </c>
    </row>
    <row r="71" spans="1:41" ht="12.75">
      <c r="A71" s="19" t="str">
        <f>$M$18</f>
        <v>  "C-shaped" Welding:  (using AISC Table 8-8, pages 8-90 through 8-95)</v>
      </c>
      <c r="B71" s="10"/>
      <c r="C71" s="10"/>
      <c r="D71" s="10"/>
      <c r="E71" s="10"/>
      <c r="F71" s="10"/>
      <c r="G71" s="10"/>
      <c r="H71" s="10"/>
      <c r="I71" s="389"/>
      <c r="M71" s="153"/>
      <c r="N71" s="148"/>
      <c r="O71" s="147"/>
      <c r="P71" s="147"/>
      <c r="Q71" s="147"/>
      <c r="R71" s="147"/>
      <c r="S71" s="147"/>
      <c r="T71" s="147"/>
      <c r="U71" s="148"/>
      <c r="V71" s="148"/>
      <c r="W71" s="148"/>
      <c r="X71" s="148"/>
      <c r="Y71" s="148"/>
      <c r="Z71" s="148"/>
      <c r="AB71" s="148"/>
      <c r="AC71" s="186" t="s">
        <v>18</v>
      </c>
      <c r="AD71" s="509">
        <f>$N$24</f>
        <v>0.20833333333333334</v>
      </c>
      <c r="AF71" s="405" t="s">
        <v>761</v>
      </c>
      <c r="AG71" s="406">
        <v>85.9</v>
      </c>
      <c r="AH71" s="407">
        <v>32</v>
      </c>
      <c r="AI71" s="409">
        <v>1.02</v>
      </c>
      <c r="AJ71" s="407">
        <v>15.3</v>
      </c>
      <c r="AK71" s="409">
        <v>1.85</v>
      </c>
      <c r="AL71" s="410">
        <v>2.64</v>
      </c>
      <c r="AN71" s="50"/>
      <c r="AO71" s="100"/>
    </row>
    <row r="72" spans="1:41" ht="12.75">
      <c r="A72" s="443" t="s">
        <v>401</v>
      </c>
      <c r="B72" s="174">
        <f aca="true" t="shared" si="24" ref="B72:B80">N19</f>
        <v>12</v>
      </c>
      <c r="C72" s="113" t="s">
        <v>268</v>
      </c>
      <c r="D72" s="441" t="str">
        <f aca="true" t="shared" si="25" ref="D72:D80">P19</f>
        <v>L = vertical height of "C-shaped" weld</v>
      </c>
      <c r="E72" s="10"/>
      <c r="F72" s="10"/>
      <c r="G72" s="10"/>
      <c r="H72" s="10"/>
      <c r="I72" s="389"/>
      <c r="M72" s="510"/>
      <c r="N72" s="148"/>
      <c r="O72" s="147"/>
      <c r="P72" s="147"/>
      <c r="Q72" s="147"/>
      <c r="R72" s="147"/>
      <c r="S72" s="147"/>
      <c r="T72" s="147"/>
      <c r="U72" s="148"/>
      <c r="V72" s="148"/>
      <c r="W72" s="148"/>
      <c r="X72" s="148"/>
      <c r="Y72" s="148"/>
      <c r="Z72" s="148"/>
      <c r="AB72" s="148"/>
      <c r="AC72" s="511">
        <f>$N$23</f>
        <v>0.21875</v>
      </c>
      <c r="AD72" s="511">
        <f ca="1">IF($AC$72&lt;=$M$68,IF($AD$45&gt;2,"ERROR",IF($AC$72&gt;3,"ERROR",FORECAST($AC$72,OFFSET($AD$45,$AD$41,0):OFFSET($AD$45,$AD$41+1,0),OFFSET($M$45,$AD$41,0):OFFSET($M$45,$AD$41+1,0)))),$AD$68)</f>
        <v>2.6240625</v>
      </c>
      <c r="AF72" s="405" t="s">
        <v>762</v>
      </c>
      <c r="AG72" s="406">
        <v>76.9</v>
      </c>
      <c r="AH72" s="407">
        <v>31.6</v>
      </c>
      <c r="AI72" s="408">
        <v>0.93</v>
      </c>
      <c r="AJ72" s="407">
        <v>15.2</v>
      </c>
      <c r="AK72" s="409">
        <v>1.65</v>
      </c>
      <c r="AL72" s="410">
        <v>2.44</v>
      </c>
      <c r="AN72" s="50"/>
      <c r="AO72" s="100"/>
    </row>
    <row r="73" spans="1:46" ht="12.75">
      <c r="A73" s="443" t="s">
        <v>413</v>
      </c>
      <c r="B73" s="179">
        <f t="shared" si="24"/>
        <v>2.5</v>
      </c>
      <c r="C73" s="113" t="s">
        <v>268</v>
      </c>
      <c r="D73" s="441" t="str">
        <f t="shared" si="25"/>
        <v>kL = Lb-s  (horizontal width of "C-shaped" weld)</v>
      </c>
      <c r="E73" s="10"/>
      <c r="F73" s="10"/>
      <c r="G73" s="10"/>
      <c r="H73" s="10"/>
      <c r="I73" s="389"/>
      <c r="AF73" s="405" t="s">
        <v>763</v>
      </c>
      <c r="AG73" s="406">
        <v>69.2</v>
      </c>
      <c r="AH73" s="407">
        <v>31.3</v>
      </c>
      <c r="AI73" s="408">
        <v>0.83</v>
      </c>
      <c r="AJ73" s="407">
        <v>15.1</v>
      </c>
      <c r="AK73" s="409">
        <v>1.5</v>
      </c>
      <c r="AL73" s="410">
        <v>2.29</v>
      </c>
      <c r="AN73" s="50"/>
      <c r="AO73" s="100"/>
      <c r="AT73" s="100"/>
    </row>
    <row r="74" spans="1:46" ht="12.75">
      <c r="A74" s="443" t="s">
        <v>519</v>
      </c>
      <c r="B74" s="175">
        <f t="shared" si="24"/>
        <v>0.03125</v>
      </c>
      <c r="C74" s="10"/>
      <c r="D74" s="449" t="str">
        <f t="shared" si="25"/>
        <v>x = "x" coefficient interpolated from AISC Table 8-8, pages 8-90 through 8-95)</v>
      </c>
      <c r="E74" s="10"/>
      <c r="F74" s="10"/>
      <c r="G74" s="10"/>
      <c r="H74" s="10"/>
      <c r="I74" s="389"/>
      <c r="M74" s="141" t="s">
        <v>525</v>
      </c>
      <c r="N74" s="463"/>
      <c r="O74" s="107"/>
      <c r="P74" s="463"/>
      <c r="Q74" s="463"/>
      <c r="R74" s="143"/>
      <c r="S74" s="143"/>
      <c r="T74" s="143"/>
      <c r="U74" s="142"/>
      <c r="V74" s="143"/>
      <c r="W74" s="143"/>
      <c r="X74" s="143"/>
      <c r="Y74" s="143"/>
      <c r="Z74" s="144"/>
      <c r="AA74" s="143"/>
      <c r="AB74" s="143"/>
      <c r="AC74" s="144"/>
      <c r="AF74" s="405" t="s">
        <v>764</v>
      </c>
      <c r="AG74" s="406">
        <v>62.2</v>
      </c>
      <c r="AH74" s="407">
        <v>30.9</v>
      </c>
      <c r="AI74" s="408">
        <v>0.775</v>
      </c>
      <c r="AJ74" s="407">
        <v>15.1</v>
      </c>
      <c r="AK74" s="409">
        <v>1.32</v>
      </c>
      <c r="AL74" s="410">
        <v>2.1</v>
      </c>
      <c r="AN74" s="50"/>
      <c r="AO74" s="100"/>
      <c r="AT74" s="100"/>
    </row>
    <row r="75" spans="1:46" ht="12.75">
      <c r="A75" s="443" t="s">
        <v>469</v>
      </c>
      <c r="B75" s="179">
        <f t="shared" si="24"/>
        <v>2.625</v>
      </c>
      <c r="C75" s="113" t="s">
        <v>268</v>
      </c>
      <c r="D75" s="441" t="str">
        <f t="shared" si="25"/>
        <v>aL = Lb-(x*L)  (eccentricity of shear reaction, R, to C.G. of weld)</v>
      </c>
      <c r="E75" s="10"/>
      <c r="F75" s="10"/>
      <c r="G75" s="10"/>
      <c r="H75" s="10"/>
      <c r="I75" s="389"/>
      <c r="M75" s="464"/>
      <c r="N75" s="141" t="s">
        <v>323</v>
      </c>
      <c r="O75" s="107"/>
      <c r="P75" s="143"/>
      <c r="Q75" s="143"/>
      <c r="R75" s="143"/>
      <c r="S75" s="143"/>
      <c r="T75" s="465"/>
      <c r="U75" s="143"/>
      <c r="V75" s="143"/>
      <c r="W75" s="143"/>
      <c r="X75" s="143"/>
      <c r="Y75" s="156"/>
      <c r="Z75" s="144"/>
      <c r="AA75" s="143"/>
      <c r="AB75" s="156"/>
      <c r="AC75" s="144"/>
      <c r="AF75" s="405" t="s">
        <v>765</v>
      </c>
      <c r="AG75" s="406">
        <v>56.3</v>
      </c>
      <c r="AH75" s="407">
        <v>30.7</v>
      </c>
      <c r="AI75" s="408">
        <v>0.71</v>
      </c>
      <c r="AJ75" s="407">
        <v>15</v>
      </c>
      <c r="AK75" s="409">
        <v>1.19</v>
      </c>
      <c r="AL75" s="410">
        <v>1.97</v>
      </c>
      <c r="AN75" s="50"/>
      <c r="AO75" s="100"/>
      <c r="AT75" s="100"/>
    </row>
    <row r="76" spans="1:46" ht="12.75">
      <c r="A76" s="443" t="s">
        <v>1032</v>
      </c>
      <c r="B76" s="179">
        <f t="shared" si="24"/>
        <v>0.21875</v>
      </c>
      <c r="C76" s="10"/>
      <c r="D76" s="441" t="str">
        <f t="shared" si="25"/>
        <v>a = (aL)/L</v>
      </c>
      <c r="E76" s="10"/>
      <c r="F76" s="10"/>
      <c r="G76" s="10"/>
      <c r="H76" s="10"/>
      <c r="I76" s="389"/>
      <c r="M76" s="467" t="s">
        <v>18</v>
      </c>
      <c r="N76" s="468">
        <v>0</v>
      </c>
      <c r="O76" s="140">
        <v>0.1</v>
      </c>
      <c r="P76" s="140">
        <v>0.2</v>
      </c>
      <c r="Q76" s="469">
        <v>0.3</v>
      </c>
      <c r="R76" s="140">
        <v>0.4</v>
      </c>
      <c r="S76" s="469">
        <v>0.5</v>
      </c>
      <c r="T76" s="140">
        <v>0.6</v>
      </c>
      <c r="U76" s="469">
        <v>0.7</v>
      </c>
      <c r="V76" s="140">
        <v>0.8</v>
      </c>
      <c r="W76" s="469">
        <v>0.9</v>
      </c>
      <c r="X76" s="140">
        <v>1</v>
      </c>
      <c r="Y76" s="469">
        <v>1.2</v>
      </c>
      <c r="Z76" s="140">
        <v>1.4</v>
      </c>
      <c r="AA76" s="140">
        <v>1.6</v>
      </c>
      <c r="AB76" s="469">
        <v>1.8</v>
      </c>
      <c r="AC76" s="140">
        <v>2</v>
      </c>
      <c r="AF76" s="405" t="s">
        <v>766</v>
      </c>
      <c r="AG76" s="406">
        <v>51</v>
      </c>
      <c r="AH76" s="407">
        <v>30.4</v>
      </c>
      <c r="AI76" s="408">
        <v>0.655</v>
      </c>
      <c r="AJ76" s="407">
        <v>15</v>
      </c>
      <c r="AK76" s="409">
        <v>1.07</v>
      </c>
      <c r="AL76" s="410">
        <v>1.85</v>
      </c>
      <c r="AT76" s="100"/>
    </row>
    <row r="77" spans="1:41" ht="12.75">
      <c r="A77" s="443" t="s">
        <v>460</v>
      </c>
      <c r="B77" s="179">
        <f t="shared" si="24"/>
        <v>0.20833333333333334</v>
      </c>
      <c r="C77" s="10"/>
      <c r="D77" s="441" t="str">
        <f t="shared" si="25"/>
        <v>k = (kL)/L</v>
      </c>
      <c r="E77" s="10"/>
      <c r="F77" s="10"/>
      <c r="G77" s="10"/>
      <c r="H77" s="10"/>
      <c r="I77" s="389"/>
      <c r="M77" s="471">
        <v>0</v>
      </c>
      <c r="N77" s="472">
        <v>1.53</v>
      </c>
      <c r="O77" s="473">
        <v>2.09</v>
      </c>
      <c r="P77" s="474">
        <v>2.64</v>
      </c>
      <c r="Q77" s="318">
        <v>3.2</v>
      </c>
      <c r="R77" s="474">
        <v>3.76</v>
      </c>
      <c r="S77" s="474">
        <v>4.32</v>
      </c>
      <c r="T77" s="474">
        <v>4.87</v>
      </c>
      <c r="U77" s="474">
        <v>5.43</v>
      </c>
      <c r="V77" s="474">
        <v>5.99</v>
      </c>
      <c r="W77" s="474">
        <v>6.54</v>
      </c>
      <c r="X77" s="318">
        <v>7.1</v>
      </c>
      <c r="Y77" s="474">
        <v>8.21</v>
      </c>
      <c r="Z77" s="475">
        <v>9.33</v>
      </c>
      <c r="AA77" s="474">
        <v>10.4</v>
      </c>
      <c r="AB77" s="474">
        <v>11.6</v>
      </c>
      <c r="AC77" s="476">
        <v>12.7</v>
      </c>
      <c r="AF77" s="405" t="s">
        <v>767</v>
      </c>
      <c r="AG77" s="406">
        <v>43.5</v>
      </c>
      <c r="AH77" s="407">
        <v>30.7</v>
      </c>
      <c r="AI77" s="408">
        <v>0.65</v>
      </c>
      <c r="AJ77" s="407">
        <v>10.5</v>
      </c>
      <c r="AK77" s="409">
        <v>1.18</v>
      </c>
      <c r="AL77" s="410">
        <v>1.83</v>
      </c>
      <c r="AN77" s="50"/>
      <c r="AO77" s="100"/>
    </row>
    <row r="78" spans="1:41" ht="12.75">
      <c r="A78" s="443" t="s">
        <v>381</v>
      </c>
      <c r="B78" s="179">
        <f t="shared" si="24"/>
        <v>1</v>
      </c>
      <c r="C78" s="10"/>
      <c r="D78" s="441" t="str">
        <f t="shared" si="25"/>
        <v>C1 = 1.0 for E70XX electrode</v>
      </c>
      <c r="E78" s="10"/>
      <c r="F78" s="10"/>
      <c r="G78" s="10"/>
      <c r="H78" s="10"/>
      <c r="I78" s="389"/>
      <c r="M78" s="477">
        <v>0.1</v>
      </c>
      <c r="N78" s="478">
        <v>1.86</v>
      </c>
      <c r="O78" s="479">
        <v>2.28</v>
      </c>
      <c r="P78" s="480">
        <v>2.78</v>
      </c>
      <c r="Q78" s="320">
        <v>3.3</v>
      </c>
      <c r="R78" s="480">
        <v>3.84</v>
      </c>
      <c r="S78" s="480">
        <v>4.37</v>
      </c>
      <c r="T78" s="480">
        <v>4.92</v>
      </c>
      <c r="U78" s="480">
        <v>5.46</v>
      </c>
      <c r="V78" s="480">
        <v>6.01</v>
      </c>
      <c r="W78" s="480">
        <v>6.56</v>
      </c>
      <c r="X78" s="480">
        <v>7.11</v>
      </c>
      <c r="Y78" s="480">
        <v>8.21</v>
      </c>
      <c r="Z78" s="481">
        <v>9.32</v>
      </c>
      <c r="AA78" s="480">
        <v>10.4</v>
      </c>
      <c r="AB78" s="480">
        <v>11.5</v>
      </c>
      <c r="AC78" s="482">
        <v>12.6</v>
      </c>
      <c r="AF78" s="405" t="s">
        <v>768</v>
      </c>
      <c r="AG78" s="406">
        <v>38.9</v>
      </c>
      <c r="AH78" s="407">
        <v>30.3</v>
      </c>
      <c r="AI78" s="408">
        <v>0.615</v>
      </c>
      <c r="AJ78" s="407">
        <v>10.5</v>
      </c>
      <c r="AK78" s="409">
        <v>1</v>
      </c>
      <c r="AL78" s="410">
        <v>1.65</v>
      </c>
      <c r="AN78" s="50"/>
      <c r="AO78" s="100"/>
    </row>
    <row r="79" spans="1:41" ht="12.75">
      <c r="A79" s="443" t="s">
        <v>19</v>
      </c>
      <c r="B79" s="179">
        <f t="shared" si="24"/>
        <v>2.6240625</v>
      </c>
      <c r="C79" s="10"/>
      <c r="D79" s="449" t="str">
        <f t="shared" si="25"/>
        <v>C = "C" coefficient interpolated from AISC Table 8-8, pages 8-90 through 8-95)</v>
      </c>
      <c r="E79" s="10"/>
      <c r="F79" s="10"/>
      <c r="G79" s="10"/>
      <c r="H79" s="10"/>
      <c r="I79" s="389"/>
      <c r="M79" s="483">
        <v>0.15</v>
      </c>
      <c r="N79" s="478">
        <v>1.83</v>
      </c>
      <c r="O79" s="479">
        <v>2.25</v>
      </c>
      <c r="P79" s="480">
        <v>2.73</v>
      </c>
      <c r="Q79" s="480">
        <v>3.23</v>
      </c>
      <c r="R79" s="480">
        <v>3.75</v>
      </c>
      <c r="S79" s="480">
        <v>4.27</v>
      </c>
      <c r="T79" s="320">
        <v>4.8</v>
      </c>
      <c r="U79" s="480">
        <v>5.33</v>
      </c>
      <c r="V79" s="480">
        <v>5.87</v>
      </c>
      <c r="W79" s="320">
        <v>6.4</v>
      </c>
      <c r="X79" s="480">
        <v>6.94</v>
      </c>
      <c r="Y79" s="480">
        <v>8.02</v>
      </c>
      <c r="Z79" s="481">
        <v>9.12</v>
      </c>
      <c r="AA79" s="480">
        <v>10.2</v>
      </c>
      <c r="AB79" s="480">
        <v>11.3</v>
      </c>
      <c r="AC79" s="482">
        <v>12.4</v>
      </c>
      <c r="AF79" s="405" t="s">
        <v>769</v>
      </c>
      <c r="AG79" s="406">
        <v>36.5</v>
      </c>
      <c r="AH79" s="407">
        <v>30.2</v>
      </c>
      <c r="AI79" s="408">
        <v>0.585</v>
      </c>
      <c r="AJ79" s="407">
        <v>10.5</v>
      </c>
      <c r="AK79" s="408">
        <v>0.93</v>
      </c>
      <c r="AL79" s="410">
        <v>1.58</v>
      </c>
      <c r="AN79" s="50"/>
      <c r="AO79" s="100"/>
    </row>
    <row r="80" spans="1:41" ht="12.75">
      <c r="A80" s="77" t="s">
        <v>32</v>
      </c>
      <c r="B80" s="179">
        <f t="shared" si="24"/>
        <v>40.311288741492746</v>
      </c>
      <c r="C80" s="113" t="s">
        <v>237</v>
      </c>
      <c r="D80" s="441" t="str">
        <f t="shared" si="25"/>
        <v>Pr = SQRT(R^2+P^2)  (total resultant load taken by 2 "C" welds)</v>
      </c>
      <c r="E80" s="55"/>
      <c r="F80" s="10"/>
      <c r="G80" s="10"/>
      <c r="H80" s="10"/>
      <c r="I80" s="389"/>
      <c r="M80" s="483">
        <v>0.2</v>
      </c>
      <c r="N80" s="478">
        <v>1.76</v>
      </c>
      <c r="O80" s="479">
        <v>2.18</v>
      </c>
      <c r="P80" s="480">
        <v>2.63</v>
      </c>
      <c r="Q80" s="480">
        <v>3.11</v>
      </c>
      <c r="R80" s="320">
        <v>3.6</v>
      </c>
      <c r="S80" s="480">
        <v>4.1</v>
      </c>
      <c r="T80" s="480">
        <v>4.61</v>
      </c>
      <c r="U80" s="480">
        <v>5.13</v>
      </c>
      <c r="V80" s="480">
        <v>5.64</v>
      </c>
      <c r="W80" s="480">
        <v>6.16</v>
      </c>
      <c r="X80" s="480">
        <v>6.65</v>
      </c>
      <c r="Y80" s="480">
        <v>7.73</v>
      </c>
      <c r="Z80" s="481">
        <v>8.78</v>
      </c>
      <c r="AA80" s="480">
        <v>9.83</v>
      </c>
      <c r="AB80" s="480">
        <v>10.9</v>
      </c>
      <c r="AC80" s="484">
        <v>12</v>
      </c>
      <c r="AF80" s="405" t="s">
        <v>770</v>
      </c>
      <c r="AG80" s="406">
        <v>34.2</v>
      </c>
      <c r="AH80" s="407">
        <v>30</v>
      </c>
      <c r="AI80" s="408">
        <v>0.565</v>
      </c>
      <c r="AJ80" s="407">
        <v>10.5</v>
      </c>
      <c r="AK80" s="408">
        <v>0.85</v>
      </c>
      <c r="AL80" s="410">
        <v>1.5</v>
      </c>
      <c r="AN80" s="50"/>
      <c r="AO80" s="100"/>
    </row>
    <row r="81" spans="1:41" ht="12.75">
      <c r="A81" s="81" t="s">
        <v>50</v>
      </c>
      <c r="B81" s="179">
        <f>$N$28</f>
        <v>7.125016348901795</v>
      </c>
      <c r="C81" s="113" t="s">
        <v>269</v>
      </c>
      <c r="D81" s="96" t="s">
        <v>364</v>
      </c>
      <c r="E81" s="55"/>
      <c r="F81" s="10"/>
      <c r="G81" s="10"/>
      <c r="H81" s="10"/>
      <c r="I81" s="389"/>
      <c r="M81" s="483">
        <v>0.25</v>
      </c>
      <c r="N81" s="478">
        <v>1.66</v>
      </c>
      <c r="O81" s="479">
        <v>2.07</v>
      </c>
      <c r="P81" s="480">
        <v>2.51</v>
      </c>
      <c r="Q81" s="480">
        <v>2.96</v>
      </c>
      <c r="R81" s="480">
        <v>3.42</v>
      </c>
      <c r="S81" s="480">
        <v>3.9</v>
      </c>
      <c r="T81" s="480">
        <v>4.38</v>
      </c>
      <c r="U81" s="480">
        <v>4.87</v>
      </c>
      <c r="V81" s="480">
        <v>5.37</v>
      </c>
      <c r="W81" s="480">
        <v>5.86</v>
      </c>
      <c r="X81" s="480">
        <v>6.36</v>
      </c>
      <c r="Y81" s="480">
        <v>7.37</v>
      </c>
      <c r="Z81" s="481">
        <v>8.39</v>
      </c>
      <c r="AA81" s="480">
        <v>9.42</v>
      </c>
      <c r="AB81" s="480">
        <v>10.5</v>
      </c>
      <c r="AC81" s="482">
        <v>11.5</v>
      </c>
      <c r="AF81" s="405" t="s">
        <v>771</v>
      </c>
      <c r="AG81" s="406">
        <v>31.7</v>
      </c>
      <c r="AH81" s="407">
        <v>29.8</v>
      </c>
      <c r="AI81" s="408">
        <v>0.545</v>
      </c>
      <c r="AJ81" s="407">
        <v>10.5</v>
      </c>
      <c r="AK81" s="408">
        <v>0.76</v>
      </c>
      <c r="AL81" s="410">
        <v>1.41</v>
      </c>
      <c r="AN81" s="50"/>
      <c r="AO81" s="100"/>
    </row>
    <row r="82" spans="1:41" ht="12.75">
      <c r="A82" s="525" t="s">
        <v>517</v>
      </c>
      <c r="B82" s="179">
        <f>$N$29</f>
        <v>0</v>
      </c>
      <c r="C82" s="10"/>
      <c r="D82" s="526" t="s">
        <v>542</v>
      </c>
      <c r="E82" s="10"/>
      <c r="F82" s="10"/>
      <c r="G82" s="10"/>
      <c r="H82" s="10"/>
      <c r="I82" s="389"/>
      <c r="M82" s="483">
        <v>0.3</v>
      </c>
      <c r="N82" s="478">
        <v>1.55</v>
      </c>
      <c r="O82" s="479">
        <v>1.95</v>
      </c>
      <c r="P82" s="480">
        <v>2.36</v>
      </c>
      <c r="Q82" s="480">
        <v>2.79</v>
      </c>
      <c r="R82" s="480">
        <v>3.23</v>
      </c>
      <c r="S82" s="480">
        <v>3.68</v>
      </c>
      <c r="T82" s="480">
        <v>4.14</v>
      </c>
      <c r="U82" s="320">
        <v>4.6</v>
      </c>
      <c r="V82" s="480">
        <v>5.07</v>
      </c>
      <c r="W82" s="480">
        <v>5.55</v>
      </c>
      <c r="X82" s="480">
        <v>6.03</v>
      </c>
      <c r="Y82" s="480">
        <v>7.01</v>
      </c>
      <c r="Z82" s="485">
        <v>8</v>
      </c>
      <c r="AA82" s="320">
        <v>9</v>
      </c>
      <c r="AB82" s="486">
        <v>10</v>
      </c>
      <c r="AC82" s="484">
        <v>11</v>
      </c>
      <c r="AF82" s="405" t="s">
        <v>772</v>
      </c>
      <c r="AG82" s="406">
        <v>29.1</v>
      </c>
      <c r="AH82" s="407">
        <v>29.7</v>
      </c>
      <c r="AI82" s="408">
        <v>0.52</v>
      </c>
      <c r="AJ82" s="407">
        <v>10.5</v>
      </c>
      <c r="AK82" s="408">
        <v>0.67</v>
      </c>
      <c r="AL82" s="410">
        <v>1.32</v>
      </c>
      <c r="AN82" s="50"/>
      <c r="AO82" s="100"/>
    </row>
    <row r="83" spans="1:41" ht="12.75">
      <c r="A83" s="81" t="s">
        <v>362</v>
      </c>
      <c r="B83" s="176">
        <f>$N$30</f>
        <v>0.08001129121807937</v>
      </c>
      <c r="C83" s="113" t="s">
        <v>393</v>
      </c>
      <c r="D83" s="82" t="s">
        <v>362</v>
      </c>
      <c r="E83" s="52" t="s">
        <v>491</v>
      </c>
      <c r="F83" s="10"/>
      <c r="G83" s="10"/>
      <c r="H83" s="10"/>
      <c r="I83" s="389"/>
      <c r="M83" s="483">
        <v>0.4</v>
      </c>
      <c r="N83" s="478">
        <v>1.33</v>
      </c>
      <c r="O83" s="479">
        <v>1.69</v>
      </c>
      <c r="P83" s="480">
        <v>2.07</v>
      </c>
      <c r="Q83" s="480">
        <v>2.45</v>
      </c>
      <c r="R83" s="480">
        <v>2.84</v>
      </c>
      <c r="S83" s="480">
        <v>3.24</v>
      </c>
      <c r="T83" s="480">
        <v>3.65</v>
      </c>
      <c r="U83" s="480">
        <v>4.07</v>
      </c>
      <c r="V83" s="320">
        <v>4.5</v>
      </c>
      <c r="W83" s="480">
        <v>4.94</v>
      </c>
      <c r="X83" s="480">
        <v>5.39</v>
      </c>
      <c r="Y83" s="320">
        <v>6.3</v>
      </c>
      <c r="Z83" s="481">
        <v>7.24</v>
      </c>
      <c r="AA83" s="480">
        <v>8.19</v>
      </c>
      <c r="AB83" s="480">
        <v>9.16</v>
      </c>
      <c r="AC83" s="482">
        <v>10.1</v>
      </c>
      <c r="AF83" s="405" t="s">
        <v>773</v>
      </c>
      <c r="AG83" s="406">
        <v>26.4</v>
      </c>
      <c r="AH83" s="407">
        <v>29.5</v>
      </c>
      <c r="AI83" s="408">
        <v>0.47</v>
      </c>
      <c r="AJ83" s="407">
        <v>10.4</v>
      </c>
      <c r="AK83" s="408">
        <v>0.61</v>
      </c>
      <c r="AL83" s="410">
        <v>1.26</v>
      </c>
      <c r="AN83" s="50"/>
      <c r="AO83" s="100"/>
    </row>
    <row r="84" spans="1:41" ht="12.75">
      <c r="A84" s="81" t="s">
        <v>21</v>
      </c>
      <c r="B84" s="437">
        <f>$N$31</f>
        <v>0.1875</v>
      </c>
      <c r="C84" s="113" t="s">
        <v>268</v>
      </c>
      <c r="D84" s="82" t="s">
        <v>0</v>
      </c>
      <c r="E84" s="10"/>
      <c r="F84" s="10"/>
      <c r="G84" s="10"/>
      <c r="H84" s="10"/>
      <c r="I84" s="389"/>
      <c r="M84" s="483">
        <v>0.5</v>
      </c>
      <c r="N84" s="478">
        <v>1.15</v>
      </c>
      <c r="O84" s="479">
        <v>1.46</v>
      </c>
      <c r="P84" s="480">
        <v>1.79</v>
      </c>
      <c r="Q84" s="480">
        <v>2.14</v>
      </c>
      <c r="R84" s="480">
        <v>2.49</v>
      </c>
      <c r="S84" s="480">
        <v>2.85</v>
      </c>
      <c r="T84" s="480">
        <v>3.22</v>
      </c>
      <c r="U84" s="320">
        <v>3.6</v>
      </c>
      <c r="V84" s="320">
        <v>4</v>
      </c>
      <c r="W84" s="320">
        <v>4.4</v>
      </c>
      <c r="X84" s="480">
        <v>4.81</v>
      </c>
      <c r="Y84" s="480">
        <v>5.67</v>
      </c>
      <c r="Z84" s="481">
        <v>6.56</v>
      </c>
      <c r="AA84" s="480">
        <v>7.47</v>
      </c>
      <c r="AB84" s="320">
        <v>8.4</v>
      </c>
      <c r="AC84" s="482">
        <v>9.35</v>
      </c>
      <c r="AF84" s="405" t="s">
        <v>774</v>
      </c>
      <c r="AG84" s="411">
        <v>159</v>
      </c>
      <c r="AH84" s="407">
        <v>32.5</v>
      </c>
      <c r="AI84" s="409">
        <v>1.97</v>
      </c>
      <c r="AJ84" s="407">
        <v>15.3</v>
      </c>
      <c r="AK84" s="409">
        <v>3.54</v>
      </c>
      <c r="AL84" s="410">
        <v>4.33</v>
      </c>
      <c r="AN84" s="50"/>
      <c r="AO84" s="100"/>
    </row>
    <row r="85" spans="1:38" ht="12.75">
      <c r="A85" s="77" t="s">
        <v>427</v>
      </c>
      <c r="B85" s="179">
        <f>$N$32</f>
        <v>125.955</v>
      </c>
      <c r="C85" s="113" t="s">
        <v>237</v>
      </c>
      <c r="D85" s="63" t="s">
        <v>492</v>
      </c>
      <c r="E85" s="55"/>
      <c r="F85" s="10"/>
      <c r="G85" s="10"/>
      <c r="H85" s="10"/>
      <c r="I85" s="389"/>
      <c r="M85" s="483">
        <v>0.6</v>
      </c>
      <c r="N85" s="478">
        <v>0.997</v>
      </c>
      <c r="O85" s="479">
        <v>1.27</v>
      </c>
      <c r="P85" s="480">
        <v>1.57</v>
      </c>
      <c r="Q85" s="480">
        <v>1.88</v>
      </c>
      <c r="R85" s="480">
        <v>2.19</v>
      </c>
      <c r="S85" s="480">
        <v>2.52</v>
      </c>
      <c r="T85" s="480">
        <v>2.85</v>
      </c>
      <c r="U85" s="320">
        <v>3.2</v>
      </c>
      <c r="V85" s="480">
        <v>3.56</v>
      </c>
      <c r="W85" s="480">
        <v>3.94</v>
      </c>
      <c r="X85" s="480">
        <v>4.32</v>
      </c>
      <c r="Y85" s="480">
        <v>5.13</v>
      </c>
      <c r="Z85" s="481">
        <v>5.97</v>
      </c>
      <c r="AA85" s="480">
        <v>6.84</v>
      </c>
      <c r="AB85" s="480">
        <v>7.73</v>
      </c>
      <c r="AC85" s="482">
        <v>8.65</v>
      </c>
      <c r="AF85" s="405" t="s">
        <v>775</v>
      </c>
      <c r="AG85" s="411">
        <v>108</v>
      </c>
      <c r="AH85" s="407">
        <v>30.4</v>
      </c>
      <c r="AI85" s="409">
        <v>1.38</v>
      </c>
      <c r="AJ85" s="407">
        <v>14.7</v>
      </c>
      <c r="AK85" s="409">
        <v>2.48</v>
      </c>
      <c r="AL85" s="410">
        <v>3.27</v>
      </c>
    </row>
    <row r="86" spans="1:38" ht="12.75">
      <c r="A86" s="443" t="s">
        <v>625</v>
      </c>
      <c r="B86" s="435">
        <f>$N$33</f>
        <v>0.3809230769230769</v>
      </c>
      <c r="C86" s="113" t="s">
        <v>268</v>
      </c>
      <c r="D86" s="459" t="s">
        <v>541</v>
      </c>
      <c r="E86" s="10"/>
      <c r="F86" s="10"/>
      <c r="G86" s="59"/>
      <c r="H86" s="10"/>
      <c r="I86" s="389"/>
      <c r="M86" s="483">
        <v>0.7</v>
      </c>
      <c r="N86" s="478">
        <v>0.879</v>
      </c>
      <c r="O86" s="479">
        <v>1.12</v>
      </c>
      <c r="P86" s="480">
        <v>1.38</v>
      </c>
      <c r="Q86" s="480">
        <v>1.66</v>
      </c>
      <c r="R86" s="480">
        <v>1.95</v>
      </c>
      <c r="S86" s="480">
        <v>2.24</v>
      </c>
      <c r="T86" s="480">
        <v>2.55</v>
      </c>
      <c r="U86" s="480">
        <v>2.87</v>
      </c>
      <c r="V86" s="320">
        <v>3.2</v>
      </c>
      <c r="W86" s="480">
        <v>3.55</v>
      </c>
      <c r="X86" s="480">
        <v>3.91</v>
      </c>
      <c r="Y86" s="480">
        <v>4.66</v>
      </c>
      <c r="Z86" s="481">
        <v>5.46</v>
      </c>
      <c r="AA86" s="480">
        <v>6.29</v>
      </c>
      <c r="AB86" s="480">
        <v>7.15</v>
      </c>
      <c r="AC86" s="482">
        <v>8.04</v>
      </c>
      <c r="AF86" s="405" t="s">
        <v>776</v>
      </c>
      <c r="AG86" s="406">
        <v>98.9</v>
      </c>
      <c r="AH86" s="407">
        <v>30</v>
      </c>
      <c r="AI86" s="409">
        <v>1.26</v>
      </c>
      <c r="AJ86" s="407">
        <v>14.6</v>
      </c>
      <c r="AK86" s="409">
        <v>2.28</v>
      </c>
      <c r="AL86" s="410">
        <v>3.07</v>
      </c>
    </row>
    <row r="87" spans="1:38" ht="12.75">
      <c r="A87" s="443" t="s">
        <v>648</v>
      </c>
      <c r="B87" s="179" t="str">
        <f>$N$34</f>
        <v>Yes</v>
      </c>
      <c r="C87" s="10"/>
      <c r="D87" s="441" t="str">
        <f>P34</f>
        <v>Is tmin &gt; twb?  If so, Rwr' = Rwr* twb / tmin.  If not, Rwr' = Rwr</v>
      </c>
      <c r="E87" s="10"/>
      <c r="F87" s="10"/>
      <c r="G87" s="10"/>
      <c r="H87" s="10"/>
      <c r="I87" s="389"/>
      <c r="M87" s="483">
        <v>0.8</v>
      </c>
      <c r="N87" s="478">
        <v>0.781</v>
      </c>
      <c r="O87" s="479">
        <v>0.995</v>
      </c>
      <c r="P87" s="480">
        <v>1.23</v>
      </c>
      <c r="Q87" s="480">
        <v>1.48</v>
      </c>
      <c r="R87" s="480">
        <v>1.75</v>
      </c>
      <c r="S87" s="480">
        <v>2.02</v>
      </c>
      <c r="T87" s="320">
        <v>2.3</v>
      </c>
      <c r="U87" s="480">
        <v>2.59</v>
      </c>
      <c r="V87" s="320">
        <v>2.9</v>
      </c>
      <c r="W87" s="480">
        <v>3.22</v>
      </c>
      <c r="X87" s="480">
        <v>3.56</v>
      </c>
      <c r="Y87" s="480">
        <v>4.27</v>
      </c>
      <c r="Z87" s="481">
        <v>5.02</v>
      </c>
      <c r="AA87" s="480">
        <v>5.81</v>
      </c>
      <c r="AB87" s="480">
        <v>6.64</v>
      </c>
      <c r="AC87" s="321">
        <v>7.5</v>
      </c>
      <c r="AF87" s="405" t="s">
        <v>777</v>
      </c>
      <c r="AG87" s="406">
        <v>90.4</v>
      </c>
      <c r="AH87" s="407">
        <v>29.6</v>
      </c>
      <c r="AI87" s="409">
        <v>1.16</v>
      </c>
      <c r="AJ87" s="407">
        <v>14.4</v>
      </c>
      <c r="AK87" s="409">
        <v>2.09</v>
      </c>
      <c r="AL87" s="410">
        <v>2.88</v>
      </c>
    </row>
    <row r="88" spans="1:38" ht="12.75">
      <c r="A88" s="443" t="s">
        <v>624</v>
      </c>
      <c r="B88" s="179">
        <f>$N$35</f>
        <v>117.38334511308562</v>
      </c>
      <c r="C88" s="113" t="s">
        <v>237</v>
      </c>
      <c r="D88" s="441" t="str">
        <f>P35</f>
        <v>Rwr' = Rwr*twb/tmin</v>
      </c>
      <c r="E88" s="10"/>
      <c r="F88" s="10"/>
      <c r="G88" s="10"/>
      <c r="H88" s="10"/>
      <c r="I88" s="389"/>
      <c r="M88" s="483">
        <v>0.9</v>
      </c>
      <c r="N88" s="478">
        <v>0.709</v>
      </c>
      <c r="O88" s="479">
        <v>0.895</v>
      </c>
      <c r="P88" s="480">
        <v>1.11</v>
      </c>
      <c r="Q88" s="480">
        <v>1.33</v>
      </c>
      <c r="R88" s="480">
        <v>1.58</v>
      </c>
      <c r="S88" s="480">
        <v>1.83</v>
      </c>
      <c r="T88" s="480">
        <v>2.09</v>
      </c>
      <c r="U88" s="480">
        <v>2.36</v>
      </c>
      <c r="V88" s="480">
        <v>2.64</v>
      </c>
      <c r="W88" s="480">
        <v>2.94</v>
      </c>
      <c r="X88" s="480">
        <v>3.26</v>
      </c>
      <c r="Y88" s="480">
        <v>3.93</v>
      </c>
      <c r="Z88" s="481">
        <v>4.64</v>
      </c>
      <c r="AA88" s="320">
        <v>5.4</v>
      </c>
      <c r="AB88" s="480">
        <v>6.18</v>
      </c>
      <c r="AC88" s="321">
        <v>7</v>
      </c>
      <c r="AF88" s="405" t="s">
        <v>778</v>
      </c>
      <c r="AG88" s="406">
        <v>82.9</v>
      </c>
      <c r="AH88" s="407">
        <v>29.3</v>
      </c>
      <c r="AI88" s="409">
        <v>1.06</v>
      </c>
      <c r="AJ88" s="407">
        <v>14.4</v>
      </c>
      <c r="AK88" s="409">
        <v>1.93</v>
      </c>
      <c r="AL88" s="410">
        <v>2.72</v>
      </c>
    </row>
    <row r="89" spans="1:41" ht="12.75">
      <c r="A89" s="443" t="s">
        <v>428</v>
      </c>
      <c r="B89" s="179">
        <f>$N$36</f>
        <v>116.47689645036027</v>
      </c>
      <c r="C89" s="113" t="s">
        <v>237</v>
      </c>
      <c r="D89" s="455" t="s">
        <v>637</v>
      </c>
      <c r="E89" s="10"/>
      <c r="F89" s="10"/>
      <c r="G89" s="10"/>
      <c r="H89" s="10"/>
      <c r="I89" s="389" t="str">
        <f>IF($D$16&gt;0,IF($B$89&gt;=$D$16,"Rwv &gt;= R,  O.K.  ","Rwv &lt; R, N.G.  "),"")</f>
        <v>Rwv &gt;= R,  O.K.  </v>
      </c>
      <c r="M89" s="487">
        <v>1</v>
      </c>
      <c r="N89" s="478">
        <v>0.637</v>
      </c>
      <c r="O89" s="479">
        <v>0.712</v>
      </c>
      <c r="P89" s="320">
        <v>1</v>
      </c>
      <c r="Q89" s="480">
        <v>1.21</v>
      </c>
      <c r="R89" s="480">
        <v>1.44</v>
      </c>
      <c r="S89" s="480">
        <v>1.67</v>
      </c>
      <c r="T89" s="480">
        <v>1.91</v>
      </c>
      <c r="U89" s="480">
        <v>2.16</v>
      </c>
      <c r="V89" s="480">
        <v>2.43</v>
      </c>
      <c r="W89" s="480">
        <v>2.71</v>
      </c>
      <c r="X89" s="480">
        <v>3.01</v>
      </c>
      <c r="Y89" s="480">
        <v>3.63</v>
      </c>
      <c r="Z89" s="481">
        <v>4.31</v>
      </c>
      <c r="AA89" s="480">
        <v>5.02</v>
      </c>
      <c r="AB89" s="480">
        <v>5.77</v>
      </c>
      <c r="AC89" s="482">
        <v>6.56</v>
      </c>
      <c r="AF89" s="405" t="s">
        <v>779</v>
      </c>
      <c r="AG89" s="406">
        <v>76</v>
      </c>
      <c r="AH89" s="407">
        <v>29</v>
      </c>
      <c r="AI89" s="408">
        <v>0.98</v>
      </c>
      <c r="AJ89" s="407">
        <v>14.3</v>
      </c>
      <c r="AK89" s="409">
        <v>1.77</v>
      </c>
      <c r="AL89" s="410">
        <v>2.56</v>
      </c>
      <c r="AN89" s="50" t="s">
        <v>388</v>
      </c>
      <c r="AO89" s="100">
        <f>IF($D$16&gt;0,$D$16/$B$89,"")</f>
        <v>0.34341574354230037</v>
      </c>
    </row>
    <row r="90" spans="1:41" ht="12.75">
      <c r="A90" s="443" t="s">
        <v>429</v>
      </c>
      <c r="B90" s="183">
        <f>$N$37</f>
        <v>14.55961205629503</v>
      </c>
      <c r="C90" s="113" t="s">
        <v>237</v>
      </c>
      <c r="D90" s="455" t="s">
        <v>638</v>
      </c>
      <c r="E90" s="10"/>
      <c r="F90" s="10"/>
      <c r="G90" s="10"/>
      <c r="H90" s="10"/>
      <c r="I90" s="389" t="str">
        <f>IF($D$17&gt;0,IF($B$90&gt;=$D$17,"Rwa &gt;= P,  O.K.  ","Rwa &lt; P, N.G.  "),"")</f>
        <v>Rwa &gt;= P,  O.K.  </v>
      </c>
      <c r="M90" s="487">
        <v>1.2</v>
      </c>
      <c r="N90" s="478">
        <v>0.537</v>
      </c>
      <c r="O90" s="479">
        <v>0.683</v>
      </c>
      <c r="P90" s="480">
        <v>0.844</v>
      </c>
      <c r="Q90" s="480">
        <v>1.02</v>
      </c>
      <c r="R90" s="480">
        <v>1.21</v>
      </c>
      <c r="S90" s="480">
        <v>1.42</v>
      </c>
      <c r="T90" s="480">
        <v>1.63</v>
      </c>
      <c r="U90" s="480">
        <v>1.85</v>
      </c>
      <c r="V90" s="480">
        <v>2.08</v>
      </c>
      <c r="W90" s="480">
        <v>2.33</v>
      </c>
      <c r="X90" s="480">
        <v>2.59</v>
      </c>
      <c r="Y90" s="480">
        <v>3.15</v>
      </c>
      <c r="Z90" s="481">
        <v>3.75</v>
      </c>
      <c r="AA90" s="480">
        <v>4.39</v>
      </c>
      <c r="AB90" s="480">
        <v>5.07</v>
      </c>
      <c r="AC90" s="482">
        <v>5.78</v>
      </c>
      <c r="AF90" s="405" t="s">
        <v>780</v>
      </c>
      <c r="AG90" s="406">
        <v>69.4</v>
      </c>
      <c r="AH90" s="407">
        <v>28.7</v>
      </c>
      <c r="AI90" s="408">
        <v>0.91</v>
      </c>
      <c r="AJ90" s="407">
        <v>14.2</v>
      </c>
      <c r="AK90" s="409">
        <v>1.61</v>
      </c>
      <c r="AL90" s="410">
        <v>2.4</v>
      </c>
      <c r="AN90" s="50" t="str">
        <f>IF(AO90="","N.A.","SR =")</f>
        <v>SR =</v>
      </c>
      <c r="AO90" s="100">
        <f>IF($D$17&gt;0,$D$17/$B$90,"")</f>
        <v>0.3434157435423005</v>
      </c>
    </row>
    <row r="91" spans="1:41" ht="12.75">
      <c r="A91" s="19"/>
      <c r="B91" s="10"/>
      <c r="C91" s="10"/>
      <c r="D91" s="10"/>
      <c r="E91" s="10"/>
      <c r="F91" s="10"/>
      <c r="G91" s="10"/>
      <c r="H91" s="10"/>
      <c r="I91" s="389" t="str">
        <f>IF($D$24&gt;=$B$83,"Weld(used) &gt;= weld(req'd), O.K.  ","Weld(used) &lt; weld(req'd), N.G.  ")</f>
        <v>Weld(used) &gt;= weld(req'd), O.K.  </v>
      </c>
      <c r="M91" s="487">
        <v>1.4</v>
      </c>
      <c r="N91" s="478">
        <v>0.464</v>
      </c>
      <c r="O91" s="479">
        <v>0.588</v>
      </c>
      <c r="P91" s="480">
        <v>0.728</v>
      </c>
      <c r="Q91" s="480">
        <v>0.881</v>
      </c>
      <c r="R91" s="480">
        <v>1.05</v>
      </c>
      <c r="S91" s="480">
        <v>1.23</v>
      </c>
      <c r="T91" s="480">
        <v>1.41</v>
      </c>
      <c r="U91" s="480">
        <v>1.61</v>
      </c>
      <c r="V91" s="480">
        <v>1.82</v>
      </c>
      <c r="W91" s="480">
        <v>2.04</v>
      </c>
      <c r="X91" s="480">
        <v>2.27</v>
      </c>
      <c r="Y91" s="480">
        <v>2.77</v>
      </c>
      <c r="Z91" s="481">
        <v>3.31</v>
      </c>
      <c r="AA91" s="480">
        <v>3.89</v>
      </c>
      <c r="AB91" s="320">
        <v>4.5</v>
      </c>
      <c r="AC91" s="482">
        <v>5.15</v>
      </c>
      <c r="AF91" s="405" t="s">
        <v>781</v>
      </c>
      <c r="AG91" s="406">
        <v>64</v>
      </c>
      <c r="AH91" s="407">
        <v>28.4</v>
      </c>
      <c r="AI91" s="408">
        <v>0.83</v>
      </c>
      <c r="AJ91" s="407">
        <v>14.1</v>
      </c>
      <c r="AK91" s="409">
        <v>1.5</v>
      </c>
      <c r="AL91" s="410">
        <v>2.29</v>
      </c>
      <c r="AN91" s="50" t="s">
        <v>388</v>
      </c>
      <c r="AO91" s="100">
        <f>$B$83/$D$24</f>
        <v>0.3200451648723175</v>
      </c>
    </row>
    <row r="92" spans="1:41" ht="12.75">
      <c r="A92" s="67" t="str">
        <f>$M$242</f>
        <v>  Shear Yielding Capacity of (2) Clip Angles at Beam Web:</v>
      </c>
      <c r="B92" s="45"/>
      <c r="C92" s="7"/>
      <c r="D92" s="45"/>
      <c r="E92" s="10"/>
      <c r="F92" s="10"/>
      <c r="G92" s="10"/>
      <c r="H92" s="10"/>
      <c r="I92" s="389"/>
      <c r="M92" s="487">
        <v>1.6</v>
      </c>
      <c r="N92" s="478">
        <v>0.407</v>
      </c>
      <c r="O92" s="479">
        <v>0.516</v>
      </c>
      <c r="P92" s="480">
        <v>0.639</v>
      </c>
      <c r="Q92" s="480">
        <v>0.775</v>
      </c>
      <c r="R92" s="480">
        <v>0.923</v>
      </c>
      <c r="S92" s="480">
        <v>1.08</v>
      </c>
      <c r="T92" s="480">
        <v>1.25</v>
      </c>
      <c r="U92" s="480">
        <v>1.43</v>
      </c>
      <c r="V92" s="480">
        <v>1.61</v>
      </c>
      <c r="W92" s="480">
        <v>1.81</v>
      </c>
      <c r="X92" s="480">
        <v>2.02</v>
      </c>
      <c r="Y92" s="480">
        <v>2.46</v>
      </c>
      <c r="Z92" s="481">
        <v>2.95</v>
      </c>
      <c r="AA92" s="480">
        <v>3.47</v>
      </c>
      <c r="AB92" s="480">
        <v>4.04</v>
      </c>
      <c r="AC92" s="482">
        <v>4.63</v>
      </c>
      <c r="AF92" s="405" t="s">
        <v>782</v>
      </c>
      <c r="AG92" s="406">
        <v>57.2</v>
      </c>
      <c r="AH92" s="407">
        <v>28.1</v>
      </c>
      <c r="AI92" s="408">
        <v>0.75</v>
      </c>
      <c r="AJ92" s="407">
        <v>14</v>
      </c>
      <c r="AK92" s="409">
        <v>1.34</v>
      </c>
      <c r="AL92" s="410">
        <v>2.13</v>
      </c>
      <c r="AN92" s="50"/>
      <c r="AO92" s="100"/>
    </row>
    <row r="93" spans="1:38" ht="12.75">
      <c r="A93" s="69" t="s">
        <v>75</v>
      </c>
      <c r="B93" s="184">
        <f>$N$243</f>
        <v>9</v>
      </c>
      <c r="C93" s="113" t="s">
        <v>243</v>
      </c>
      <c r="D93" s="52" t="str">
        <f>P243</f>
        <v>Avg = 2*L*ta</v>
      </c>
      <c r="E93" s="10"/>
      <c r="F93" s="10"/>
      <c r="G93" s="10"/>
      <c r="H93" s="59"/>
      <c r="I93" s="389"/>
      <c r="M93" s="487">
        <v>1.8</v>
      </c>
      <c r="N93" s="478">
        <v>0.363</v>
      </c>
      <c r="O93" s="324">
        <v>0.46</v>
      </c>
      <c r="P93" s="480">
        <v>0.569</v>
      </c>
      <c r="Q93" s="480">
        <v>0.691</v>
      </c>
      <c r="R93" s="480">
        <v>0.824</v>
      </c>
      <c r="S93" s="480">
        <v>0.969</v>
      </c>
      <c r="T93" s="480">
        <v>1.12</v>
      </c>
      <c r="U93" s="480">
        <v>1.28</v>
      </c>
      <c r="V93" s="480">
        <v>1.45</v>
      </c>
      <c r="W93" s="480">
        <v>1.62</v>
      </c>
      <c r="X93" s="480">
        <v>1.81</v>
      </c>
      <c r="Y93" s="480">
        <v>2.22</v>
      </c>
      <c r="Z93" s="481">
        <v>2.66</v>
      </c>
      <c r="AA93" s="480">
        <v>3.14</v>
      </c>
      <c r="AB93" s="480">
        <v>3.65</v>
      </c>
      <c r="AC93" s="321">
        <v>4.2</v>
      </c>
      <c r="AF93" s="405" t="s">
        <v>783</v>
      </c>
      <c r="AG93" s="406">
        <v>52.5</v>
      </c>
      <c r="AH93" s="407">
        <v>27.8</v>
      </c>
      <c r="AI93" s="408">
        <v>0.725</v>
      </c>
      <c r="AJ93" s="407">
        <v>14.1</v>
      </c>
      <c r="AK93" s="409">
        <v>1.19</v>
      </c>
      <c r="AL93" s="410">
        <v>1.98</v>
      </c>
    </row>
    <row r="94" spans="1:41" ht="12.75">
      <c r="A94" s="69" t="s">
        <v>252</v>
      </c>
      <c r="B94" s="183">
        <f>$N$244</f>
        <v>129.6</v>
      </c>
      <c r="C94" s="113" t="s">
        <v>237</v>
      </c>
      <c r="D94" s="52" t="str">
        <f>P244</f>
        <v>Rvg = (1/1.5)*0.60*Fya*Avg</v>
      </c>
      <c r="E94" s="10"/>
      <c r="F94" s="10"/>
      <c r="G94" s="10"/>
      <c r="H94" s="10"/>
      <c r="I94" s="389" t="str">
        <f>IF($B$94&gt;=$D$16,"Rvg &gt;= R,  O.K.  ","Rvg &lt; R, N.G.  ")</f>
        <v>Rvg &gt;= R,  O.K.  </v>
      </c>
      <c r="M94" s="487">
        <v>2</v>
      </c>
      <c r="N94" s="478">
        <v>0.327</v>
      </c>
      <c r="O94" s="488">
        <v>0.415</v>
      </c>
      <c r="P94" s="489">
        <v>0.513</v>
      </c>
      <c r="Q94" s="489">
        <v>0.623</v>
      </c>
      <c r="R94" s="489">
        <v>0.744</v>
      </c>
      <c r="S94" s="489">
        <v>0.876</v>
      </c>
      <c r="T94" s="489">
        <v>1.01</v>
      </c>
      <c r="U94" s="489">
        <v>1.16</v>
      </c>
      <c r="V94" s="489">
        <v>1.31</v>
      </c>
      <c r="W94" s="489">
        <v>1.47</v>
      </c>
      <c r="X94" s="489">
        <v>1.64</v>
      </c>
      <c r="Y94" s="489">
        <v>2.01</v>
      </c>
      <c r="Z94" s="490">
        <v>2.42</v>
      </c>
      <c r="AA94" s="489">
        <v>2.86</v>
      </c>
      <c r="AB94" s="489">
        <v>3.33</v>
      </c>
      <c r="AC94" s="491">
        <v>3.85</v>
      </c>
      <c r="AF94" s="405" t="s">
        <v>784</v>
      </c>
      <c r="AG94" s="406">
        <v>47.6</v>
      </c>
      <c r="AH94" s="407">
        <v>27.6</v>
      </c>
      <c r="AI94" s="408">
        <v>0.66</v>
      </c>
      <c r="AJ94" s="407">
        <v>14</v>
      </c>
      <c r="AK94" s="409">
        <v>1.08</v>
      </c>
      <c r="AL94" s="410">
        <v>1.87</v>
      </c>
      <c r="AN94" s="50" t="s">
        <v>388</v>
      </c>
      <c r="AO94" s="100">
        <f>$D$16/$B$94</f>
        <v>0.308641975308642</v>
      </c>
    </row>
    <row r="95" spans="1:41" ht="12.75">
      <c r="A95" s="19"/>
      <c r="B95" s="10"/>
      <c r="C95" s="10"/>
      <c r="D95" s="10"/>
      <c r="E95" s="10"/>
      <c r="F95" s="10"/>
      <c r="G95" s="10"/>
      <c r="H95" s="10"/>
      <c r="I95" s="389"/>
      <c r="M95" s="487">
        <v>2.2</v>
      </c>
      <c r="N95" s="492">
        <v>0.297</v>
      </c>
      <c r="O95" s="479">
        <v>0.377</v>
      </c>
      <c r="P95" s="480">
        <v>0.467</v>
      </c>
      <c r="Q95" s="480">
        <v>0.567</v>
      </c>
      <c r="R95" s="480">
        <v>0.677</v>
      </c>
      <c r="S95" s="480">
        <v>0.799</v>
      </c>
      <c r="T95" s="480">
        <v>0.925</v>
      </c>
      <c r="U95" s="480">
        <v>1.06</v>
      </c>
      <c r="V95" s="320">
        <v>1.2</v>
      </c>
      <c r="W95" s="480">
        <v>1.35</v>
      </c>
      <c r="X95" s="320">
        <v>1.5</v>
      </c>
      <c r="Y95" s="480">
        <v>1.84</v>
      </c>
      <c r="Z95" s="480">
        <v>2.21</v>
      </c>
      <c r="AA95" s="480">
        <v>2.62</v>
      </c>
      <c r="AB95" s="480">
        <v>3.07</v>
      </c>
      <c r="AC95" s="482">
        <v>3.54</v>
      </c>
      <c r="AF95" s="405" t="s">
        <v>785</v>
      </c>
      <c r="AG95" s="406">
        <v>43.1</v>
      </c>
      <c r="AH95" s="407">
        <v>27.4</v>
      </c>
      <c r="AI95" s="408">
        <v>0.605</v>
      </c>
      <c r="AJ95" s="407">
        <v>14</v>
      </c>
      <c r="AK95" s="408">
        <v>0.975</v>
      </c>
      <c r="AL95" s="410">
        <v>1.76</v>
      </c>
      <c r="AN95" s="50"/>
      <c r="AO95" s="100"/>
    </row>
    <row r="96" spans="1:41" ht="12.75">
      <c r="A96" s="67" t="str">
        <f>$M$245</f>
        <v>  Shear Rupture Capacity of (2) Clip Angles at Beam Web:</v>
      </c>
      <c r="B96" s="10"/>
      <c r="C96" s="10"/>
      <c r="D96" s="10"/>
      <c r="E96" s="10"/>
      <c r="F96" s="10"/>
      <c r="G96" s="10"/>
      <c r="H96" s="10"/>
      <c r="I96" s="389"/>
      <c r="M96" s="487">
        <v>2.4</v>
      </c>
      <c r="N96" s="478">
        <v>0.273</v>
      </c>
      <c r="O96" s="493">
        <v>0.347</v>
      </c>
      <c r="P96" s="494">
        <v>0.428</v>
      </c>
      <c r="Q96" s="326">
        <v>0.52</v>
      </c>
      <c r="R96" s="494">
        <v>0.623</v>
      </c>
      <c r="S96" s="494">
        <v>0.735</v>
      </c>
      <c r="T96" s="494">
        <v>0.852</v>
      </c>
      <c r="U96" s="494">
        <v>0.972</v>
      </c>
      <c r="V96" s="495">
        <v>1.1</v>
      </c>
      <c r="W96" s="494">
        <v>1.24</v>
      </c>
      <c r="X96" s="494">
        <v>1.38</v>
      </c>
      <c r="Y96" s="495">
        <v>1.7</v>
      </c>
      <c r="Z96" s="496">
        <v>2.04</v>
      </c>
      <c r="AA96" s="494">
        <v>2.42</v>
      </c>
      <c r="AB96" s="494">
        <v>2.83</v>
      </c>
      <c r="AC96" s="497">
        <v>3.27</v>
      </c>
      <c r="AF96" s="405" t="s">
        <v>786</v>
      </c>
      <c r="AG96" s="406">
        <v>37.8</v>
      </c>
      <c r="AH96" s="407">
        <v>27.6</v>
      </c>
      <c r="AI96" s="408">
        <v>0.61</v>
      </c>
      <c r="AJ96" s="407">
        <v>10</v>
      </c>
      <c r="AK96" s="409">
        <v>1.1</v>
      </c>
      <c r="AL96" s="410">
        <v>1.7</v>
      </c>
      <c r="AN96" s="50"/>
      <c r="AO96" s="100"/>
    </row>
    <row r="97" spans="1:41" ht="12.75">
      <c r="A97" s="51" t="s">
        <v>253</v>
      </c>
      <c r="B97" s="184">
        <f>$N$246</f>
        <v>9</v>
      </c>
      <c r="C97" s="113" t="s">
        <v>243</v>
      </c>
      <c r="D97" s="52" t="str">
        <f>$P$246</f>
        <v>Avn = Avg = 2*L*ta</v>
      </c>
      <c r="E97" s="10"/>
      <c r="F97" s="10"/>
      <c r="G97" s="10"/>
      <c r="H97" s="10"/>
      <c r="I97" s="389"/>
      <c r="M97" s="487">
        <v>2.6</v>
      </c>
      <c r="N97" s="478">
        <v>0.252</v>
      </c>
      <c r="O97" s="324">
        <v>0.32</v>
      </c>
      <c r="P97" s="480">
        <v>0.396</v>
      </c>
      <c r="Q97" s="480">
        <v>0.48</v>
      </c>
      <c r="R97" s="480">
        <v>0.575</v>
      </c>
      <c r="S97" s="480">
        <v>0.679</v>
      </c>
      <c r="T97" s="480">
        <v>0.788</v>
      </c>
      <c r="U97" s="319">
        <v>0.9</v>
      </c>
      <c r="V97" s="480">
        <v>1.02</v>
      </c>
      <c r="W97" s="480">
        <v>1.15</v>
      </c>
      <c r="X97" s="480">
        <v>1.28</v>
      </c>
      <c r="Y97" s="480">
        <v>1.57</v>
      </c>
      <c r="Z97" s="485">
        <v>1.9</v>
      </c>
      <c r="AA97" s="480">
        <v>2.25</v>
      </c>
      <c r="AB97" s="480">
        <v>2.63</v>
      </c>
      <c r="AC97" s="482">
        <v>3.05</v>
      </c>
      <c r="AF97" s="405" t="s">
        <v>787</v>
      </c>
      <c r="AG97" s="406">
        <v>33.5</v>
      </c>
      <c r="AH97" s="407">
        <v>27.3</v>
      </c>
      <c r="AI97" s="408">
        <v>0.57</v>
      </c>
      <c r="AJ97" s="407">
        <v>10.1</v>
      </c>
      <c r="AK97" s="408">
        <v>0.93</v>
      </c>
      <c r="AL97" s="410">
        <v>1.53</v>
      </c>
      <c r="AN97" s="50"/>
      <c r="AO97" s="100"/>
    </row>
    <row r="98" spans="1:41" ht="12.75">
      <c r="A98" s="51" t="s">
        <v>254</v>
      </c>
      <c r="B98" s="183">
        <f>$N$247</f>
        <v>156.6</v>
      </c>
      <c r="C98" s="113" t="s">
        <v>237</v>
      </c>
      <c r="D98" s="52" t="str">
        <f>$P$247</f>
        <v>Rvn = (1/2)*0.60*Fua*Avn</v>
      </c>
      <c r="E98" s="10"/>
      <c r="F98" s="10"/>
      <c r="G98" s="10"/>
      <c r="H98" s="10"/>
      <c r="I98" s="389" t="str">
        <f>IF($B$98&gt;=$D$16,"Rvn &gt;= R,  O.K.  ","Rvn &lt; R, N.G.  ")</f>
        <v>Rvn &gt;= R,  O.K.  </v>
      </c>
      <c r="M98" s="487">
        <v>2.8</v>
      </c>
      <c r="N98" s="478">
        <v>0.235</v>
      </c>
      <c r="O98" s="479">
        <v>0.297</v>
      </c>
      <c r="P98" s="480">
        <v>0.368</v>
      </c>
      <c r="Q98" s="480">
        <v>0.447</v>
      </c>
      <c r="R98" s="480">
        <v>0.535</v>
      </c>
      <c r="S98" s="480">
        <v>0.632</v>
      </c>
      <c r="T98" s="480">
        <v>0.733</v>
      </c>
      <c r="U98" s="480">
        <v>0.837</v>
      </c>
      <c r="V98" s="480">
        <v>0.949</v>
      </c>
      <c r="W98" s="480">
        <v>1.07</v>
      </c>
      <c r="X98" s="480">
        <v>1.19</v>
      </c>
      <c r="Y98" s="480">
        <v>1.47</v>
      </c>
      <c r="Z98" s="481">
        <v>1.77</v>
      </c>
      <c r="AA98" s="320">
        <v>2.1</v>
      </c>
      <c r="AB98" s="480">
        <v>2.46</v>
      </c>
      <c r="AC98" s="482">
        <v>2.85</v>
      </c>
      <c r="AF98" s="405" t="s">
        <v>788</v>
      </c>
      <c r="AG98" s="406">
        <v>30</v>
      </c>
      <c r="AH98" s="407">
        <v>27.1</v>
      </c>
      <c r="AI98" s="408">
        <v>0.515</v>
      </c>
      <c r="AJ98" s="407">
        <v>10</v>
      </c>
      <c r="AK98" s="408">
        <v>0.83</v>
      </c>
      <c r="AL98" s="410">
        <v>1.43</v>
      </c>
      <c r="AN98" s="50" t="s">
        <v>388</v>
      </c>
      <c r="AO98" s="100">
        <f>$D$16/$B$98</f>
        <v>0.2554278416347382</v>
      </c>
    </row>
    <row r="99" spans="1:41" ht="12.75">
      <c r="A99" s="19"/>
      <c r="B99" s="10"/>
      <c r="C99" s="10"/>
      <c r="D99" s="10"/>
      <c r="E99" s="10"/>
      <c r="F99" s="10"/>
      <c r="G99" s="10"/>
      <c r="H99" s="10"/>
      <c r="I99" s="14"/>
      <c r="M99" s="498">
        <v>3</v>
      </c>
      <c r="N99" s="499">
        <v>0.219</v>
      </c>
      <c r="O99" s="500">
        <v>0.277</v>
      </c>
      <c r="P99" s="501">
        <v>0.343</v>
      </c>
      <c r="Q99" s="501">
        <v>0.417</v>
      </c>
      <c r="R99" s="322">
        <v>0.5</v>
      </c>
      <c r="S99" s="501">
        <v>0.591</v>
      </c>
      <c r="T99" s="501">
        <v>0.685</v>
      </c>
      <c r="U99" s="501">
        <v>0.784</v>
      </c>
      <c r="V99" s="501">
        <v>0.888</v>
      </c>
      <c r="W99" s="501">
        <v>0.999</v>
      </c>
      <c r="X99" s="501">
        <v>1.12</v>
      </c>
      <c r="Y99" s="501">
        <v>1.37</v>
      </c>
      <c r="Z99" s="502">
        <v>1.65</v>
      </c>
      <c r="AA99" s="501">
        <v>1.97</v>
      </c>
      <c r="AB99" s="501">
        <v>2.31</v>
      </c>
      <c r="AC99" s="503">
        <v>2.67</v>
      </c>
      <c r="AF99" s="405" t="s">
        <v>789</v>
      </c>
      <c r="AG99" s="406">
        <v>27.7</v>
      </c>
      <c r="AH99" s="407">
        <v>26.9</v>
      </c>
      <c r="AI99" s="408">
        <v>0.49</v>
      </c>
      <c r="AJ99" s="407">
        <v>10</v>
      </c>
      <c r="AK99" s="408">
        <v>0.745</v>
      </c>
      <c r="AL99" s="410">
        <v>1.34</v>
      </c>
      <c r="AN99" s="50"/>
      <c r="AO99" s="100"/>
    </row>
    <row r="100" spans="1:38" ht="12.75">
      <c r="A100" s="20"/>
      <c r="B100" s="21"/>
      <c r="C100" s="21"/>
      <c r="D100" s="21"/>
      <c r="E100" s="21"/>
      <c r="F100" s="21"/>
      <c r="G100" s="21"/>
      <c r="H100" s="21"/>
      <c r="I100" s="128" t="s">
        <v>105</v>
      </c>
      <c r="M100" s="504" t="s">
        <v>526</v>
      </c>
      <c r="N100" s="505">
        <v>0</v>
      </c>
      <c r="O100" s="325">
        <v>0.008</v>
      </c>
      <c r="P100" s="322">
        <v>0.029</v>
      </c>
      <c r="Q100" s="322">
        <v>0.056</v>
      </c>
      <c r="R100" s="322">
        <v>0.089</v>
      </c>
      <c r="S100" s="322">
        <v>0.125</v>
      </c>
      <c r="T100" s="322">
        <v>0.164</v>
      </c>
      <c r="U100" s="322">
        <v>0.204</v>
      </c>
      <c r="V100" s="322">
        <v>0.246</v>
      </c>
      <c r="W100" s="322">
        <v>0.289</v>
      </c>
      <c r="X100" s="322">
        <v>0.333</v>
      </c>
      <c r="Y100" s="322">
        <v>0.424</v>
      </c>
      <c r="Z100" s="506">
        <v>0.516</v>
      </c>
      <c r="AA100" s="322">
        <v>0.61</v>
      </c>
      <c r="AB100" s="322">
        <v>0.704</v>
      </c>
      <c r="AC100" s="323">
        <v>0.8</v>
      </c>
      <c r="AF100" s="405" t="s">
        <v>790</v>
      </c>
      <c r="AG100" s="406">
        <v>24.8</v>
      </c>
      <c r="AH100" s="407">
        <v>26.7</v>
      </c>
      <c r="AI100" s="408">
        <v>0.46</v>
      </c>
      <c r="AJ100" s="407">
        <v>10</v>
      </c>
      <c r="AK100" s="408">
        <v>0.64</v>
      </c>
      <c r="AL100" s="410">
        <v>1.24</v>
      </c>
    </row>
    <row r="101" spans="1:41" ht="12.75">
      <c r="A101" s="17"/>
      <c r="B101" s="18"/>
      <c r="C101" s="124"/>
      <c r="D101" s="18"/>
      <c r="E101" s="18"/>
      <c r="F101" s="18"/>
      <c r="G101" s="18"/>
      <c r="H101" s="195"/>
      <c r="I101" s="189"/>
      <c r="AF101" s="405" t="s">
        <v>791</v>
      </c>
      <c r="AG101" s="411">
        <v>109</v>
      </c>
      <c r="AH101" s="407">
        <v>28</v>
      </c>
      <c r="AI101" s="409">
        <v>1.52</v>
      </c>
      <c r="AJ101" s="407">
        <v>13.7</v>
      </c>
      <c r="AK101" s="409">
        <v>2.72</v>
      </c>
      <c r="AL101" s="410">
        <v>3.22</v>
      </c>
      <c r="AN101" s="50"/>
      <c r="AO101" s="100"/>
    </row>
    <row r="102" spans="1:41" ht="12.75">
      <c r="A102" s="86" t="s">
        <v>1176</v>
      </c>
      <c r="B102" s="10"/>
      <c r="C102" s="10"/>
      <c r="D102" s="10"/>
      <c r="E102" s="10"/>
      <c r="F102" s="10"/>
      <c r="G102" s="10"/>
      <c r="H102" s="10"/>
      <c r="I102" s="14"/>
      <c r="M102" s="141" t="s">
        <v>530</v>
      </c>
      <c r="N102" s="463"/>
      <c r="O102" s="107"/>
      <c r="P102" s="463"/>
      <c r="Q102" s="463"/>
      <c r="R102" s="143"/>
      <c r="S102" s="143"/>
      <c r="T102" s="143"/>
      <c r="U102" s="142"/>
      <c r="V102" s="143"/>
      <c r="W102" s="143"/>
      <c r="X102" s="143"/>
      <c r="Y102" s="143"/>
      <c r="Z102" s="144"/>
      <c r="AA102" s="143"/>
      <c r="AB102" s="143"/>
      <c r="AC102" s="144"/>
      <c r="AF102" s="405" t="s">
        <v>792</v>
      </c>
      <c r="AG102" s="406">
        <v>98.4</v>
      </c>
      <c r="AH102" s="407">
        <v>27.5</v>
      </c>
      <c r="AI102" s="409">
        <v>1.38</v>
      </c>
      <c r="AJ102" s="407">
        <v>13.5</v>
      </c>
      <c r="AK102" s="409">
        <v>2.48</v>
      </c>
      <c r="AL102" s="410">
        <v>2.98</v>
      </c>
      <c r="AN102" s="50"/>
      <c r="AO102" s="100"/>
    </row>
    <row r="103" spans="1:41" ht="12.75">
      <c r="A103" s="19"/>
      <c r="B103" s="10"/>
      <c r="C103" s="10"/>
      <c r="D103" s="10"/>
      <c r="E103" s="10"/>
      <c r="F103" s="10"/>
      <c r="G103" s="10"/>
      <c r="H103" s="10"/>
      <c r="I103" s="14"/>
      <c r="M103" s="464"/>
      <c r="N103" s="141" t="s">
        <v>323</v>
      </c>
      <c r="O103" s="107"/>
      <c r="P103" s="143"/>
      <c r="Q103" s="143"/>
      <c r="R103" s="143"/>
      <c r="S103" s="143"/>
      <c r="T103" s="465"/>
      <c r="U103" s="143"/>
      <c r="V103" s="143"/>
      <c r="W103" s="143"/>
      <c r="X103" s="143"/>
      <c r="Y103" s="156"/>
      <c r="Z103" s="144"/>
      <c r="AA103" s="143"/>
      <c r="AB103" s="156"/>
      <c r="AC103" s="144"/>
      <c r="AF103" s="405" t="s">
        <v>793</v>
      </c>
      <c r="AG103" s="406">
        <v>89.8</v>
      </c>
      <c r="AH103" s="407">
        <v>27.1</v>
      </c>
      <c r="AI103" s="409">
        <v>1.26</v>
      </c>
      <c r="AJ103" s="407">
        <v>13.4</v>
      </c>
      <c r="AK103" s="409">
        <v>2.28</v>
      </c>
      <c r="AL103" s="410">
        <v>2.78</v>
      </c>
      <c r="AN103" s="50"/>
      <c r="AO103" s="100"/>
    </row>
    <row r="104" spans="1:41" ht="12.75">
      <c r="A104" s="67" t="s">
        <v>17</v>
      </c>
      <c r="B104" s="45"/>
      <c r="C104" s="129"/>
      <c r="D104" s="45"/>
      <c r="E104" s="10"/>
      <c r="F104" s="10"/>
      <c r="G104" s="10"/>
      <c r="H104" s="45"/>
      <c r="I104" s="389"/>
      <c r="M104" s="467" t="s">
        <v>18</v>
      </c>
      <c r="N104" s="468">
        <v>0</v>
      </c>
      <c r="O104" s="140">
        <v>0.1</v>
      </c>
      <c r="P104" s="140">
        <v>0.2</v>
      </c>
      <c r="Q104" s="469">
        <v>0.3</v>
      </c>
      <c r="R104" s="140">
        <v>0.4</v>
      </c>
      <c r="S104" s="469">
        <v>0.5</v>
      </c>
      <c r="T104" s="140">
        <v>0.6</v>
      </c>
      <c r="U104" s="469">
        <v>0.7</v>
      </c>
      <c r="V104" s="140">
        <v>0.8</v>
      </c>
      <c r="W104" s="469">
        <v>0.9</v>
      </c>
      <c r="X104" s="140">
        <v>1</v>
      </c>
      <c r="Y104" s="469">
        <v>1.2</v>
      </c>
      <c r="Z104" s="140">
        <v>1.4</v>
      </c>
      <c r="AA104" s="140">
        <v>1.6</v>
      </c>
      <c r="AB104" s="469">
        <v>1.8</v>
      </c>
      <c r="AC104" s="140">
        <v>2</v>
      </c>
      <c r="AF104" s="405" t="s">
        <v>794</v>
      </c>
      <c r="AG104" s="406">
        <v>82</v>
      </c>
      <c r="AH104" s="407">
        <v>26.7</v>
      </c>
      <c r="AI104" s="409">
        <v>1.16</v>
      </c>
      <c r="AJ104" s="407">
        <v>13.3</v>
      </c>
      <c r="AK104" s="409">
        <v>2.09</v>
      </c>
      <c r="AL104" s="410">
        <v>2.59</v>
      </c>
      <c r="AN104" s="50"/>
      <c r="AO104" s="100"/>
    </row>
    <row r="105" spans="1:41" ht="12.75">
      <c r="A105" s="69" t="s">
        <v>35</v>
      </c>
      <c r="B105" s="184">
        <f>$N$249</f>
        <v>9</v>
      </c>
      <c r="C105" s="113" t="s">
        <v>243</v>
      </c>
      <c r="D105" s="52" t="str">
        <f>$P$249</f>
        <v>Atg = 2*L*ta</v>
      </c>
      <c r="E105" s="55"/>
      <c r="F105" s="55"/>
      <c r="G105" s="55"/>
      <c r="H105" s="45"/>
      <c r="I105" s="389"/>
      <c r="M105" s="471">
        <v>0</v>
      </c>
      <c r="N105" s="472">
        <v>1.92</v>
      </c>
      <c r="O105" s="473">
        <v>2.47</v>
      </c>
      <c r="P105" s="474">
        <v>3.01</v>
      </c>
      <c r="Q105" s="318">
        <v>3.56</v>
      </c>
      <c r="R105" s="474">
        <v>4.1</v>
      </c>
      <c r="S105" s="474">
        <v>4.65</v>
      </c>
      <c r="T105" s="474">
        <v>5.19</v>
      </c>
      <c r="U105" s="474">
        <v>5.74</v>
      </c>
      <c r="V105" s="474">
        <v>6.29</v>
      </c>
      <c r="W105" s="474">
        <v>6.83</v>
      </c>
      <c r="X105" s="318">
        <v>7.38</v>
      </c>
      <c r="Y105" s="474">
        <v>8.47</v>
      </c>
      <c r="Z105" s="475">
        <v>9.56</v>
      </c>
      <c r="AA105" s="474">
        <v>10.6</v>
      </c>
      <c r="AB105" s="474">
        <v>11.7</v>
      </c>
      <c r="AC105" s="476">
        <v>12.8</v>
      </c>
      <c r="AF105" s="405" t="s">
        <v>795</v>
      </c>
      <c r="AG105" s="406">
        <v>73.5</v>
      </c>
      <c r="AH105" s="407">
        <v>26.3</v>
      </c>
      <c r="AI105" s="409">
        <v>1.04</v>
      </c>
      <c r="AJ105" s="407">
        <v>13.2</v>
      </c>
      <c r="AK105" s="409">
        <v>1.89</v>
      </c>
      <c r="AL105" s="410">
        <v>2.39</v>
      </c>
      <c r="AN105" s="50"/>
      <c r="AO105" s="100"/>
    </row>
    <row r="106" spans="1:41" ht="12.75">
      <c r="A106" s="69" t="s">
        <v>36</v>
      </c>
      <c r="B106" s="183">
        <f>$N$250</f>
        <v>175.88148148148144</v>
      </c>
      <c r="C106" s="113" t="s">
        <v>237</v>
      </c>
      <c r="D106" s="52" t="str">
        <f>$P$250</f>
        <v>Rtg = (0.60*Fya*Atg)*(1-(R/Rvg)^2)</v>
      </c>
      <c r="E106" s="55"/>
      <c r="F106" s="55"/>
      <c r="G106" s="55"/>
      <c r="H106" s="80"/>
      <c r="I106" s="389" t="str">
        <f>IF($D$17&gt;0,IF($B$106&gt;=$D$17,"Rtg &gt;= P,  O.K.  ","Rtg &lt; P, N.G.  "),"")</f>
        <v>Rtg &gt;= P,  O.K.  </v>
      </c>
      <c r="M106" s="477">
        <v>0.1</v>
      </c>
      <c r="N106" s="478">
        <v>1.89</v>
      </c>
      <c r="O106" s="479">
        <v>2.35</v>
      </c>
      <c r="P106" s="480">
        <v>2.87</v>
      </c>
      <c r="Q106" s="320">
        <v>3.4</v>
      </c>
      <c r="R106" s="480">
        <v>3.95</v>
      </c>
      <c r="S106" s="480">
        <v>4.5</v>
      </c>
      <c r="T106" s="480">
        <v>5.05</v>
      </c>
      <c r="U106" s="480">
        <v>5.6</v>
      </c>
      <c r="V106" s="480">
        <v>6.14</v>
      </c>
      <c r="W106" s="480">
        <v>6.69</v>
      </c>
      <c r="X106" s="480">
        <v>7.24</v>
      </c>
      <c r="Y106" s="480">
        <v>8.33</v>
      </c>
      <c r="Z106" s="481">
        <v>9.43</v>
      </c>
      <c r="AA106" s="480">
        <v>10.5</v>
      </c>
      <c r="AB106" s="480">
        <v>11.6</v>
      </c>
      <c r="AC106" s="482">
        <v>12.7</v>
      </c>
      <c r="AF106" s="405" t="s">
        <v>796</v>
      </c>
      <c r="AG106" s="406">
        <v>67.2</v>
      </c>
      <c r="AH106" s="407">
        <v>26</v>
      </c>
      <c r="AI106" s="408">
        <v>0.96</v>
      </c>
      <c r="AJ106" s="407">
        <v>13.1</v>
      </c>
      <c r="AK106" s="409">
        <v>1.73</v>
      </c>
      <c r="AL106" s="410">
        <v>2.23</v>
      </c>
      <c r="AN106" s="50" t="str">
        <f>IF(AO106="","N.A.","SR =")</f>
        <v>SR =</v>
      </c>
      <c r="AO106" s="100">
        <f>IF($D$17&gt;0,$D$17/$B$106,"")</f>
        <v>0.028428234501347713</v>
      </c>
    </row>
    <row r="107" spans="1:38" ht="12.75">
      <c r="A107" s="19"/>
      <c r="B107" s="10"/>
      <c r="C107" s="10"/>
      <c r="D107" s="112" t="s">
        <v>112</v>
      </c>
      <c r="E107" s="55"/>
      <c r="F107" s="55"/>
      <c r="G107" s="55"/>
      <c r="H107" s="10"/>
      <c r="I107" s="389"/>
      <c r="M107" s="483">
        <v>0.15</v>
      </c>
      <c r="N107" s="478">
        <v>1.84</v>
      </c>
      <c r="O107" s="479">
        <v>2.3</v>
      </c>
      <c r="P107" s="480">
        <v>2.79</v>
      </c>
      <c r="Q107" s="480">
        <v>3.29</v>
      </c>
      <c r="R107" s="480">
        <v>3.81</v>
      </c>
      <c r="S107" s="480">
        <v>4.33</v>
      </c>
      <c r="T107" s="320">
        <v>4.86</v>
      </c>
      <c r="U107" s="480">
        <v>5.39</v>
      </c>
      <c r="V107" s="480">
        <v>5.92</v>
      </c>
      <c r="W107" s="320">
        <v>6.45</v>
      </c>
      <c r="X107" s="480">
        <v>6.99</v>
      </c>
      <c r="Y107" s="480">
        <v>8.06</v>
      </c>
      <c r="Z107" s="481">
        <v>9.13</v>
      </c>
      <c r="AA107" s="480">
        <v>10.2</v>
      </c>
      <c r="AB107" s="480">
        <v>11.3</v>
      </c>
      <c r="AC107" s="482">
        <v>12.4</v>
      </c>
      <c r="AF107" s="405" t="s">
        <v>797</v>
      </c>
      <c r="AG107" s="406">
        <v>60.7</v>
      </c>
      <c r="AH107" s="407">
        <v>25.7</v>
      </c>
      <c r="AI107" s="408">
        <v>0.87</v>
      </c>
      <c r="AJ107" s="407">
        <v>13</v>
      </c>
      <c r="AK107" s="409">
        <v>1.57</v>
      </c>
      <c r="AL107" s="410">
        <v>2.07</v>
      </c>
    </row>
    <row r="108" spans="1:38" ht="12.75">
      <c r="A108" s="19"/>
      <c r="B108" s="10"/>
      <c r="C108" s="10"/>
      <c r="D108" s="112" t="s">
        <v>111</v>
      </c>
      <c r="E108" s="10"/>
      <c r="F108" s="10"/>
      <c r="G108" s="10"/>
      <c r="H108" s="10"/>
      <c r="I108" s="14"/>
      <c r="M108" s="483">
        <v>0.2</v>
      </c>
      <c r="N108" s="478">
        <v>1.75</v>
      </c>
      <c r="O108" s="479">
        <v>2.21</v>
      </c>
      <c r="P108" s="480">
        <v>2.68</v>
      </c>
      <c r="Q108" s="480">
        <v>3.16</v>
      </c>
      <c r="R108" s="320">
        <v>3.65</v>
      </c>
      <c r="S108" s="480">
        <v>4.15</v>
      </c>
      <c r="T108" s="480">
        <v>4.65</v>
      </c>
      <c r="U108" s="480">
        <v>5.16</v>
      </c>
      <c r="V108" s="480">
        <v>5.67</v>
      </c>
      <c r="W108" s="480">
        <v>6.18</v>
      </c>
      <c r="X108" s="480">
        <v>6.69</v>
      </c>
      <c r="Y108" s="480">
        <v>7.73</v>
      </c>
      <c r="Z108" s="481">
        <v>8.76</v>
      </c>
      <c r="AA108" s="480">
        <v>9.81</v>
      </c>
      <c r="AB108" s="480">
        <v>10.9</v>
      </c>
      <c r="AC108" s="484">
        <v>11.9</v>
      </c>
      <c r="AF108" s="405" t="s">
        <v>798</v>
      </c>
      <c r="AG108" s="406">
        <v>56.3</v>
      </c>
      <c r="AH108" s="407">
        <v>25.5</v>
      </c>
      <c r="AI108" s="408">
        <v>0.81</v>
      </c>
      <c r="AJ108" s="407">
        <v>13</v>
      </c>
      <c r="AK108" s="409">
        <v>1.46</v>
      </c>
      <c r="AL108" s="410">
        <v>1.96</v>
      </c>
    </row>
    <row r="109" spans="1:46" ht="12.75">
      <c r="A109" s="19"/>
      <c r="B109" s="10"/>
      <c r="C109" s="10"/>
      <c r="D109" s="10"/>
      <c r="E109" s="10"/>
      <c r="F109" s="10"/>
      <c r="G109" s="10"/>
      <c r="H109" s="10"/>
      <c r="I109" s="14"/>
      <c r="M109" s="483">
        <v>0.25</v>
      </c>
      <c r="N109" s="478">
        <v>1.65</v>
      </c>
      <c r="O109" s="479">
        <v>2.08</v>
      </c>
      <c r="P109" s="480">
        <v>2.54</v>
      </c>
      <c r="Q109" s="480">
        <v>3</v>
      </c>
      <c r="R109" s="480">
        <v>3.47</v>
      </c>
      <c r="S109" s="480">
        <v>3.94</v>
      </c>
      <c r="T109" s="480">
        <v>4.42</v>
      </c>
      <c r="U109" s="480">
        <v>4.91</v>
      </c>
      <c r="V109" s="480">
        <v>5.39</v>
      </c>
      <c r="W109" s="480">
        <v>5.89</v>
      </c>
      <c r="X109" s="480">
        <v>6.38</v>
      </c>
      <c r="Y109" s="480">
        <v>7.38</v>
      </c>
      <c r="Z109" s="481">
        <v>8.39</v>
      </c>
      <c r="AA109" s="480">
        <v>9.41</v>
      </c>
      <c r="AB109" s="480">
        <v>10.4</v>
      </c>
      <c r="AC109" s="482">
        <v>11.5</v>
      </c>
      <c r="AF109" s="405" t="s">
        <v>799</v>
      </c>
      <c r="AG109" s="406">
        <v>51.7</v>
      </c>
      <c r="AH109" s="407">
        <v>25.2</v>
      </c>
      <c r="AI109" s="408">
        <v>0.75</v>
      </c>
      <c r="AJ109" s="407">
        <v>12.9</v>
      </c>
      <c r="AK109" s="409">
        <v>1.34</v>
      </c>
      <c r="AL109" s="410">
        <v>1.84</v>
      </c>
      <c r="AT109" s="100"/>
    </row>
    <row r="110" spans="1:46" ht="12.75">
      <c r="A110" s="136" t="str">
        <f>IF(AND($D$29=0,$D$30=0,$D$31=0),$M$251,IF(AND($D$29&gt;0,$D$30&gt;0,$D$31=0),$M$279,IF(AND($D$29&gt;0,$D$30&gt;0,$D$31&gt;0),$M$320)))</f>
        <v>Beam Checks for Uncoped Flanges:</v>
      </c>
      <c r="B110" s="10"/>
      <c r="C110" s="10"/>
      <c r="D110" s="10"/>
      <c r="E110" s="10"/>
      <c r="F110" s="10"/>
      <c r="G110" s="10"/>
      <c r="H110" s="10"/>
      <c r="I110" s="389"/>
      <c r="M110" s="483">
        <v>0.3</v>
      </c>
      <c r="N110" s="478">
        <v>1.55</v>
      </c>
      <c r="O110" s="479">
        <v>1.95</v>
      </c>
      <c r="P110" s="480">
        <v>2.39</v>
      </c>
      <c r="Q110" s="480">
        <v>2.82</v>
      </c>
      <c r="R110" s="480">
        <v>3.27</v>
      </c>
      <c r="S110" s="480">
        <v>3.72</v>
      </c>
      <c r="T110" s="480">
        <v>4.18</v>
      </c>
      <c r="U110" s="320">
        <v>4.64</v>
      </c>
      <c r="V110" s="480">
        <v>5.11</v>
      </c>
      <c r="W110" s="480">
        <v>5.58</v>
      </c>
      <c r="X110" s="480">
        <v>6.06</v>
      </c>
      <c r="Y110" s="480">
        <v>7.02</v>
      </c>
      <c r="Z110" s="485">
        <v>8.01</v>
      </c>
      <c r="AA110" s="320">
        <v>9</v>
      </c>
      <c r="AB110" s="486">
        <v>10</v>
      </c>
      <c r="AC110" s="484">
        <v>11</v>
      </c>
      <c r="AF110" s="405" t="s">
        <v>800</v>
      </c>
      <c r="AG110" s="406">
        <v>47.7</v>
      </c>
      <c r="AH110" s="407">
        <v>25</v>
      </c>
      <c r="AI110" s="408">
        <v>0.705</v>
      </c>
      <c r="AJ110" s="407">
        <v>13</v>
      </c>
      <c r="AK110" s="409">
        <v>1.22</v>
      </c>
      <c r="AL110" s="410">
        <v>1.72</v>
      </c>
      <c r="AT110" s="100"/>
    </row>
    <row r="111" spans="1:46" ht="12.75">
      <c r="A111" s="19"/>
      <c r="B111" s="10"/>
      <c r="C111" s="10"/>
      <c r="D111" s="10"/>
      <c r="E111" s="10"/>
      <c r="F111" s="10"/>
      <c r="G111" s="10"/>
      <c r="H111" s="10"/>
      <c r="I111" s="389"/>
      <c r="M111" s="483">
        <v>0.4</v>
      </c>
      <c r="N111" s="478">
        <v>1.34</v>
      </c>
      <c r="O111" s="479">
        <v>1.69</v>
      </c>
      <c r="P111" s="480">
        <v>2.07</v>
      </c>
      <c r="Q111" s="480">
        <v>2.47</v>
      </c>
      <c r="R111" s="480">
        <v>2.87</v>
      </c>
      <c r="S111" s="480">
        <v>3.28</v>
      </c>
      <c r="T111" s="480">
        <v>3.7</v>
      </c>
      <c r="U111" s="480">
        <v>4.12</v>
      </c>
      <c r="V111" s="320">
        <v>4.55</v>
      </c>
      <c r="W111" s="480">
        <v>4.99</v>
      </c>
      <c r="X111" s="480">
        <v>5.43</v>
      </c>
      <c r="Y111" s="320">
        <v>6.34</v>
      </c>
      <c r="Z111" s="481">
        <v>7.27</v>
      </c>
      <c r="AA111" s="480">
        <v>8.22</v>
      </c>
      <c r="AB111" s="480">
        <v>9.19</v>
      </c>
      <c r="AC111" s="482">
        <v>10.2</v>
      </c>
      <c r="AF111" s="405" t="s">
        <v>801</v>
      </c>
      <c r="AG111" s="406">
        <v>43</v>
      </c>
      <c r="AH111" s="407">
        <v>24.7</v>
      </c>
      <c r="AI111" s="408">
        <v>0.65</v>
      </c>
      <c r="AJ111" s="407">
        <v>12.9</v>
      </c>
      <c r="AK111" s="409">
        <v>1.09</v>
      </c>
      <c r="AL111" s="410">
        <v>1.59</v>
      </c>
      <c r="AT111" s="100"/>
    </row>
    <row r="112" spans="1:46" ht="12.75">
      <c r="A112" s="73" t="str">
        <f>IF(AND($D$29=0,$D$30=0,$D$31=0),$M$252,IF(AND($D$29&gt;0,$D$30&gt;0,$D$31=0),$M$280,IF(AND($D$29&gt;0,$D$30&gt;0,$D$31&gt;0),$M$321)))</f>
        <v>  Shear Yielding Capacity of Beam Web:</v>
      </c>
      <c r="B112" s="10"/>
      <c r="C112" s="10"/>
      <c r="D112" s="10"/>
      <c r="E112" s="10"/>
      <c r="F112" s="10"/>
      <c r="G112" s="10"/>
      <c r="H112" s="10"/>
      <c r="I112" s="389"/>
      <c r="M112" s="483">
        <v>0.5</v>
      </c>
      <c r="N112" s="478">
        <v>1.16</v>
      </c>
      <c r="O112" s="479">
        <v>1.46</v>
      </c>
      <c r="P112" s="480">
        <v>1.8</v>
      </c>
      <c r="Q112" s="480">
        <v>2.16</v>
      </c>
      <c r="R112" s="480">
        <v>2.52</v>
      </c>
      <c r="S112" s="480">
        <v>2.89</v>
      </c>
      <c r="T112" s="480">
        <v>3.27</v>
      </c>
      <c r="U112" s="320">
        <v>3.65</v>
      </c>
      <c r="V112" s="320">
        <v>4.05</v>
      </c>
      <c r="W112" s="320">
        <v>4.46</v>
      </c>
      <c r="X112" s="480">
        <v>4.87</v>
      </c>
      <c r="Y112" s="480">
        <v>5.73</v>
      </c>
      <c r="Z112" s="481">
        <v>6.61</v>
      </c>
      <c r="AA112" s="480">
        <v>7.53</v>
      </c>
      <c r="AB112" s="320">
        <v>8.46</v>
      </c>
      <c r="AC112" s="482">
        <v>9.41</v>
      </c>
      <c r="AF112" s="405" t="s">
        <v>802</v>
      </c>
      <c r="AG112" s="406">
        <v>38.5</v>
      </c>
      <c r="AH112" s="407">
        <v>24.5</v>
      </c>
      <c r="AI112" s="408">
        <v>0.605</v>
      </c>
      <c r="AJ112" s="407">
        <v>12.9</v>
      </c>
      <c r="AK112" s="408">
        <v>0.96</v>
      </c>
      <c r="AL112" s="410">
        <v>1.46</v>
      </c>
      <c r="AT112" s="100"/>
    </row>
    <row r="113" spans="1:46" ht="12.75">
      <c r="A113" s="62" t="s">
        <v>106</v>
      </c>
      <c r="B113" s="184" t="str">
        <f>IF(AND($D$29=0,$D$30=0,$D$31=0),$N$253,IF(AND($D$29&gt;0,$D$30&gt;0,$D$30&lt;=0.5*$B$45,$D$31=0),$N$281,IF(AND($D$29&gt;0,$D$30&gt;0,$D$30&lt;=0.5*$B$45,$D$31&gt;0),$N$322)))</f>
        <v>N.A.</v>
      </c>
      <c r="C113" s="113" t="s">
        <v>268</v>
      </c>
      <c r="D113" s="440" t="str">
        <f>IF(AND($D$29=0,$D$30=0,$D$31=0),$P$253,IF(AND($D$29&gt;0,$D$30&gt;0,$D$30&lt;=0.5*$B$45,$D$31=0),$P$281,IF(AND($D$29&gt;0,$D$30&gt;0,$D$30&lt;=0.5*$B$45,$D$31&gt;0),$P$322)))</f>
        <v>ho = not applicable for uncoped beam</v>
      </c>
      <c r="E113" s="10"/>
      <c r="F113" s="10"/>
      <c r="G113" s="10"/>
      <c r="H113" s="59"/>
      <c r="I113" s="389"/>
      <c r="M113" s="483">
        <v>0.6</v>
      </c>
      <c r="N113" s="478">
        <v>1.01</v>
      </c>
      <c r="O113" s="479">
        <v>1.28</v>
      </c>
      <c r="P113" s="480">
        <v>1.58</v>
      </c>
      <c r="Q113" s="480">
        <v>1.89</v>
      </c>
      <c r="R113" s="480">
        <v>2.22</v>
      </c>
      <c r="S113" s="480">
        <v>2.56</v>
      </c>
      <c r="T113" s="480">
        <v>2.9</v>
      </c>
      <c r="U113" s="320">
        <v>3.26</v>
      </c>
      <c r="V113" s="480">
        <v>3.62</v>
      </c>
      <c r="W113" s="480">
        <v>4</v>
      </c>
      <c r="X113" s="480">
        <v>4.39</v>
      </c>
      <c r="Y113" s="480">
        <v>5.19</v>
      </c>
      <c r="Z113" s="481">
        <v>6.04</v>
      </c>
      <c r="AA113" s="480">
        <v>6.91</v>
      </c>
      <c r="AB113" s="480">
        <v>7.81</v>
      </c>
      <c r="AC113" s="482">
        <v>8.73</v>
      </c>
      <c r="AF113" s="405" t="s">
        <v>803</v>
      </c>
      <c r="AG113" s="406">
        <v>34.4</v>
      </c>
      <c r="AH113" s="407">
        <v>24.3</v>
      </c>
      <c r="AI113" s="408">
        <v>0.55</v>
      </c>
      <c r="AJ113" s="407">
        <v>12.8</v>
      </c>
      <c r="AK113" s="408">
        <v>0.85</v>
      </c>
      <c r="AL113" s="410">
        <v>1.35</v>
      </c>
      <c r="AT113" s="100"/>
    </row>
    <row r="114" spans="1:46" ht="12.75">
      <c r="A114" s="69" t="s">
        <v>75</v>
      </c>
      <c r="B114" s="175">
        <f>IF(AND($D$29=0,$D$30=0,$D$31=0),$N$254,IF(AND($D$29&gt;0,$D$30&gt;0,$D$30&lt;=0.5*$B$45,$D$31=0),$N$282,IF(AND($D$29&gt;0,$D$30&gt;0,$D$30&lt;=0.5*$B$45,$D$31&gt;0),$N$323)))</f>
        <v>6.39</v>
      </c>
      <c r="C114" s="113" t="s">
        <v>243</v>
      </c>
      <c r="D114" s="440" t="str">
        <f>IF(AND($D$29=0,$D$30=0,$D$31=0),$P$254,IF(AND($D$29&gt;0,$D$30&gt;0,$D$30&lt;=0.5*$B$45,$D$31=0),$P$282,IF(AND($D$29&gt;0,$D$30&gt;0,$D$30&lt;=0.5*$B$45,$D$31&gt;0),$P$323)))</f>
        <v>Avg = d*tw</v>
      </c>
      <c r="E114" s="10"/>
      <c r="F114" s="10"/>
      <c r="G114" s="10"/>
      <c r="H114" s="10"/>
      <c r="I114" s="389"/>
      <c r="M114" s="483">
        <v>0.7</v>
      </c>
      <c r="N114" s="478">
        <v>0.893</v>
      </c>
      <c r="O114" s="479">
        <v>1.13</v>
      </c>
      <c r="P114" s="480">
        <v>1.39</v>
      </c>
      <c r="Q114" s="480">
        <v>1.68</v>
      </c>
      <c r="R114" s="480">
        <v>1.97</v>
      </c>
      <c r="S114" s="480">
        <v>2.29</v>
      </c>
      <c r="T114" s="480">
        <v>2.6</v>
      </c>
      <c r="U114" s="480">
        <v>2.93</v>
      </c>
      <c r="V114" s="320">
        <v>3.27</v>
      </c>
      <c r="W114" s="480">
        <v>3.62</v>
      </c>
      <c r="X114" s="480">
        <v>3.98</v>
      </c>
      <c r="Y114" s="480">
        <v>4.74</v>
      </c>
      <c r="Z114" s="481">
        <v>5.54</v>
      </c>
      <c r="AA114" s="480">
        <v>6.37</v>
      </c>
      <c r="AB114" s="480">
        <v>7.24</v>
      </c>
      <c r="AC114" s="482">
        <v>8.13</v>
      </c>
      <c r="AF114" s="405" t="s">
        <v>804</v>
      </c>
      <c r="AG114" s="406">
        <v>30.6</v>
      </c>
      <c r="AH114" s="407">
        <v>24.1</v>
      </c>
      <c r="AI114" s="408">
        <v>0.5</v>
      </c>
      <c r="AJ114" s="407">
        <v>12.8</v>
      </c>
      <c r="AK114" s="408">
        <v>0.75</v>
      </c>
      <c r="AL114" s="410">
        <v>1.25</v>
      </c>
      <c r="AT114" s="100"/>
    </row>
    <row r="115" spans="1:46" ht="12.75">
      <c r="A115" s="69" t="s">
        <v>252</v>
      </c>
      <c r="B115" s="183">
        <f>IF(AND($D$29=0,$D$30=0,$D$31=0),$N$258,IF(AND($D$29&gt;0,$D$30&gt;0,$D$30&lt;=0.5*$B$45,$D$31=0),$N$286,IF(AND($D$29&gt;0,$D$30&gt;0,$D$30&lt;=0.5*$B$45,$D$31&gt;0),$N$327)))</f>
        <v>127.8</v>
      </c>
      <c r="C115" s="113" t="s">
        <v>237</v>
      </c>
      <c r="D115" s="441" t="str">
        <f>IF(AND($D$29=0,$D$30=0,$D$31=0),$P$258,IF(AND($D$29&gt;0,$D$30&gt;0,$D$30&lt;=0.5*$B$45,$D$31=0),$P$286,IF(AND($D$29&gt;0,$D$30&gt;0,$D$30&lt;=0.5*$B$45,$D$31&gt;0),$P$327)))</f>
        <v>Rvg = (1/1.5)*0.60*Fyb*Cv*Avg</v>
      </c>
      <c r="E115" s="10"/>
      <c r="F115" s="10"/>
      <c r="G115" s="10"/>
      <c r="H115" s="10"/>
      <c r="I115" s="389" t="str">
        <f>IF($B$115&gt;=$D$16,"Rvg &gt;= R,  O.K.  ","Rvg &lt; R, N.G.  ")</f>
        <v>Rvg &gt;= R,  O.K.  </v>
      </c>
      <c r="M115" s="483">
        <v>0.8</v>
      </c>
      <c r="N115" s="478">
        <v>0.797</v>
      </c>
      <c r="O115" s="479">
        <v>1.01</v>
      </c>
      <c r="P115" s="480">
        <v>1.25</v>
      </c>
      <c r="Q115" s="480">
        <v>1.5</v>
      </c>
      <c r="R115" s="480">
        <v>1.77</v>
      </c>
      <c r="S115" s="480">
        <v>2.06</v>
      </c>
      <c r="T115" s="320">
        <v>2.35</v>
      </c>
      <c r="U115" s="480">
        <v>2.65</v>
      </c>
      <c r="V115" s="320">
        <v>2.96</v>
      </c>
      <c r="W115" s="480">
        <v>3.29</v>
      </c>
      <c r="X115" s="480">
        <v>3.63</v>
      </c>
      <c r="Y115" s="480">
        <v>4.35</v>
      </c>
      <c r="Z115" s="481">
        <v>5.11</v>
      </c>
      <c r="AA115" s="480">
        <v>5.91</v>
      </c>
      <c r="AB115" s="480">
        <v>6.74</v>
      </c>
      <c r="AC115" s="321">
        <v>7.6</v>
      </c>
      <c r="AF115" s="405" t="s">
        <v>805</v>
      </c>
      <c r="AG115" s="406">
        <v>30.3</v>
      </c>
      <c r="AH115" s="407">
        <v>24.5</v>
      </c>
      <c r="AI115" s="408">
        <v>0.55</v>
      </c>
      <c r="AJ115" s="409">
        <v>9</v>
      </c>
      <c r="AK115" s="408">
        <v>0.98</v>
      </c>
      <c r="AL115" s="410">
        <v>1.48</v>
      </c>
      <c r="AN115" s="50" t="s">
        <v>388</v>
      </c>
      <c r="AO115" s="100">
        <f>$D$16/$B$115</f>
        <v>0.3129890453834116</v>
      </c>
      <c r="AT115" s="100"/>
    </row>
    <row r="116" spans="1:46" ht="12.75">
      <c r="A116" s="19"/>
      <c r="B116" s="10"/>
      <c r="C116" s="10"/>
      <c r="D116" s="10"/>
      <c r="E116" s="10"/>
      <c r="F116" s="10"/>
      <c r="G116" s="10"/>
      <c r="H116" s="10"/>
      <c r="I116" s="389"/>
      <c r="M116" s="483">
        <v>0.9</v>
      </c>
      <c r="N116" s="478">
        <v>0.719</v>
      </c>
      <c r="O116" s="479">
        <v>0.911</v>
      </c>
      <c r="P116" s="480">
        <v>1.12</v>
      </c>
      <c r="Q116" s="480">
        <v>1.35</v>
      </c>
      <c r="R116" s="480">
        <v>1.6</v>
      </c>
      <c r="S116" s="480">
        <v>1.87</v>
      </c>
      <c r="T116" s="480">
        <v>2.14</v>
      </c>
      <c r="U116" s="480">
        <v>2.41</v>
      </c>
      <c r="V116" s="480">
        <v>2.71</v>
      </c>
      <c r="W116" s="480">
        <v>3.01</v>
      </c>
      <c r="X116" s="480">
        <v>3.33</v>
      </c>
      <c r="Y116" s="480">
        <v>4.01</v>
      </c>
      <c r="Z116" s="481">
        <v>4.73</v>
      </c>
      <c r="AA116" s="320">
        <v>5.49</v>
      </c>
      <c r="AB116" s="480">
        <v>6.28</v>
      </c>
      <c r="AC116" s="321">
        <v>7.11</v>
      </c>
      <c r="AF116" s="405" t="s">
        <v>806</v>
      </c>
      <c r="AG116" s="406">
        <v>27.7</v>
      </c>
      <c r="AH116" s="407">
        <v>24.3</v>
      </c>
      <c r="AI116" s="408">
        <v>0.515</v>
      </c>
      <c r="AJ116" s="409">
        <v>9.07</v>
      </c>
      <c r="AK116" s="408">
        <v>0.875</v>
      </c>
      <c r="AL116" s="410">
        <v>1.38</v>
      </c>
      <c r="AN116" s="50"/>
      <c r="AO116" s="100"/>
      <c r="AT116" s="100"/>
    </row>
    <row r="117" spans="1:41" ht="12.75">
      <c r="A117" s="73" t="str">
        <f>IF(AND($D$29=0,$D$30=0,$D$31=0),$M$259,IF(AND($D$29&gt;0,$D$30&gt;0,$D$31=0),$M$287,IF(AND($D$29&gt;0,$D$30&gt;0,$D$31&gt;0),$M$328)))</f>
        <v>  Shear Rupture Capacity of Beam Web:</v>
      </c>
      <c r="B117" s="10"/>
      <c r="C117" s="10"/>
      <c r="D117" s="10"/>
      <c r="E117" s="10"/>
      <c r="F117" s="10"/>
      <c r="G117" s="10"/>
      <c r="H117" s="10"/>
      <c r="I117" s="389"/>
      <c r="M117" s="487">
        <v>1</v>
      </c>
      <c r="N117" s="478">
        <v>0.653</v>
      </c>
      <c r="O117" s="479">
        <v>0.828</v>
      </c>
      <c r="P117" s="320">
        <v>1.02</v>
      </c>
      <c r="Q117" s="480">
        <v>1.23</v>
      </c>
      <c r="R117" s="480">
        <v>1.46</v>
      </c>
      <c r="S117" s="480">
        <v>1.7</v>
      </c>
      <c r="T117" s="480">
        <v>1.96</v>
      </c>
      <c r="U117" s="480">
        <v>2.21</v>
      </c>
      <c r="V117" s="480">
        <v>2.49</v>
      </c>
      <c r="W117" s="480">
        <v>2.78</v>
      </c>
      <c r="X117" s="480">
        <v>3.08</v>
      </c>
      <c r="Y117" s="480">
        <v>3.72</v>
      </c>
      <c r="Z117" s="481">
        <v>4.4</v>
      </c>
      <c r="AA117" s="480">
        <v>5.12</v>
      </c>
      <c r="AB117" s="480">
        <v>5.88</v>
      </c>
      <c r="AC117" s="482">
        <v>6.67</v>
      </c>
      <c r="AF117" s="405" t="s">
        <v>807</v>
      </c>
      <c r="AG117" s="406">
        <v>24.7</v>
      </c>
      <c r="AH117" s="407">
        <v>24.1</v>
      </c>
      <c r="AI117" s="408">
        <v>0.47</v>
      </c>
      <c r="AJ117" s="409">
        <v>9.02</v>
      </c>
      <c r="AK117" s="408">
        <v>0.77</v>
      </c>
      <c r="AL117" s="410">
        <v>1.27</v>
      </c>
      <c r="AN117" s="50"/>
      <c r="AO117" s="100"/>
    </row>
    <row r="118" spans="1:46" ht="12.75">
      <c r="A118" s="69" t="s">
        <v>253</v>
      </c>
      <c r="B118" s="184" t="str">
        <f>IF(AND($D$29=0,$D$30=0,$D$31=0),$N$260,IF(AND($D$29&gt;0,$D$30&gt;0,$D$30&lt;=0.5*$B$45,$D$31=0),$N$288,IF(AND($D$29&gt;0,$D$30&gt;0,$D$30&lt;=0.5*$B$45,$D$31&gt;0),$N$329)))</f>
        <v>N.A.</v>
      </c>
      <c r="C118" s="113" t="s">
        <v>243</v>
      </c>
      <c r="D118" s="440" t="str">
        <f>IF(AND($D$29=0,$D$30=0,$D$31=0),$P$260,IF(AND($D$29&gt;0,$D$30&gt;0,$D$30&lt;=0.5*$B$45,$D$31=0),$P$288,IF(AND($D$29&gt;0,$D$30&gt;0,$D$30&lt;=0.5*$B$45,$D$31&gt;0),$P$329)))</f>
        <v>Avn = not applicable for uncoped beam</v>
      </c>
      <c r="E118" s="10"/>
      <c r="F118" s="10"/>
      <c r="G118" s="10"/>
      <c r="H118" s="10"/>
      <c r="I118" s="389"/>
      <c r="M118" s="487">
        <v>1.2</v>
      </c>
      <c r="N118" s="478">
        <v>0.551</v>
      </c>
      <c r="O118" s="479">
        <v>0.699</v>
      </c>
      <c r="P118" s="480">
        <v>0.861</v>
      </c>
      <c r="Q118" s="480">
        <v>1.04</v>
      </c>
      <c r="R118" s="480">
        <v>1.24</v>
      </c>
      <c r="S118" s="480">
        <v>1.45</v>
      </c>
      <c r="T118" s="480">
        <v>1.67</v>
      </c>
      <c r="U118" s="480">
        <v>1.9</v>
      </c>
      <c r="V118" s="480">
        <v>2.14</v>
      </c>
      <c r="W118" s="480">
        <v>2.39</v>
      </c>
      <c r="X118" s="480">
        <v>2.66</v>
      </c>
      <c r="Y118" s="480">
        <v>3.23</v>
      </c>
      <c r="Z118" s="481">
        <v>3.84</v>
      </c>
      <c r="AA118" s="480">
        <v>4.49</v>
      </c>
      <c r="AB118" s="480">
        <v>5.18</v>
      </c>
      <c r="AC118" s="482">
        <v>5.9</v>
      </c>
      <c r="AF118" s="405" t="s">
        <v>808</v>
      </c>
      <c r="AG118" s="406">
        <v>22.4</v>
      </c>
      <c r="AH118" s="407">
        <v>23.9</v>
      </c>
      <c r="AI118" s="408">
        <v>0.44</v>
      </c>
      <c r="AJ118" s="409">
        <v>8.99</v>
      </c>
      <c r="AK118" s="408">
        <v>0.68</v>
      </c>
      <c r="AL118" s="410">
        <v>1.18</v>
      </c>
      <c r="AN118" s="50"/>
      <c r="AO118" s="100"/>
      <c r="AT118" s="100"/>
    </row>
    <row r="119" spans="1:46" ht="12.75">
      <c r="A119" s="69" t="s">
        <v>254</v>
      </c>
      <c r="B119" s="183" t="str">
        <f>IF(AND($D$29=0,$D$30=0,$D$31=0),$N$261,IF(AND($D$29&gt;0,$D$30&gt;0,$D$30&lt;=0.5*$B$45,$D$31=0),$N$289,IF(AND($D$29&gt;0,$D$30&gt;0,$D$30&lt;=0.5*$B$45,$D$31&gt;0),$N$330)))</f>
        <v>N.A.</v>
      </c>
      <c r="C119" s="113" t="s">
        <v>237</v>
      </c>
      <c r="D119" s="441" t="str">
        <f>IF(AND($D$29=0,$D$30=0,$D$31=0),$P$261,IF(AND($D$29&gt;0,$D$30&gt;0,$D$30&lt;=0.5*$B$45,$D$31=0),$P$289,IF(AND($D$29&gt;0,$D$30&gt;0,$D$30&lt;=0.5*$B$45,$D$31&gt;0),$P$330)))</f>
        <v>Rvn = (1/2)*0.60*Fub*Avn</v>
      </c>
      <c r="E119" s="10"/>
      <c r="F119" s="10"/>
      <c r="G119" s="10"/>
      <c r="H119" s="10"/>
      <c r="I119" s="389">
        <f>IF($B$119="N.A.","",IF($B$119&gt;=$D$16,"Rvn &gt;= R,  O.K.  ","Rvn &lt; R, N.G.  "))</f>
      </c>
      <c r="M119" s="487">
        <v>1.4</v>
      </c>
      <c r="N119" s="478">
        <v>0.476</v>
      </c>
      <c r="O119" s="479">
        <v>0.603</v>
      </c>
      <c r="P119" s="480">
        <v>0.744</v>
      </c>
      <c r="Q119" s="480">
        <v>0.9</v>
      </c>
      <c r="R119" s="480">
        <v>1.07</v>
      </c>
      <c r="S119" s="480">
        <v>1.26</v>
      </c>
      <c r="T119" s="480">
        <v>1.46</v>
      </c>
      <c r="U119" s="480">
        <v>1.66</v>
      </c>
      <c r="V119" s="480">
        <v>1.87</v>
      </c>
      <c r="W119" s="480">
        <v>2.1</v>
      </c>
      <c r="X119" s="480">
        <v>2.33</v>
      </c>
      <c r="Y119" s="480">
        <v>2.84</v>
      </c>
      <c r="Z119" s="481">
        <v>3.39</v>
      </c>
      <c r="AA119" s="480">
        <v>3.98</v>
      </c>
      <c r="AB119" s="320">
        <v>4.6</v>
      </c>
      <c r="AC119" s="482">
        <v>5.26</v>
      </c>
      <c r="AF119" s="405" t="s">
        <v>809</v>
      </c>
      <c r="AG119" s="406">
        <v>20.1</v>
      </c>
      <c r="AH119" s="407">
        <v>23.7</v>
      </c>
      <c r="AI119" s="408">
        <v>0.415</v>
      </c>
      <c r="AJ119" s="409">
        <v>8.97</v>
      </c>
      <c r="AK119" s="408">
        <v>0.585</v>
      </c>
      <c r="AL119" s="410">
        <v>1.09</v>
      </c>
      <c r="AN119" s="50" t="str">
        <f>IF(AO119="","N.A.","SR =")</f>
        <v>N.A.</v>
      </c>
      <c r="AO119" s="100">
        <f>IF($B$119="N.A.","",$D$16/$B$119)</f>
      </c>
      <c r="AT119" s="100"/>
    </row>
    <row r="120" spans="1:46" ht="12.75">
      <c r="A120" s="19"/>
      <c r="B120" s="10"/>
      <c r="C120" s="10"/>
      <c r="D120" s="10"/>
      <c r="E120" s="10"/>
      <c r="F120" s="10"/>
      <c r="G120" s="10"/>
      <c r="H120" s="10"/>
      <c r="I120" s="389"/>
      <c r="M120" s="487">
        <v>1.6</v>
      </c>
      <c r="N120" s="478">
        <v>0.419</v>
      </c>
      <c r="O120" s="479">
        <v>0.531</v>
      </c>
      <c r="P120" s="480">
        <v>0.655</v>
      </c>
      <c r="Q120" s="480">
        <v>0.793</v>
      </c>
      <c r="R120" s="480">
        <v>0.944</v>
      </c>
      <c r="S120" s="480">
        <v>1.11</v>
      </c>
      <c r="T120" s="480">
        <v>1.29</v>
      </c>
      <c r="U120" s="480">
        <v>1.47</v>
      </c>
      <c r="V120" s="480">
        <v>1.66</v>
      </c>
      <c r="W120" s="480">
        <v>1.86</v>
      </c>
      <c r="X120" s="480">
        <v>2.08</v>
      </c>
      <c r="Y120" s="480">
        <v>2.53</v>
      </c>
      <c r="Z120" s="481">
        <v>3.03</v>
      </c>
      <c r="AA120" s="480">
        <v>3.57</v>
      </c>
      <c r="AB120" s="480">
        <v>4.14</v>
      </c>
      <c r="AC120" s="482">
        <v>4.75</v>
      </c>
      <c r="AF120" s="405" t="s">
        <v>810</v>
      </c>
      <c r="AG120" s="406">
        <v>18.2</v>
      </c>
      <c r="AH120" s="407">
        <v>23.7</v>
      </c>
      <c r="AI120" s="408">
        <v>0.43</v>
      </c>
      <c r="AJ120" s="409">
        <v>7.04</v>
      </c>
      <c r="AK120" s="408">
        <v>0.59</v>
      </c>
      <c r="AL120" s="410">
        <v>1.09</v>
      </c>
      <c r="AT120" s="100"/>
    </row>
    <row r="121" spans="1:41" ht="12.75">
      <c r="A121" s="73" t="str">
        <f>IF(AND($D$29=0,$D$30=0,$D$31=0),$M$262,IF(AND($D$29&gt;0,$D$30&gt;0,$D$31=0),$M$290,IF(AND($D$29&gt;0,$D$30&gt;0,$D$31&gt;0),$M$331)))</f>
        <v>  Gross Tension Capacity of Beam:</v>
      </c>
      <c r="B121" s="10"/>
      <c r="C121" s="10"/>
      <c r="D121" s="10"/>
      <c r="E121" s="10"/>
      <c r="F121" s="10"/>
      <c r="G121" s="10"/>
      <c r="H121" s="10"/>
      <c r="I121" s="389"/>
      <c r="M121" s="487">
        <v>1.8</v>
      </c>
      <c r="N121" s="478">
        <v>0.373</v>
      </c>
      <c r="O121" s="324">
        <v>0.473</v>
      </c>
      <c r="P121" s="480">
        <v>0.584</v>
      </c>
      <c r="Q121" s="480">
        <v>0.708</v>
      </c>
      <c r="R121" s="480">
        <v>0.844</v>
      </c>
      <c r="S121" s="480">
        <v>0.995</v>
      </c>
      <c r="T121" s="480">
        <v>1.16</v>
      </c>
      <c r="U121" s="480">
        <v>1.32</v>
      </c>
      <c r="V121" s="480">
        <v>1.49</v>
      </c>
      <c r="W121" s="480">
        <v>1.67</v>
      </c>
      <c r="X121" s="480">
        <v>1.87</v>
      </c>
      <c r="Y121" s="480">
        <v>2.28</v>
      </c>
      <c r="Z121" s="481">
        <v>2.73</v>
      </c>
      <c r="AA121" s="480">
        <v>3.23</v>
      </c>
      <c r="AB121" s="480">
        <v>3.75</v>
      </c>
      <c r="AC121" s="321">
        <v>4.31</v>
      </c>
      <c r="AF121" s="405" t="s">
        <v>811</v>
      </c>
      <c r="AG121" s="406">
        <v>16.2</v>
      </c>
      <c r="AH121" s="407">
        <v>23.6</v>
      </c>
      <c r="AI121" s="408">
        <v>0.395</v>
      </c>
      <c r="AJ121" s="409">
        <v>7.01</v>
      </c>
      <c r="AK121" s="408">
        <v>0.505</v>
      </c>
      <c r="AL121" s="410">
        <v>1.01</v>
      </c>
      <c r="AN121" s="50"/>
      <c r="AO121" s="100"/>
    </row>
    <row r="122" spans="1:41" ht="12.75">
      <c r="A122" s="51" t="s">
        <v>35</v>
      </c>
      <c r="B122" s="184">
        <f>IF(AND($D$29=0,$D$30=0,$D$31=0),$N$263,IF(AND($D$29&gt;0,$D$30&gt;0,$D$30&lt;=0.5*$B$45,$D$31=0),$N$291,IF(AND($D$29&gt;0,$D$30&gt;0,$D$30&lt;=0.5*$B$45,$D$31&gt;0),$N$332)))</f>
        <v>14.7</v>
      </c>
      <c r="C122" s="10"/>
      <c r="D122" s="440" t="str">
        <f>IF(AND($D$29=0,$D$30=0,$D$31=0),$P$263,IF(AND($D$29&gt;0,$D$30&gt;0,$D$30&lt;=0.5*$B$45,$D$31=0),$P$291,IF(AND($D$29&gt;0,$D$30&gt;0,$D$30&lt;=0.5*$B$45,$D$31&gt;0),$P$332)))</f>
        <v>Atg = A</v>
      </c>
      <c r="E122" s="10"/>
      <c r="F122" s="10"/>
      <c r="G122" s="10"/>
      <c r="H122" s="10"/>
      <c r="I122" s="389"/>
      <c r="M122" s="487">
        <v>2</v>
      </c>
      <c r="N122" s="478">
        <v>0.337</v>
      </c>
      <c r="O122" s="488">
        <v>0.427</v>
      </c>
      <c r="P122" s="489">
        <v>0.527</v>
      </c>
      <c r="Q122" s="489">
        <v>0.639</v>
      </c>
      <c r="R122" s="489">
        <v>0.763</v>
      </c>
      <c r="S122" s="489">
        <v>0.9</v>
      </c>
      <c r="T122" s="489">
        <v>1.05</v>
      </c>
      <c r="U122" s="489">
        <v>1.19</v>
      </c>
      <c r="V122" s="489">
        <v>1.35</v>
      </c>
      <c r="W122" s="489">
        <v>1.52</v>
      </c>
      <c r="X122" s="489">
        <v>1.69</v>
      </c>
      <c r="Y122" s="489">
        <v>2.07</v>
      </c>
      <c r="Z122" s="490">
        <v>2.49</v>
      </c>
      <c r="AA122" s="489">
        <v>2.94</v>
      </c>
      <c r="AB122" s="489">
        <v>3.43</v>
      </c>
      <c r="AC122" s="491">
        <v>3.95</v>
      </c>
      <c r="AF122" s="405" t="s">
        <v>812</v>
      </c>
      <c r="AG122" s="406">
        <v>59.2</v>
      </c>
      <c r="AH122" s="407">
        <v>23</v>
      </c>
      <c r="AI122" s="408">
        <v>0.91</v>
      </c>
      <c r="AJ122" s="407">
        <v>12.6</v>
      </c>
      <c r="AK122" s="409">
        <v>1.63</v>
      </c>
      <c r="AL122" s="410">
        <v>2.13</v>
      </c>
      <c r="AN122" s="50"/>
      <c r="AO122" s="100"/>
    </row>
    <row r="123" spans="1:41" ht="12.75">
      <c r="A123" s="51" t="s">
        <v>36</v>
      </c>
      <c r="B123" s="183">
        <f>IF(AND($D$29=0,$D$30=0,$D$31=0),$N$264,IF(AND($D$29&gt;0,$D$30&gt;0,$D$30&lt;=0.5*$B$45,$D$31=0),$N$292,IF(AND($D$29&gt;0,$D$30&gt;0,$D$30&lt;=0.5*$B$45,$D$31&gt;0),$N$333)))</f>
        <v>397.7986951442615</v>
      </c>
      <c r="C123" s="10"/>
      <c r="D123" s="441" t="str">
        <f>IF(AND($D$29=0,$D$30=0,$D$31=0),$P$264,IF(AND($D$29&gt;0,$D$30&gt;0,$D$30&lt;=0.5*$B$45,$D$31=0),$P$292,IF(AND($D$29&gt;0,$D$30&gt;0,$D$30&lt;=0.5*$B$45,$D$31&gt;0),$P$333)))</f>
        <v>Rtg = (0.60*Fyb*Atg)*(1-(R/Rvg)^2)</v>
      </c>
      <c r="E123" s="10"/>
      <c r="F123" s="10"/>
      <c r="G123" s="10"/>
      <c r="H123" s="10"/>
      <c r="I123" s="389" t="str">
        <f>IF($D$17&gt;0,IF($B$123&gt;=$D$17,"Rtg &gt;= P,  O.K.  ","Rtg &lt; P, N.G.  "),"")</f>
        <v>Rtg &gt;= P,  O.K.  </v>
      </c>
      <c r="M123" s="487">
        <v>2.2</v>
      </c>
      <c r="N123" s="492">
        <v>0.307</v>
      </c>
      <c r="O123" s="479">
        <v>0.388</v>
      </c>
      <c r="P123" s="480">
        <v>0.48</v>
      </c>
      <c r="Q123" s="480">
        <v>0.583</v>
      </c>
      <c r="R123" s="480">
        <v>0.696</v>
      </c>
      <c r="S123" s="480">
        <v>0.821</v>
      </c>
      <c r="T123" s="480">
        <v>0.956</v>
      </c>
      <c r="U123" s="480">
        <v>1.09</v>
      </c>
      <c r="V123" s="320">
        <v>1.23</v>
      </c>
      <c r="W123" s="480">
        <v>1.39</v>
      </c>
      <c r="X123" s="320">
        <v>1.55</v>
      </c>
      <c r="Y123" s="480">
        <v>1.9</v>
      </c>
      <c r="Z123" s="480">
        <v>2.28</v>
      </c>
      <c r="AA123" s="480">
        <v>2.7</v>
      </c>
      <c r="AB123" s="480">
        <v>3.15</v>
      </c>
      <c r="AC123" s="482">
        <v>3.64</v>
      </c>
      <c r="AF123" s="405" t="s">
        <v>813</v>
      </c>
      <c r="AG123" s="406">
        <v>53.6</v>
      </c>
      <c r="AH123" s="407">
        <v>22.7</v>
      </c>
      <c r="AI123" s="408">
        <v>0.83</v>
      </c>
      <c r="AJ123" s="407">
        <v>12.5</v>
      </c>
      <c r="AK123" s="409">
        <v>1.48</v>
      </c>
      <c r="AL123" s="410">
        <v>1.98</v>
      </c>
      <c r="AN123" s="50" t="str">
        <f>IF(AO123="","N.A.","SR =")</f>
        <v>SR =</v>
      </c>
      <c r="AO123" s="100">
        <f>IF($D$17&gt;0,$D$17/$B$123,"")</f>
        <v>0.012569171445338081</v>
      </c>
    </row>
    <row r="124" spans="1:41" ht="12.75">
      <c r="A124" s="19"/>
      <c r="B124" s="10"/>
      <c r="C124" s="10"/>
      <c r="D124" s="10"/>
      <c r="E124" s="10"/>
      <c r="F124" s="10"/>
      <c r="G124" s="10"/>
      <c r="H124" s="10"/>
      <c r="I124" s="389"/>
      <c r="M124" s="487">
        <v>2.4</v>
      </c>
      <c r="N124" s="478">
        <v>0.281</v>
      </c>
      <c r="O124" s="493">
        <v>0.356</v>
      </c>
      <c r="P124" s="494">
        <v>0.44</v>
      </c>
      <c r="Q124" s="326">
        <v>0.535</v>
      </c>
      <c r="R124" s="494">
        <v>0.639</v>
      </c>
      <c r="S124" s="494">
        <v>0.755</v>
      </c>
      <c r="T124" s="494">
        <v>0.879</v>
      </c>
      <c r="U124" s="494">
        <v>1</v>
      </c>
      <c r="V124" s="495">
        <v>1.14</v>
      </c>
      <c r="W124" s="494">
        <v>1.28</v>
      </c>
      <c r="X124" s="494">
        <v>1.43</v>
      </c>
      <c r="Y124" s="495">
        <v>1.75</v>
      </c>
      <c r="Z124" s="496">
        <v>2.11</v>
      </c>
      <c r="AA124" s="494">
        <v>2.5</v>
      </c>
      <c r="AB124" s="494">
        <v>2.92</v>
      </c>
      <c r="AC124" s="497">
        <v>3.37</v>
      </c>
      <c r="AF124" s="405" t="s">
        <v>814</v>
      </c>
      <c r="AG124" s="406">
        <v>48.8</v>
      </c>
      <c r="AH124" s="407">
        <v>22.5</v>
      </c>
      <c r="AI124" s="408">
        <v>0.75</v>
      </c>
      <c r="AJ124" s="407">
        <v>12.4</v>
      </c>
      <c r="AK124" s="409">
        <v>1.36</v>
      </c>
      <c r="AL124" s="410">
        <v>1.86</v>
      </c>
      <c r="AN124" s="50"/>
      <c r="AO124" s="100"/>
    </row>
    <row r="125" spans="1:41" ht="12.75">
      <c r="A125" s="73" t="str">
        <f>IF(AND($D$29=0,$D$30=0,$D$31=0),$M$265,IF(AND($D$29&gt;0,$D$30&gt;0,$D$31=0),$M$293,IF(AND($D$29&gt;0,$D$30&gt;0,$D$31&gt;0),$M$334)))</f>
        <v>  Block Shear ("L-shaped") Capacity of Beam Web:</v>
      </c>
      <c r="B125" s="45"/>
      <c r="C125" s="129"/>
      <c r="D125" s="45"/>
      <c r="E125" s="10"/>
      <c r="F125" s="10"/>
      <c r="G125" s="10"/>
      <c r="H125" s="10"/>
      <c r="I125" s="389"/>
      <c r="M125" s="487">
        <v>2.6</v>
      </c>
      <c r="N125" s="478">
        <v>0.26</v>
      </c>
      <c r="O125" s="324">
        <v>0.329</v>
      </c>
      <c r="P125" s="480">
        <v>0.407</v>
      </c>
      <c r="Q125" s="480">
        <v>0.493</v>
      </c>
      <c r="R125" s="480">
        <v>0.592</v>
      </c>
      <c r="S125" s="480">
        <v>0.699</v>
      </c>
      <c r="T125" s="480">
        <v>0.813</v>
      </c>
      <c r="U125" s="319">
        <v>0.929</v>
      </c>
      <c r="V125" s="480">
        <v>1.05</v>
      </c>
      <c r="W125" s="480">
        <v>1.19</v>
      </c>
      <c r="X125" s="480">
        <v>1.32</v>
      </c>
      <c r="Y125" s="480">
        <v>1.62</v>
      </c>
      <c r="Z125" s="485">
        <v>1.96</v>
      </c>
      <c r="AA125" s="480">
        <v>2.32</v>
      </c>
      <c r="AB125" s="480">
        <v>2.71</v>
      </c>
      <c r="AC125" s="482">
        <v>3.14</v>
      </c>
      <c r="AF125" s="405" t="s">
        <v>815</v>
      </c>
      <c r="AG125" s="406">
        <v>43.2</v>
      </c>
      <c r="AH125" s="407">
        <v>22.1</v>
      </c>
      <c r="AI125" s="408">
        <v>0.72</v>
      </c>
      <c r="AJ125" s="407">
        <v>12.5</v>
      </c>
      <c r="AK125" s="409">
        <v>1.15</v>
      </c>
      <c r="AL125" s="410">
        <v>1.65</v>
      </c>
      <c r="AN125" s="50"/>
      <c r="AO125" s="100"/>
    </row>
    <row r="126" spans="1:41" ht="12.75">
      <c r="A126" s="69" t="s">
        <v>601</v>
      </c>
      <c r="B126" s="184" t="str">
        <f>IF(AND($D$29=0,$D$30=0,$D$31=0),$N$266,IF(AND($D$29&gt;0,$D$30&gt;0,$D$31=0),$N$294,IF(AND($D$29&gt;0,$D$30&gt;0,$D$31&gt;0),$N$335)))</f>
        <v>N.A.</v>
      </c>
      <c r="C126" s="113" t="s">
        <v>243</v>
      </c>
      <c r="D126" s="52" t="str">
        <f>IF(AND($D$29=0,$D$30=0,$D$31=0),$P$266,IF(AND($D$29&gt;0,$D$30&gt;0,$D$31=0),$P$294,IF(AND($D$29&gt;0,$D$30&gt;0,$D$31&gt;0),$P$335)))</f>
        <v>Agv = not applicable for uncoped beam</v>
      </c>
      <c r="E126" s="10"/>
      <c r="F126" s="10"/>
      <c r="G126" s="10"/>
      <c r="H126" s="10"/>
      <c r="I126" s="389"/>
      <c r="M126" s="487">
        <v>2.8</v>
      </c>
      <c r="N126" s="478">
        <v>0.243</v>
      </c>
      <c r="O126" s="479">
        <v>0.307</v>
      </c>
      <c r="P126" s="480">
        <v>0.379</v>
      </c>
      <c r="Q126" s="480">
        <v>0.459</v>
      </c>
      <c r="R126" s="480">
        <v>0.549</v>
      </c>
      <c r="S126" s="480">
        <v>0.649</v>
      </c>
      <c r="T126" s="480">
        <v>0.757</v>
      </c>
      <c r="U126" s="480">
        <v>0.865</v>
      </c>
      <c r="V126" s="480">
        <v>0.981</v>
      </c>
      <c r="W126" s="480">
        <v>1.1</v>
      </c>
      <c r="X126" s="480">
        <v>1.23</v>
      </c>
      <c r="Y126" s="480">
        <v>1.51</v>
      </c>
      <c r="Z126" s="481">
        <v>1.82</v>
      </c>
      <c r="AA126" s="320">
        <v>2.16</v>
      </c>
      <c r="AB126" s="480">
        <v>2.54</v>
      </c>
      <c r="AC126" s="482">
        <v>2.94</v>
      </c>
      <c r="AF126" s="405" t="s">
        <v>816</v>
      </c>
      <c r="AG126" s="406">
        <v>38.8</v>
      </c>
      <c r="AH126" s="407">
        <v>21.8</v>
      </c>
      <c r="AI126" s="408">
        <v>0.65</v>
      </c>
      <c r="AJ126" s="407">
        <v>12.4</v>
      </c>
      <c r="AK126" s="409">
        <v>1.04</v>
      </c>
      <c r="AL126" s="410">
        <v>1.54</v>
      </c>
      <c r="AN126" s="50"/>
      <c r="AO126" s="100"/>
    </row>
    <row r="127" spans="1:41" ht="12.75">
      <c r="A127" s="69" t="s">
        <v>602</v>
      </c>
      <c r="B127" s="175" t="str">
        <f>IF(AND($D$29=0,$D$30=0,$D$31=0),$N$267,IF(AND($D$29&gt;0,$D$30&gt;0,$D$31=0),$N$295,IF(AND($D$29&gt;0,$D$30&gt;0,$D$31&gt;0),$N$336)))</f>
        <v>N.A.</v>
      </c>
      <c r="C127" s="113" t="s">
        <v>243</v>
      </c>
      <c r="D127" s="52" t="str">
        <f>IF(AND($D$29=0,$D$30=0,$D$31=0),$P$267,IF(AND($D$29&gt;0,$D$30&gt;0,$D$31=0),$P$295,IF(AND($D$29&gt;0,$D$30&gt;0,$D$31&gt;0),$P$336)))</f>
        <v>Ant = not applicable for uncoped beam</v>
      </c>
      <c r="E127" s="10"/>
      <c r="F127" s="10"/>
      <c r="G127" s="10"/>
      <c r="H127" s="10"/>
      <c r="I127" s="389"/>
      <c r="M127" s="498">
        <v>3</v>
      </c>
      <c r="N127" s="499">
        <v>0.227</v>
      </c>
      <c r="O127" s="500">
        <v>0.285</v>
      </c>
      <c r="P127" s="501">
        <v>0.353</v>
      </c>
      <c r="Q127" s="501">
        <v>0.428</v>
      </c>
      <c r="R127" s="322">
        <v>0.515</v>
      </c>
      <c r="S127" s="501">
        <v>0.608</v>
      </c>
      <c r="T127" s="501">
        <v>0.708</v>
      </c>
      <c r="U127" s="501">
        <v>0.809</v>
      </c>
      <c r="V127" s="501">
        <v>0.917</v>
      </c>
      <c r="W127" s="501">
        <v>1.03</v>
      </c>
      <c r="X127" s="501">
        <v>1.15</v>
      </c>
      <c r="Y127" s="501">
        <v>1.42</v>
      </c>
      <c r="Z127" s="502">
        <v>1.71</v>
      </c>
      <c r="AA127" s="501">
        <v>2.03</v>
      </c>
      <c r="AB127" s="501">
        <v>2.38</v>
      </c>
      <c r="AC127" s="503">
        <v>2.76</v>
      </c>
      <c r="AF127" s="405" t="s">
        <v>817</v>
      </c>
      <c r="AG127" s="406">
        <v>35.9</v>
      </c>
      <c r="AH127" s="407">
        <v>21.7</v>
      </c>
      <c r="AI127" s="408">
        <v>0.6</v>
      </c>
      <c r="AJ127" s="407">
        <v>12.4</v>
      </c>
      <c r="AK127" s="408">
        <v>0.96</v>
      </c>
      <c r="AL127" s="410">
        <v>1.46</v>
      </c>
      <c r="AN127" s="50"/>
      <c r="AO127" s="100"/>
    </row>
    <row r="128" spans="1:41" ht="12.75">
      <c r="A128" s="69" t="s">
        <v>220</v>
      </c>
      <c r="B128" s="183" t="str">
        <f>IF(AND($D$29=0,$D$30=0,$D$31=0),$N$268,IF(AND($D$29&gt;0,$D$30&gt;0,$D$31=0),$N$296,IF(AND($D$29&gt;0,$D$30&gt;0,$D$31&gt;0),$N$337)))</f>
        <v>N.A.</v>
      </c>
      <c r="C128" s="113" t="s">
        <v>237</v>
      </c>
      <c r="D128" s="52" t="str">
        <f>IF(AND($D$29=0,$D$30=0,$D$31=0),$P$268,IF(AND($D$29&gt;0,$D$30&gt;0,$D$31=0),$P$296,IF(AND($D$29&gt;0,$D$30&gt;0,$D$31&gt;0),$P$337)))</f>
        <v>Rbs = not applicable for uncoped beam</v>
      </c>
      <c r="E128" s="10"/>
      <c r="F128" s="10"/>
      <c r="G128" s="10"/>
      <c r="H128" s="80"/>
      <c r="I128" s="389">
        <f>IF(AND($D$29=0,$D$30=0,$D$31=0),"",IF($B$128&gt;=$D$16,"Rbs &gt;= R,  O.K.  ","Rbs &lt; R, N.G.  "))</f>
      </c>
      <c r="M128" s="504" t="s">
        <v>526</v>
      </c>
      <c r="N128" s="505">
        <v>0</v>
      </c>
      <c r="O128" s="325">
        <v>0.008</v>
      </c>
      <c r="P128" s="322">
        <v>0.029</v>
      </c>
      <c r="Q128" s="322">
        <v>0.056</v>
      </c>
      <c r="R128" s="322">
        <v>0.089</v>
      </c>
      <c r="S128" s="322">
        <v>0.125</v>
      </c>
      <c r="T128" s="322">
        <v>0.164</v>
      </c>
      <c r="U128" s="322">
        <v>0.204</v>
      </c>
      <c r="V128" s="322">
        <v>0.246</v>
      </c>
      <c r="W128" s="322">
        <v>0.289</v>
      </c>
      <c r="X128" s="322">
        <v>0.333</v>
      </c>
      <c r="Y128" s="322">
        <v>0.424</v>
      </c>
      <c r="Z128" s="506">
        <v>0.516</v>
      </c>
      <c r="AA128" s="322">
        <v>0.61</v>
      </c>
      <c r="AB128" s="322">
        <v>0.704</v>
      </c>
      <c r="AC128" s="323">
        <v>0.8</v>
      </c>
      <c r="AF128" s="405" t="s">
        <v>818</v>
      </c>
      <c r="AG128" s="406">
        <v>32.7</v>
      </c>
      <c r="AH128" s="407">
        <v>21.5</v>
      </c>
      <c r="AI128" s="408">
        <v>0.55</v>
      </c>
      <c r="AJ128" s="407">
        <v>12.3</v>
      </c>
      <c r="AK128" s="408">
        <v>0.875</v>
      </c>
      <c r="AL128" s="410">
        <v>1.38</v>
      </c>
      <c r="AN128" s="50" t="str">
        <f>IF(AO128="","N.A.","SR =")</f>
        <v>N.A.</v>
      </c>
      <c r="AO128" s="100">
        <f>IF(AND($D$29=0,$D$30=0,$D$31=0),"",$D$16/$B$128)</f>
      </c>
    </row>
    <row r="129" spans="1:41" ht="12.75">
      <c r="A129" s="19"/>
      <c r="B129" s="10"/>
      <c r="C129" s="112"/>
      <c r="D129" s="10"/>
      <c r="E129" s="10"/>
      <c r="F129" s="10"/>
      <c r="G129" s="10"/>
      <c r="H129" s="10"/>
      <c r="I129" s="389"/>
      <c r="AF129" s="405" t="s">
        <v>819</v>
      </c>
      <c r="AG129" s="406">
        <v>29.8</v>
      </c>
      <c r="AH129" s="407">
        <v>21.4</v>
      </c>
      <c r="AI129" s="408">
        <v>0.5</v>
      </c>
      <c r="AJ129" s="407">
        <v>12.3</v>
      </c>
      <c r="AK129" s="408">
        <v>0.8</v>
      </c>
      <c r="AL129" s="410">
        <v>1.3</v>
      </c>
      <c r="AN129" s="50"/>
      <c r="AO129" s="100"/>
    </row>
    <row r="130" spans="1:41" ht="12.75">
      <c r="A130" s="73" t="str">
        <f>IF(AND($D$29=0,$D$30=0,$D$31=0),M269,IF(AND($D$29&gt;0,$D$30&gt;0,$D$31=0),M297,IF(AND($D$29&gt;0,$D$30&gt;0,$D$31&gt;0),M338)))</f>
        <v>  Tension Tear-Out ("L-shaped") Capacity of Beam Web:</v>
      </c>
      <c r="B130" s="45"/>
      <c r="C130" s="129"/>
      <c r="D130" s="45"/>
      <c r="E130" s="37"/>
      <c r="F130" s="37"/>
      <c r="G130" s="37"/>
      <c r="H130" s="108"/>
      <c r="I130" s="389"/>
      <c r="M130" s="141" t="s">
        <v>529</v>
      </c>
      <c r="N130" s="463"/>
      <c r="O130" s="107"/>
      <c r="P130" s="463"/>
      <c r="Q130" s="463"/>
      <c r="R130" s="143"/>
      <c r="S130" s="143"/>
      <c r="T130" s="143"/>
      <c r="U130" s="142"/>
      <c r="V130" s="143"/>
      <c r="W130" s="143"/>
      <c r="X130" s="143"/>
      <c r="Y130" s="143"/>
      <c r="Z130" s="144"/>
      <c r="AA130" s="143"/>
      <c r="AB130" s="143"/>
      <c r="AC130" s="144"/>
      <c r="AF130" s="405" t="s">
        <v>820</v>
      </c>
      <c r="AG130" s="406">
        <v>27.3</v>
      </c>
      <c r="AH130" s="407">
        <v>21.6</v>
      </c>
      <c r="AI130" s="408">
        <v>0.58</v>
      </c>
      <c r="AJ130" s="409">
        <v>8.42</v>
      </c>
      <c r="AK130" s="408">
        <v>0.93</v>
      </c>
      <c r="AL130" s="410">
        <v>1.43</v>
      </c>
      <c r="AN130" s="50"/>
      <c r="AO130" s="100"/>
    </row>
    <row r="131" spans="1:41" ht="12.75">
      <c r="A131" s="69" t="s">
        <v>601</v>
      </c>
      <c r="B131" s="184" t="str">
        <f>IF(AND($D$29=0,$D$30=0,$D$31=0),$N$270,IF(AND($D$29&gt;0,$D$30&gt;0,$D$31=0),$N$298,IF(AND($D$29&gt;0,$D$30&gt;0,$D$31&gt;0),$N$339)))</f>
        <v>N.A.</v>
      </c>
      <c r="C131" s="113" t="s">
        <v>243</v>
      </c>
      <c r="D131" s="52" t="str">
        <f>IF(AND($D$29=0,$D$30=0,$D$31=0),$P$270,IF(AND($D$29&gt;0,$D$30&gt;0,$D$31=0),$P$298,IF(AND($D$29&gt;0,$D$30&gt;0,$D$31&gt;0),$P$339)))</f>
        <v>Agv = not applicable for uncoped beam</v>
      </c>
      <c r="E131" s="37"/>
      <c r="F131" s="37"/>
      <c r="G131" s="25"/>
      <c r="H131" s="25"/>
      <c r="I131" s="389"/>
      <c r="M131" s="464"/>
      <c r="N131" s="141" t="s">
        <v>323</v>
      </c>
      <c r="O131" s="107"/>
      <c r="P131" s="143"/>
      <c r="Q131" s="143"/>
      <c r="R131" s="143"/>
      <c r="S131" s="143"/>
      <c r="T131" s="465"/>
      <c r="U131" s="143"/>
      <c r="V131" s="143"/>
      <c r="W131" s="143"/>
      <c r="X131" s="143"/>
      <c r="Y131" s="156"/>
      <c r="Z131" s="144"/>
      <c r="AA131" s="143"/>
      <c r="AB131" s="156"/>
      <c r="AC131" s="144"/>
      <c r="AF131" s="405" t="s">
        <v>830</v>
      </c>
      <c r="AG131" s="406">
        <v>24.3</v>
      </c>
      <c r="AH131" s="407">
        <v>21.4</v>
      </c>
      <c r="AI131" s="408">
        <v>0.515</v>
      </c>
      <c r="AJ131" s="409">
        <v>8.36</v>
      </c>
      <c r="AK131" s="408">
        <v>0.835</v>
      </c>
      <c r="AL131" s="410">
        <v>1.34</v>
      </c>
      <c r="AN131" s="50"/>
      <c r="AO131" s="100"/>
    </row>
    <row r="132" spans="1:41" ht="12.75">
      <c r="A132" s="69" t="s">
        <v>602</v>
      </c>
      <c r="B132" s="175" t="str">
        <f>IF(AND($D$29=0,$D$30=0,$D$31=0),$N$271,IF(AND($D$29&gt;0,$D$30&gt;0,$D$31=0),$N$299,IF(AND($D$29&gt;0,$D$30&gt;0,$D$31&gt;0),$N$340)))</f>
        <v>N.A.</v>
      </c>
      <c r="C132" s="113" t="s">
        <v>243</v>
      </c>
      <c r="D132" s="52" t="str">
        <f>IF(AND($D$29=0,$D$30=0,$D$31=0),$P$271,IF(AND($D$29&gt;0,$D$30&gt;0,$D$31=0),$P$299,IF(AND($D$29&gt;0,$D$30&gt;0,$D$31&gt;0),$P$340)))</f>
        <v>Ant = not applicable for uncoped beam</v>
      </c>
      <c r="E132" s="37"/>
      <c r="F132" s="37"/>
      <c r="G132" s="25"/>
      <c r="H132" s="25"/>
      <c r="I132" s="389"/>
      <c r="M132" s="467" t="s">
        <v>18</v>
      </c>
      <c r="N132" s="468">
        <v>0</v>
      </c>
      <c r="O132" s="140">
        <v>0.1</v>
      </c>
      <c r="P132" s="140">
        <v>0.2</v>
      </c>
      <c r="Q132" s="469">
        <v>0.3</v>
      </c>
      <c r="R132" s="140">
        <v>0.4</v>
      </c>
      <c r="S132" s="469">
        <v>0.5</v>
      </c>
      <c r="T132" s="140">
        <v>0.6</v>
      </c>
      <c r="U132" s="469">
        <v>0.7</v>
      </c>
      <c r="V132" s="140">
        <v>0.8</v>
      </c>
      <c r="W132" s="469">
        <v>0.9</v>
      </c>
      <c r="X132" s="140">
        <v>1</v>
      </c>
      <c r="Y132" s="469">
        <v>1.2</v>
      </c>
      <c r="Z132" s="140">
        <v>1.4</v>
      </c>
      <c r="AA132" s="140">
        <v>1.6</v>
      </c>
      <c r="AB132" s="469">
        <v>1.8</v>
      </c>
      <c r="AC132" s="140">
        <v>2</v>
      </c>
      <c r="AF132" s="405" t="s">
        <v>831</v>
      </c>
      <c r="AG132" s="406">
        <v>21.5</v>
      </c>
      <c r="AH132" s="407">
        <v>21.2</v>
      </c>
      <c r="AI132" s="408">
        <v>0.455</v>
      </c>
      <c r="AJ132" s="409">
        <v>8.3</v>
      </c>
      <c r="AK132" s="408">
        <v>0.74</v>
      </c>
      <c r="AL132" s="410">
        <v>1.24</v>
      </c>
      <c r="AN132" s="50"/>
      <c r="AO132" s="100"/>
    </row>
    <row r="133" spans="1:41" ht="12.75">
      <c r="A133" s="69" t="s">
        <v>426</v>
      </c>
      <c r="B133" s="183" t="str">
        <f>IF(AND($D$29=0,$D$30=0,$D$31=0),$N$272,IF(AND($D$29&gt;0,$D$30&gt;0,$D$31=0),$N$300,IF(AND($D$29&gt;0,$D$30&gt;0,$D$31&gt;0),$N$341)))</f>
        <v>N.A.</v>
      </c>
      <c r="C133" s="113" t="s">
        <v>237</v>
      </c>
      <c r="D133" s="52" t="str">
        <f>IF(AND($D$29=0,$D$30=0,$D$31=0),$P$272,IF(AND($D$29&gt;0,$D$30&gt;0,$D$31=0),$P$300,IF(AND($D$29&gt;0,$D$30&gt;0,$D$31&gt;0),$P$341)))</f>
        <v>Rto = not applicable for uncoped beam</v>
      </c>
      <c r="E133" s="37"/>
      <c r="F133" s="37"/>
      <c r="G133" s="25"/>
      <c r="H133" s="10"/>
      <c r="I133" s="389"/>
      <c r="M133" s="471">
        <v>0</v>
      </c>
      <c r="N133" s="472">
        <v>2.19</v>
      </c>
      <c r="O133" s="473">
        <v>2.59</v>
      </c>
      <c r="P133" s="474">
        <v>3</v>
      </c>
      <c r="Q133" s="318">
        <v>3.41</v>
      </c>
      <c r="R133" s="474">
        <v>3.82</v>
      </c>
      <c r="S133" s="474">
        <v>4.22</v>
      </c>
      <c r="T133" s="474">
        <v>4.63</v>
      </c>
      <c r="U133" s="474">
        <v>5.04</v>
      </c>
      <c r="V133" s="474">
        <v>5.45</v>
      </c>
      <c r="W133" s="474">
        <v>5.86</v>
      </c>
      <c r="X133" s="318">
        <v>6.26</v>
      </c>
      <c r="Y133" s="474">
        <v>7.08</v>
      </c>
      <c r="Z133" s="475">
        <v>7.9</v>
      </c>
      <c r="AA133" s="474">
        <v>8.71</v>
      </c>
      <c r="AB133" s="474">
        <v>9.53</v>
      </c>
      <c r="AC133" s="476">
        <v>10.3</v>
      </c>
      <c r="AF133" s="405" t="s">
        <v>832</v>
      </c>
      <c r="AG133" s="406">
        <v>20</v>
      </c>
      <c r="AH133" s="407">
        <v>21.1</v>
      </c>
      <c r="AI133" s="408">
        <v>0.43</v>
      </c>
      <c r="AJ133" s="409">
        <v>8.27</v>
      </c>
      <c r="AK133" s="408">
        <v>0.685</v>
      </c>
      <c r="AL133" s="410">
        <v>1.19</v>
      </c>
      <c r="AN133" s="50"/>
      <c r="AO133" s="100"/>
    </row>
    <row r="134" spans="1:41" ht="12.75">
      <c r="A134" s="19"/>
      <c r="B134" s="37"/>
      <c r="C134" s="120"/>
      <c r="D134" s="37"/>
      <c r="E134" s="37"/>
      <c r="F134" s="37"/>
      <c r="G134" s="25"/>
      <c r="H134" s="80"/>
      <c r="I134" s="389">
        <f>IF(AND($D$29=0,$D$30=0,$D$31=0),"",IF($D$17&gt;0,IF($B$133&gt;=$D$17,"Rto &gt;= P,  O.K.  ","Rto &lt; P, N.G.  "),""))</f>
      </c>
      <c r="M134" s="477">
        <v>0.1</v>
      </c>
      <c r="N134" s="478">
        <v>2.02</v>
      </c>
      <c r="O134" s="479">
        <v>2.57</v>
      </c>
      <c r="P134" s="480">
        <v>3.1</v>
      </c>
      <c r="Q134" s="320">
        <v>3.62</v>
      </c>
      <c r="R134" s="480">
        <v>4.15</v>
      </c>
      <c r="S134" s="480">
        <v>4.67</v>
      </c>
      <c r="T134" s="480">
        <v>5.19</v>
      </c>
      <c r="U134" s="480">
        <v>5.71</v>
      </c>
      <c r="V134" s="480">
        <v>6.23</v>
      </c>
      <c r="W134" s="480">
        <v>6.76</v>
      </c>
      <c r="X134" s="480">
        <v>7.28</v>
      </c>
      <c r="Y134" s="480">
        <v>8.33</v>
      </c>
      <c r="Z134" s="481">
        <v>9.37</v>
      </c>
      <c r="AA134" s="480">
        <v>10.4</v>
      </c>
      <c r="AB134" s="480">
        <v>11.5</v>
      </c>
      <c r="AC134" s="482">
        <v>12.5</v>
      </c>
      <c r="AF134" s="405" t="s">
        <v>833</v>
      </c>
      <c r="AG134" s="406">
        <v>18.3</v>
      </c>
      <c r="AH134" s="407">
        <v>21</v>
      </c>
      <c r="AI134" s="408">
        <v>0.4</v>
      </c>
      <c r="AJ134" s="409">
        <v>8.24</v>
      </c>
      <c r="AK134" s="408">
        <v>0.615</v>
      </c>
      <c r="AL134" s="410">
        <v>1.12</v>
      </c>
      <c r="AN134" s="50" t="str">
        <f>IF(AO134="","N.A.","SR =")</f>
        <v>N.A.</v>
      </c>
      <c r="AO134" s="100">
        <f>IF(AND($D$29=0,$D$30=0,$D$31=0),"",IF($D$17&gt;0,$D$17/$B$133,""))</f>
      </c>
    </row>
    <row r="135" spans="1:41" ht="12.75">
      <c r="A135" s="73" t="str">
        <f>IF(AND($D$29=0,$D$30=0,$D$31=0),M273,IF(AND($D$29&gt;0,$D$30&gt;0,$D$31=0),M301,IF(AND($D$29&gt;0,$D$30&gt;0,$D$31&gt;0),M342)))</f>
        <v>  Tension Tear-Out ("U-shaped") Capacity of Beam Web:</v>
      </c>
      <c r="B135" s="10"/>
      <c r="C135" s="112"/>
      <c r="D135" s="10"/>
      <c r="E135" s="10"/>
      <c r="F135" s="10"/>
      <c r="G135" s="10"/>
      <c r="H135" s="10"/>
      <c r="I135" s="389"/>
      <c r="M135" s="483">
        <v>0.15</v>
      </c>
      <c r="N135" s="478">
        <v>1.92</v>
      </c>
      <c r="O135" s="479">
        <v>2.43</v>
      </c>
      <c r="P135" s="480">
        <v>2.95</v>
      </c>
      <c r="Q135" s="480">
        <v>3.47</v>
      </c>
      <c r="R135" s="480">
        <v>3.98</v>
      </c>
      <c r="S135" s="480">
        <v>4.49</v>
      </c>
      <c r="T135" s="320">
        <v>5.01</v>
      </c>
      <c r="U135" s="480">
        <v>5.52</v>
      </c>
      <c r="V135" s="480">
        <v>6.03</v>
      </c>
      <c r="W135" s="320">
        <v>6.54</v>
      </c>
      <c r="X135" s="480">
        <v>7.06</v>
      </c>
      <c r="Y135" s="480">
        <v>8.09</v>
      </c>
      <c r="Z135" s="481">
        <v>9.12</v>
      </c>
      <c r="AA135" s="480">
        <v>10.2</v>
      </c>
      <c r="AB135" s="480">
        <v>11.2</v>
      </c>
      <c r="AC135" s="482">
        <v>12.3</v>
      </c>
      <c r="AF135" s="405" t="s">
        <v>834</v>
      </c>
      <c r="AG135" s="406">
        <v>16.2</v>
      </c>
      <c r="AH135" s="407">
        <v>20.8</v>
      </c>
      <c r="AI135" s="408">
        <v>0.375</v>
      </c>
      <c r="AJ135" s="409">
        <v>8.22</v>
      </c>
      <c r="AK135" s="408">
        <v>0.522</v>
      </c>
      <c r="AL135" s="410">
        <v>1.02</v>
      </c>
      <c r="AN135" s="50"/>
      <c r="AO135" s="100"/>
    </row>
    <row r="136" spans="1:41" ht="12.75">
      <c r="A136" s="69" t="s">
        <v>601</v>
      </c>
      <c r="B136" s="184">
        <f>IF(AND($D$29=0,$D$30=0,$D$31=0),$N$274,IF(AND($D$29&gt;0,$D$30&gt;0,$D$31=0),$N$302,IF(AND($D$29&gt;0,$D$30&gt;0,$D$31&gt;0),$N$343)))</f>
        <v>1.775</v>
      </c>
      <c r="C136" s="113" t="s">
        <v>243</v>
      </c>
      <c r="D136" s="52" t="str">
        <f>IF(AND($D$29=0,$D$30=0,$D$31=0),$P$274,IF(AND($D$29&gt;0,$D$30&gt;0,$D$31=0),$P$302,IF(AND($D$29&gt;0,$D$30&gt;0,$D$31&gt;0),$P$343)))</f>
        <v>Agv = 2*(Lb-s)*tw</v>
      </c>
      <c r="E136" s="10"/>
      <c r="F136" s="10"/>
      <c r="G136" s="10"/>
      <c r="H136" s="10"/>
      <c r="I136" s="389"/>
      <c r="M136" s="483">
        <v>0.2</v>
      </c>
      <c r="N136" s="478">
        <v>1.82</v>
      </c>
      <c r="O136" s="479">
        <v>2.29</v>
      </c>
      <c r="P136" s="480">
        <v>2.79</v>
      </c>
      <c r="Q136" s="480">
        <v>3.29</v>
      </c>
      <c r="R136" s="320">
        <v>3.78</v>
      </c>
      <c r="S136" s="480">
        <v>4.27</v>
      </c>
      <c r="T136" s="480">
        <v>4.77</v>
      </c>
      <c r="U136" s="480">
        <v>5.27</v>
      </c>
      <c r="V136" s="480">
        <v>5.77</v>
      </c>
      <c r="W136" s="480">
        <v>6.27</v>
      </c>
      <c r="X136" s="480">
        <v>6.77</v>
      </c>
      <c r="Y136" s="480">
        <v>7.78</v>
      </c>
      <c r="Z136" s="481">
        <v>8.81</v>
      </c>
      <c r="AA136" s="480">
        <v>9.83</v>
      </c>
      <c r="AB136" s="480">
        <v>10.9</v>
      </c>
      <c r="AC136" s="484">
        <v>11.9</v>
      </c>
      <c r="AF136" s="405" t="s">
        <v>835</v>
      </c>
      <c r="AG136" s="406">
        <v>14.1</v>
      </c>
      <c r="AH136" s="407">
        <v>20.6</v>
      </c>
      <c r="AI136" s="408">
        <v>0.35</v>
      </c>
      <c r="AJ136" s="409">
        <v>8.14</v>
      </c>
      <c r="AK136" s="408">
        <v>0.43</v>
      </c>
      <c r="AL136" s="412">
        <v>0.93</v>
      </c>
      <c r="AN136" s="50"/>
      <c r="AO136" s="100"/>
    </row>
    <row r="137" spans="1:41" ht="12.75">
      <c r="A137" s="69" t="s">
        <v>602</v>
      </c>
      <c r="B137" s="175">
        <f>IF(AND($D$29=0,$D$30=0,$D$31=0),$N$275,IF(AND($D$29&gt;0,$D$30&gt;0,$D$31=0),$N$303,IF(AND($D$29&gt;0,$D$30&gt;0,$D$31&gt;0),$N$344)))</f>
        <v>4.26</v>
      </c>
      <c r="C137" s="113" t="s">
        <v>243</v>
      </c>
      <c r="D137" s="52" t="str">
        <f>IF(AND($D$29=0,$D$30=0,$D$31=0),$P$275,IF(AND($D$29&gt;0,$D$30&gt;0,$D$31=0),$P$303,IF(AND($D$29&gt;0,$D$30&gt;0,$D$31&gt;0),$P$344)))</f>
        <v>Ant = L*tw</v>
      </c>
      <c r="E137" s="10"/>
      <c r="F137" s="10"/>
      <c r="G137" s="10"/>
      <c r="H137" s="10"/>
      <c r="I137" s="389"/>
      <c r="M137" s="483">
        <v>0.25</v>
      </c>
      <c r="N137" s="478">
        <v>1.71</v>
      </c>
      <c r="O137" s="479">
        <v>2.15</v>
      </c>
      <c r="P137" s="480">
        <v>2.62</v>
      </c>
      <c r="Q137" s="480">
        <v>3.1</v>
      </c>
      <c r="R137" s="480">
        <v>3.58</v>
      </c>
      <c r="S137" s="480">
        <v>4.06</v>
      </c>
      <c r="T137" s="480">
        <v>4.53</v>
      </c>
      <c r="U137" s="480">
        <v>5.01</v>
      </c>
      <c r="V137" s="480">
        <v>5.49</v>
      </c>
      <c r="W137" s="480">
        <v>5.97</v>
      </c>
      <c r="X137" s="480">
        <v>6.46</v>
      </c>
      <c r="Y137" s="480">
        <v>7.45</v>
      </c>
      <c r="Z137" s="481">
        <v>8.45</v>
      </c>
      <c r="AA137" s="480">
        <v>9.47</v>
      </c>
      <c r="AB137" s="480">
        <v>10.5</v>
      </c>
      <c r="AC137" s="482">
        <v>11.5</v>
      </c>
      <c r="AF137" s="405" t="s">
        <v>836</v>
      </c>
      <c r="AG137" s="406">
        <v>16.7</v>
      </c>
      <c r="AH137" s="407">
        <v>21.1</v>
      </c>
      <c r="AI137" s="408">
        <v>0.405</v>
      </c>
      <c r="AJ137" s="409">
        <v>6.56</v>
      </c>
      <c r="AK137" s="408">
        <v>0.65</v>
      </c>
      <c r="AL137" s="410">
        <v>1.15</v>
      </c>
      <c r="AN137" s="50"/>
      <c r="AO137" s="100"/>
    </row>
    <row r="138" spans="1:41" ht="12.75">
      <c r="A138" s="69" t="s">
        <v>426</v>
      </c>
      <c r="B138" s="183">
        <f>IF(AND($D$29=0,$D$30=0,$D$31=0),$N$276,IF(AND($D$29&gt;0,$D$30&gt;0,$D$31=0),$N$304,IF(AND($D$29&gt;0,$D$30&gt;0,$D$31&gt;0),$N$345)))</f>
        <v>165.075</v>
      </c>
      <c r="C138" s="113" t="s">
        <v>237</v>
      </c>
      <c r="D138" s="52" t="str">
        <f>IF(AND($D$29=0,$D$30=0,$D$31=0),$P$276,IF(AND($D$29&gt;0,$D$30&gt;0,$D$31=0),$P$304,IF(AND($D$29&gt;0,$D$30&gt;0,$D$31&gt;0),$P$345)))</f>
        <v>Rto = 0.30*Fyb*Agv+0.50*Fub*Ant</v>
      </c>
      <c r="E138" s="10"/>
      <c r="F138" s="10"/>
      <c r="G138" s="10"/>
      <c r="H138" s="59"/>
      <c r="I138" s="389" t="str">
        <f>IF(D17&gt;0,IF($B$138&gt;=$D$17,"Rto &gt;= P,  O.K.  ","Rto &lt; P, N.G.  "),"")</f>
        <v>Rto &gt;= P,  O.K.  </v>
      </c>
      <c r="M138" s="483">
        <v>0.3</v>
      </c>
      <c r="N138" s="478">
        <v>1.6</v>
      </c>
      <c r="O138" s="479">
        <v>2.01</v>
      </c>
      <c r="P138" s="480">
        <v>2.45</v>
      </c>
      <c r="Q138" s="480">
        <v>2.91</v>
      </c>
      <c r="R138" s="480">
        <v>3.37</v>
      </c>
      <c r="S138" s="480">
        <v>3.83</v>
      </c>
      <c r="T138" s="480">
        <v>4.29</v>
      </c>
      <c r="U138" s="320">
        <v>4.75</v>
      </c>
      <c r="V138" s="480">
        <v>5.21</v>
      </c>
      <c r="W138" s="480">
        <v>5.68</v>
      </c>
      <c r="X138" s="480">
        <v>6.15</v>
      </c>
      <c r="Y138" s="480">
        <v>7.11</v>
      </c>
      <c r="Z138" s="485">
        <v>8.09</v>
      </c>
      <c r="AA138" s="320">
        <v>9.09</v>
      </c>
      <c r="AB138" s="486">
        <v>10.1</v>
      </c>
      <c r="AC138" s="484">
        <v>11.1</v>
      </c>
      <c r="AF138" s="405" t="s">
        <v>837</v>
      </c>
      <c r="AG138" s="406">
        <v>14.7</v>
      </c>
      <c r="AH138" s="407">
        <v>20.8</v>
      </c>
      <c r="AI138" s="408">
        <v>0.38</v>
      </c>
      <c r="AJ138" s="409">
        <v>6.53</v>
      </c>
      <c r="AK138" s="408">
        <v>0.535</v>
      </c>
      <c r="AL138" s="410">
        <v>1.04</v>
      </c>
      <c r="AN138" s="50" t="str">
        <f>IF(AO138="","N.A.","SR =")</f>
        <v>SR =</v>
      </c>
      <c r="AO138" s="100">
        <f>IF($D$17&gt;0,$D$17/$B$138,"")</f>
        <v>0.030289262456459187</v>
      </c>
    </row>
    <row r="139" spans="1:38" ht="12.75">
      <c r="A139" s="527"/>
      <c r="B139" s="10"/>
      <c r="C139" s="10"/>
      <c r="D139" s="10"/>
      <c r="E139" s="10"/>
      <c r="F139" s="10"/>
      <c r="G139" s="10"/>
      <c r="H139" s="10"/>
      <c r="I139" s="389"/>
      <c r="M139" s="483">
        <v>0.4</v>
      </c>
      <c r="N139" s="478">
        <v>1.4</v>
      </c>
      <c r="O139" s="479">
        <v>1.76</v>
      </c>
      <c r="P139" s="480">
        <v>2.14</v>
      </c>
      <c r="Q139" s="480">
        <v>2.55</v>
      </c>
      <c r="R139" s="480">
        <v>2.97</v>
      </c>
      <c r="S139" s="480">
        <v>3.4</v>
      </c>
      <c r="T139" s="480">
        <v>3.83</v>
      </c>
      <c r="U139" s="480">
        <v>4.25</v>
      </c>
      <c r="V139" s="320">
        <v>4.69</v>
      </c>
      <c r="W139" s="480">
        <v>5.13</v>
      </c>
      <c r="X139" s="480">
        <v>5.57</v>
      </c>
      <c r="Y139" s="320">
        <v>6.48</v>
      </c>
      <c r="Z139" s="481">
        <v>7.42</v>
      </c>
      <c r="AA139" s="480">
        <v>8.38</v>
      </c>
      <c r="AB139" s="480">
        <v>9.36</v>
      </c>
      <c r="AC139" s="482">
        <v>10.4</v>
      </c>
      <c r="AF139" s="405" t="s">
        <v>838</v>
      </c>
      <c r="AG139" s="406">
        <v>13</v>
      </c>
      <c r="AH139" s="407">
        <v>20.7</v>
      </c>
      <c r="AI139" s="408">
        <v>0.35</v>
      </c>
      <c r="AJ139" s="409">
        <v>6.5</v>
      </c>
      <c r="AK139" s="408">
        <v>0.45</v>
      </c>
      <c r="AL139" s="412">
        <v>0.95</v>
      </c>
    </row>
    <row r="140" spans="1:41" ht="12.75">
      <c r="A140" s="67" t="str">
        <f>IF(AND($D$29=0,$D$30=0,$D$31=0),$M$277,IF(AND($D$29&gt;0,$D$30&gt;0,$D$30&lt;=0.5*$B$45,$D$31=0),$M$305,IF(AND($D$29&gt;0,$D$30&gt;0,$D$30&lt;=0.5*$B$45,$D$31&gt;0),$M$346)))</f>
        <v>  Web Buckling (Flexural Rupture) Capacity for Uncoped Flanges:</v>
      </c>
      <c r="B140" s="10"/>
      <c r="C140" s="10"/>
      <c r="D140" s="10"/>
      <c r="E140" s="10"/>
      <c r="F140" s="10"/>
      <c r="G140" s="10"/>
      <c r="H140" s="10"/>
      <c r="I140" s="389"/>
      <c r="M140" s="483">
        <v>0.5</v>
      </c>
      <c r="N140" s="478">
        <v>1.23</v>
      </c>
      <c r="O140" s="479">
        <v>1.54</v>
      </c>
      <c r="P140" s="480">
        <v>1.88</v>
      </c>
      <c r="Q140" s="480">
        <v>2.24</v>
      </c>
      <c r="R140" s="480">
        <v>2.62</v>
      </c>
      <c r="S140" s="480">
        <v>3.01</v>
      </c>
      <c r="T140" s="480">
        <v>3.41</v>
      </c>
      <c r="U140" s="320">
        <v>3.81</v>
      </c>
      <c r="V140" s="320">
        <v>4.22</v>
      </c>
      <c r="W140" s="320">
        <v>4.63</v>
      </c>
      <c r="X140" s="480">
        <v>5.05</v>
      </c>
      <c r="Y140" s="480">
        <v>5.92</v>
      </c>
      <c r="Z140" s="481">
        <v>6.81</v>
      </c>
      <c r="AA140" s="480">
        <v>7.74</v>
      </c>
      <c r="AB140" s="320">
        <v>8.68</v>
      </c>
      <c r="AC140" s="482">
        <v>9.65</v>
      </c>
      <c r="AF140" s="405" t="s">
        <v>1087</v>
      </c>
      <c r="AG140" s="406">
        <v>91.6</v>
      </c>
      <c r="AH140" s="407">
        <v>22.3</v>
      </c>
      <c r="AI140" s="409">
        <v>1.52</v>
      </c>
      <c r="AJ140" s="407">
        <v>12</v>
      </c>
      <c r="AK140" s="409">
        <v>2.74</v>
      </c>
      <c r="AL140" s="410">
        <v>3.24</v>
      </c>
      <c r="AN140" s="50"/>
      <c r="AO140" s="100"/>
    </row>
    <row r="141" spans="1:41" ht="12.75">
      <c r="A141" s="443" t="s">
        <v>106</v>
      </c>
      <c r="B141" s="184" t="str">
        <f>IF(AND($D$29=0,$D$30=0,$D$31=0),"N.A.",IF(AND($D$29&gt;0,$D$30&gt;0,$D$30&lt;=0.5*$B$45,$D$31=0),$N$306,IF(AND($D$29&gt;0,$D$30&gt;0,$D$30&lt;=0.5*$B$45,$D$31&gt;0),$N$347)))</f>
        <v>N.A.</v>
      </c>
      <c r="C141" s="113" t="s">
        <v>268</v>
      </c>
      <c r="D141" s="440" t="str">
        <f>IF(AND($D$29=0,$D$30=0,$D$31=0),"ho = not applicable for uncoped beam",IF(AND($D$29&gt;0,$D$30&gt;0,$D$30&lt;=0.5*$B$45,$D$31=0),$P$306,IF(AND($D$29&gt;0,$D$30&gt;0,$D$30&lt;=0.5*$B$45,$D$31&gt;0),$P$347)))</f>
        <v>ho = not applicable for uncoped beam</v>
      </c>
      <c r="E141" s="25"/>
      <c r="F141" s="6"/>
      <c r="G141" s="10"/>
      <c r="H141" s="10"/>
      <c r="I141" s="389"/>
      <c r="M141" s="483">
        <v>0.6</v>
      </c>
      <c r="N141" s="478">
        <v>1.08</v>
      </c>
      <c r="O141" s="479">
        <v>1.36</v>
      </c>
      <c r="P141" s="480">
        <v>1.66</v>
      </c>
      <c r="Q141" s="480">
        <v>1.98</v>
      </c>
      <c r="R141" s="480">
        <v>2.33</v>
      </c>
      <c r="S141" s="480">
        <v>2.68</v>
      </c>
      <c r="T141" s="480">
        <v>3.05</v>
      </c>
      <c r="U141" s="320">
        <v>3.43</v>
      </c>
      <c r="V141" s="480">
        <v>3.81</v>
      </c>
      <c r="W141" s="480">
        <v>4.2</v>
      </c>
      <c r="X141" s="480">
        <v>4.6</v>
      </c>
      <c r="Y141" s="480">
        <v>5.42</v>
      </c>
      <c r="Z141" s="481">
        <v>6.28</v>
      </c>
      <c r="AA141" s="480">
        <v>7.17</v>
      </c>
      <c r="AB141" s="480">
        <v>8.08</v>
      </c>
      <c r="AC141" s="482">
        <v>9.02</v>
      </c>
      <c r="AF141" s="405" t="s">
        <v>1086</v>
      </c>
      <c r="AG141" s="406">
        <v>83.3</v>
      </c>
      <c r="AH141" s="407">
        <v>21.9</v>
      </c>
      <c r="AI141" s="409">
        <v>1.4</v>
      </c>
      <c r="AJ141" s="407">
        <v>11.9</v>
      </c>
      <c r="AK141" s="409">
        <v>2.5</v>
      </c>
      <c r="AL141" s="410">
        <v>3</v>
      </c>
      <c r="AN141" s="50"/>
      <c r="AO141" s="100"/>
    </row>
    <row r="142" spans="1:41" ht="12.75">
      <c r="A142" s="443" t="s">
        <v>325</v>
      </c>
      <c r="B142" s="175" t="str">
        <f>IF(AND($D$29=0,$D$30=0,$D$31=0),"N.A.",IF(AND($D$29&gt;0,$D$30&gt;0,$D$30&lt;=0.5*$B$45,$D$31=0),$N$307,IF(AND($D$29&gt;0,$D$30&gt;0,$D$30&lt;=0.5*$B$45,$D$31&gt;0),$N$348)))</f>
        <v>N.A.</v>
      </c>
      <c r="C142" s="113" t="s">
        <v>268</v>
      </c>
      <c r="D142" s="440" t="str">
        <f>IF(AND($D$29=0,$D$30=0,$D$31=0),"ho = not applicable for uncoped beam",IF(AND($D$29&gt;0,$D$30&gt;0,$D$30&lt;=0.5*$B$45,$D$31=0),$P$307,IF(AND($D$29&gt;0,$D$30&gt;0,$D$30&lt;=0.5*$B$45,$D$31&gt;0),$P$348)))</f>
        <v>ho = not applicable for uncoped beam</v>
      </c>
      <c r="E142" s="25"/>
      <c r="F142" s="6"/>
      <c r="G142" s="10"/>
      <c r="H142" s="10"/>
      <c r="I142" s="389"/>
      <c r="M142" s="483">
        <v>0.7</v>
      </c>
      <c r="N142" s="478">
        <v>0.963</v>
      </c>
      <c r="O142" s="479">
        <v>1.21</v>
      </c>
      <c r="P142" s="480">
        <v>1.48</v>
      </c>
      <c r="Q142" s="480">
        <v>1.77</v>
      </c>
      <c r="R142" s="480">
        <v>2.08</v>
      </c>
      <c r="S142" s="480">
        <v>2.41</v>
      </c>
      <c r="T142" s="480">
        <v>2.75</v>
      </c>
      <c r="U142" s="480">
        <v>3.11</v>
      </c>
      <c r="V142" s="320">
        <v>3.46</v>
      </c>
      <c r="W142" s="480">
        <v>3.83</v>
      </c>
      <c r="X142" s="480">
        <v>4.2</v>
      </c>
      <c r="Y142" s="480">
        <v>4.99</v>
      </c>
      <c r="Z142" s="481">
        <v>5.81</v>
      </c>
      <c r="AA142" s="480">
        <v>6.67</v>
      </c>
      <c r="AB142" s="480">
        <v>7.56</v>
      </c>
      <c r="AC142" s="482">
        <v>8.46</v>
      </c>
      <c r="AF142" s="405" t="s">
        <v>1085</v>
      </c>
      <c r="AG142" s="406">
        <v>75.9</v>
      </c>
      <c r="AH142" s="407">
        <v>21.5</v>
      </c>
      <c r="AI142" s="409">
        <v>1.28</v>
      </c>
      <c r="AJ142" s="407">
        <v>11.8</v>
      </c>
      <c r="AK142" s="409">
        <v>2.3</v>
      </c>
      <c r="AL142" s="410">
        <v>2.7</v>
      </c>
      <c r="AN142" s="50"/>
      <c r="AO142" s="100"/>
    </row>
    <row r="143" spans="1:41" ht="12.75">
      <c r="A143" s="443" t="s">
        <v>1131</v>
      </c>
      <c r="B143" s="175" t="str">
        <f>IF(AND($D$29=0,$D$30=0,$D$31=0),"N.A.",IF(AND($D$29&gt;0,$D$30&gt;0,$D$30&lt;=0.5*$B$45,$D$31=0),$N$308,IF(AND($D$29&gt;0,$D$30&gt;0,$D$30&lt;=0.5*$B$45,$D$31&gt;0),$N$349)))</f>
        <v>N.A.</v>
      </c>
      <c r="C143" s="113" t="s">
        <v>268</v>
      </c>
      <c r="D143" s="440" t="str">
        <f>IF(AND($D$29=0,$D$30=0,$D$31=0),"ho = not applicable for uncoped beam",IF(AND($D$29&gt;0,$D$30&gt;0,$D$30&lt;=0.5*$B$45,$D$31=0),$P$308,IF(AND($D$29&gt;0,$D$30&gt;0,$D$30&lt;=0.5*$B$45,$D$31&gt;0),$P$349)))</f>
        <v>ho = not applicable for uncoped beam</v>
      </c>
      <c r="E143" s="25"/>
      <c r="F143" s="6"/>
      <c r="G143" s="10"/>
      <c r="H143" s="10"/>
      <c r="I143" s="389"/>
      <c r="M143" s="483">
        <v>0.8</v>
      </c>
      <c r="N143" s="478">
        <v>0.863</v>
      </c>
      <c r="O143" s="479">
        <v>1.09</v>
      </c>
      <c r="P143" s="480">
        <v>1.33</v>
      </c>
      <c r="Q143" s="480">
        <v>1.6</v>
      </c>
      <c r="R143" s="480">
        <v>1.88</v>
      </c>
      <c r="S143" s="480">
        <v>2.18</v>
      </c>
      <c r="T143" s="320">
        <v>2.5</v>
      </c>
      <c r="U143" s="480">
        <v>2.83</v>
      </c>
      <c r="V143" s="320">
        <v>3.16</v>
      </c>
      <c r="W143" s="480">
        <v>3.51</v>
      </c>
      <c r="X143" s="480">
        <v>3.86</v>
      </c>
      <c r="Y143" s="480">
        <v>4.61</v>
      </c>
      <c r="Z143" s="481">
        <v>5.4</v>
      </c>
      <c r="AA143" s="480">
        <v>6.22</v>
      </c>
      <c r="AB143" s="480">
        <v>7.07</v>
      </c>
      <c r="AC143" s="321">
        <v>7.94</v>
      </c>
      <c r="AF143" s="405" t="s">
        <v>1102</v>
      </c>
      <c r="AG143" s="406">
        <v>68.8</v>
      </c>
      <c r="AH143" s="407">
        <v>21.1</v>
      </c>
      <c r="AI143" s="409">
        <v>1.16</v>
      </c>
      <c r="AJ143" s="407">
        <v>11.7</v>
      </c>
      <c r="AK143" s="409">
        <v>2.11</v>
      </c>
      <c r="AL143" s="410">
        <v>2.51</v>
      </c>
      <c r="AN143" s="50"/>
      <c r="AO143" s="100"/>
    </row>
    <row r="144" spans="1:41" ht="12.75">
      <c r="A144" s="443" t="s">
        <v>424</v>
      </c>
      <c r="B144" s="179" t="str">
        <f>IF(AND($D$29=0,$D$30=0,$D$31=0),"N.A.",IF(AND($D$29&gt;0,$D$30&gt;0,$D$30&lt;=0.5*$B$45,$D$31=0),$N$309,IF(AND($D$29&gt;0,$D$30&gt;0,$D$30&lt;=0.5*$B$45,$D$31&gt;0),$N$350)))</f>
        <v>N.A.</v>
      </c>
      <c r="C144" s="113" t="s">
        <v>499</v>
      </c>
      <c r="D144" s="440" t="str">
        <f>IF(AND($D$29=0,$D$30=0,$D$31=0),"ho = not applicable for uncoped beam",IF(AND($D$29&gt;0,$D$30&gt;0,$D$30&lt;=0.5*$B$45,$D$31=0),$P$309,IF(AND($D$29&gt;0,$D$30&gt;0,$D$30&lt;=0.5*$B$45,$D$31&gt;0),$P$350)))</f>
        <v>ho = not applicable for uncoped beam</v>
      </c>
      <c r="E144" s="25"/>
      <c r="F144" s="3"/>
      <c r="G144" s="10"/>
      <c r="H144" s="80"/>
      <c r="I144" s="389"/>
      <c r="M144" s="483">
        <v>0.9</v>
      </c>
      <c r="N144" s="478">
        <v>0.781</v>
      </c>
      <c r="O144" s="479">
        <v>0.985</v>
      </c>
      <c r="P144" s="480">
        <v>1.21</v>
      </c>
      <c r="Q144" s="480">
        <v>1.45</v>
      </c>
      <c r="R144" s="480">
        <v>1.71</v>
      </c>
      <c r="S144" s="480">
        <v>1.99</v>
      </c>
      <c r="T144" s="480">
        <v>2.29</v>
      </c>
      <c r="U144" s="480">
        <v>2.59</v>
      </c>
      <c r="V144" s="480">
        <v>2.91</v>
      </c>
      <c r="W144" s="480">
        <v>3.23</v>
      </c>
      <c r="X144" s="480">
        <v>3.57</v>
      </c>
      <c r="Y144" s="480">
        <v>4.28</v>
      </c>
      <c r="Z144" s="481">
        <v>5.02</v>
      </c>
      <c r="AA144" s="320">
        <v>5.81</v>
      </c>
      <c r="AB144" s="480">
        <v>6.63</v>
      </c>
      <c r="AC144" s="321">
        <v>7.47</v>
      </c>
      <c r="AF144" s="405" t="s">
        <v>1101</v>
      </c>
      <c r="AG144" s="406">
        <v>62.1</v>
      </c>
      <c r="AH144" s="407">
        <v>20.7</v>
      </c>
      <c r="AI144" s="409">
        <v>1.06</v>
      </c>
      <c r="AJ144" s="407">
        <v>11.6</v>
      </c>
      <c r="AK144" s="409">
        <v>1.91</v>
      </c>
      <c r="AL144" s="410">
        <v>2.31</v>
      </c>
      <c r="AN144" s="50"/>
      <c r="AO144" s="100"/>
    </row>
    <row r="145" spans="1:41" ht="12.75">
      <c r="A145" s="443" t="s">
        <v>191</v>
      </c>
      <c r="B145" s="179" t="str">
        <f>IF(AND($D$29=0,$D$30=0,$D$31=0),"N.A.",IF(AND($D$29&gt;0,$D$30&gt;0,$D$30&lt;=0.5*$B$45,$D$31=0),$N$310,IF(AND($D$29&gt;0,$D$30&gt;0,$D$30&lt;=0.5*$B$45,$D$31&gt;0),$N$351)))</f>
        <v>N.A.</v>
      </c>
      <c r="C145" s="113" t="s">
        <v>498</v>
      </c>
      <c r="D145" s="440" t="str">
        <f>IF(AND($D$29=0,$D$30=0,$D$31=0),"ho = not applicable for uncoped beam",IF(AND($D$29&gt;0,$D$30&gt;0,$D$30&lt;=0.5*$B$45,$D$31=0),$P$310,IF(AND($D$29&gt;0,$D$30&gt;0,$D$30&lt;=0.5*$B$45,$D$31&gt;0),$P$351)))</f>
        <v>ho = not applicable for uncoped beam</v>
      </c>
      <c r="E145" s="25"/>
      <c r="F145" s="3"/>
      <c r="G145" s="10"/>
      <c r="H145" s="10"/>
      <c r="I145" s="389"/>
      <c r="M145" s="487">
        <v>1</v>
      </c>
      <c r="N145" s="478">
        <v>0.713</v>
      </c>
      <c r="O145" s="479">
        <v>0.899</v>
      </c>
      <c r="P145" s="320">
        <v>1.1</v>
      </c>
      <c r="Q145" s="480">
        <v>1.33</v>
      </c>
      <c r="R145" s="480">
        <v>1.57</v>
      </c>
      <c r="S145" s="480">
        <v>1.83</v>
      </c>
      <c r="T145" s="480">
        <v>2.1</v>
      </c>
      <c r="U145" s="480">
        <v>2.39</v>
      </c>
      <c r="V145" s="480">
        <v>2.69</v>
      </c>
      <c r="W145" s="480">
        <v>2.99</v>
      </c>
      <c r="X145" s="480">
        <v>3.31</v>
      </c>
      <c r="Y145" s="480">
        <v>3.98</v>
      </c>
      <c r="Z145" s="481">
        <v>4.69</v>
      </c>
      <c r="AA145" s="480">
        <v>5.44</v>
      </c>
      <c r="AB145" s="480">
        <v>6.22</v>
      </c>
      <c r="AC145" s="482">
        <v>7.03</v>
      </c>
      <c r="AF145" s="405" t="s">
        <v>1100</v>
      </c>
      <c r="AG145" s="406">
        <v>56.4</v>
      </c>
      <c r="AH145" s="407">
        <v>20.4</v>
      </c>
      <c r="AI145" s="408">
        <v>0.96</v>
      </c>
      <c r="AJ145" s="407">
        <v>11.5</v>
      </c>
      <c r="AK145" s="409">
        <v>1.75</v>
      </c>
      <c r="AL145" s="410">
        <v>2.15</v>
      </c>
      <c r="AN145" s="50"/>
      <c r="AO145" s="100"/>
    </row>
    <row r="146" spans="1:41" ht="12.75">
      <c r="A146" s="443" t="s">
        <v>107</v>
      </c>
      <c r="B146" s="179" t="str">
        <f>IF(AND($D$29=0,$D$30=0,$D$31=0),"N.A.",IF(AND($D$29&gt;0,$D$30&gt;0,$D$30&lt;=0.5*$B$45,$D$31=0),$N$311,IF(AND($D$29&gt;0,$D$30&gt;0,$D$30&lt;=0.5*$B$45,$D$31&gt;0),$N$352)))</f>
        <v>N.A.</v>
      </c>
      <c r="C146" s="110" t="s">
        <v>245</v>
      </c>
      <c r="D146" s="440" t="str">
        <f>IF(AND($D$29=0,$D$30=0,$D$31=0),"ho = not applicable for uncoped beam",IF(AND($D$29&gt;0,$D$30&gt;0,$D$30&lt;=0.5*$B$45,$D$31=0),$P$311,IF(AND($D$29&gt;0,$D$30&gt;0,$D$30&lt;=0.5*$B$45,$D$31&gt;0),$P$352)))</f>
        <v>ho = not applicable for uncoped beam</v>
      </c>
      <c r="E146" s="25"/>
      <c r="F146" s="3"/>
      <c r="G146" s="99"/>
      <c r="H146" s="10"/>
      <c r="I146" s="389"/>
      <c r="M146" s="487">
        <v>1.2</v>
      </c>
      <c r="N146" s="478">
        <v>0.605</v>
      </c>
      <c r="O146" s="479">
        <v>0.763</v>
      </c>
      <c r="P146" s="480">
        <v>0.937</v>
      </c>
      <c r="Q146" s="480">
        <v>1.13</v>
      </c>
      <c r="R146" s="480">
        <v>1.34</v>
      </c>
      <c r="S146" s="480">
        <v>1.56</v>
      </c>
      <c r="T146" s="480">
        <v>1.81</v>
      </c>
      <c r="U146" s="480">
        <v>2.07</v>
      </c>
      <c r="V146" s="480">
        <v>2.33</v>
      </c>
      <c r="W146" s="480">
        <v>2.6</v>
      </c>
      <c r="X146" s="480">
        <v>2.88</v>
      </c>
      <c r="Y146" s="480">
        <v>3.49</v>
      </c>
      <c r="Z146" s="481">
        <v>4.13</v>
      </c>
      <c r="AA146" s="480">
        <v>4.81</v>
      </c>
      <c r="AB146" s="480">
        <v>5.53</v>
      </c>
      <c r="AC146" s="482">
        <v>6.28</v>
      </c>
      <c r="AF146" s="405" t="s">
        <v>839</v>
      </c>
      <c r="AG146" s="406">
        <v>51.3</v>
      </c>
      <c r="AH146" s="407">
        <v>20</v>
      </c>
      <c r="AI146" s="408">
        <v>0.89</v>
      </c>
      <c r="AJ146" s="407">
        <v>11.4</v>
      </c>
      <c r="AK146" s="409">
        <v>1.59</v>
      </c>
      <c r="AL146" s="410">
        <v>1.99</v>
      </c>
      <c r="AN146" s="50"/>
      <c r="AO146" s="100"/>
    </row>
    <row r="147" spans="1:41" ht="12.75">
      <c r="A147" s="443" t="s">
        <v>104</v>
      </c>
      <c r="B147" s="183" t="str">
        <f>IF(AND($D$29=0,$D$30=0,$D$31=0),"N.A.",IF(AND($D$29&gt;0,$D$30&gt;0,$D$30&lt;=0.5*$B$45,$D$31=0),$N$312,IF(AND($D$29&gt;0,$D$30&gt;0,$D$30&lt;=0.5*$B$45,$D$31&gt;0),$N$353)))</f>
        <v>N.A.</v>
      </c>
      <c r="C147" s="113" t="s">
        <v>237</v>
      </c>
      <c r="D147" s="440" t="str">
        <f>IF(AND($D$29=0,$D$30=0,$D$31=0),"ho = not applicable for uncoped beam",IF(AND($D$29&gt;0,$D$30&gt;0,$D$30&lt;=0.5*$B$45,$D$31=0),$P$312,IF(AND($D$29&gt;0,$D$30&gt;0,$D$30&lt;=0.5*$B$45,$D$31&gt;0),$P$353)))</f>
        <v>ho = not applicable for uncoped beam</v>
      </c>
      <c r="E147" s="25"/>
      <c r="F147" s="3"/>
      <c r="G147" s="45"/>
      <c r="H147" s="10"/>
      <c r="I147" s="389">
        <f>IF(AND($D$29=0,$D$30=0,$D$31=0),"",IF($B$147&gt;=$D$16,"Rwb &gt;= R,  O.K.  ","Rwb &lt; R, N.G.  "))</f>
      </c>
      <c r="M147" s="487">
        <v>1.4</v>
      </c>
      <c r="N147" s="478">
        <v>0.524</v>
      </c>
      <c r="O147" s="479">
        <v>0.661</v>
      </c>
      <c r="P147" s="480">
        <v>0.813</v>
      </c>
      <c r="Q147" s="480">
        <v>0.981</v>
      </c>
      <c r="R147" s="480">
        <v>1.17</v>
      </c>
      <c r="S147" s="480">
        <v>1.37</v>
      </c>
      <c r="T147" s="480">
        <v>1.58</v>
      </c>
      <c r="U147" s="480">
        <v>1.81</v>
      </c>
      <c r="V147" s="480">
        <v>2.04</v>
      </c>
      <c r="W147" s="480">
        <v>2.29</v>
      </c>
      <c r="X147" s="480">
        <v>2.55</v>
      </c>
      <c r="Y147" s="480">
        <v>3.09</v>
      </c>
      <c r="Z147" s="481">
        <v>3.67</v>
      </c>
      <c r="AA147" s="480">
        <v>4.29</v>
      </c>
      <c r="AB147" s="320">
        <v>4.96</v>
      </c>
      <c r="AC147" s="482">
        <v>5.66</v>
      </c>
      <c r="AF147" s="405" t="s">
        <v>840</v>
      </c>
      <c r="AG147" s="406">
        <v>46.3</v>
      </c>
      <c r="AH147" s="407">
        <v>19.7</v>
      </c>
      <c r="AI147" s="408">
        <v>0.81</v>
      </c>
      <c r="AJ147" s="407">
        <v>11.3</v>
      </c>
      <c r="AK147" s="409">
        <v>1.44</v>
      </c>
      <c r="AL147" s="410">
        <v>1.84</v>
      </c>
      <c r="AN147" s="50" t="str">
        <f>IF(AO147="","N.A.","SR =")</f>
        <v>N.A.</v>
      </c>
      <c r="AO147" s="100">
        <f>IF(AND($D$29=0,$D$30=0,$D$31=0),"",$D$16/$B$147)</f>
      </c>
    </row>
    <row r="148" spans="1:41" ht="12.75">
      <c r="A148" s="19"/>
      <c r="B148" s="10"/>
      <c r="C148" s="10"/>
      <c r="D148" s="10"/>
      <c r="E148" s="10"/>
      <c r="F148" s="10"/>
      <c r="G148" s="10"/>
      <c r="H148" s="10"/>
      <c r="I148" s="14"/>
      <c r="M148" s="487">
        <v>1.6</v>
      </c>
      <c r="N148" s="478">
        <v>0.463</v>
      </c>
      <c r="O148" s="479">
        <v>0.583</v>
      </c>
      <c r="P148" s="480">
        <v>0.717</v>
      </c>
      <c r="Q148" s="480">
        <v>0.867</v>
      </c>
      <c r="R148" s="480">
        <v>1.03</v>
      </c>
      <c r="S148" s="480">
        <v>1.21</v>
      </c>
      <c r="T148" s="480">
        <v>1.41</v>
      </c>
      <c r="U148" s="480">
        <v>1.61</v>
      </c>
      <c r="V148" s="480">
        <v>1.82</v>
      </c>
      <c r="W148" s="480">
        <v>2.04</v>
      </c>
      <c r="X148" s="480">
        <v>2.27</v>
      </c>
      <c r="Y148" s="480">
        <v>2.77</v>
      </c>
      <c r="Z148" s="481">
        <v>3.3</v>
      </c>
      <c r="AA148" s="480">
        <v>3.87</v>
      </c>
      <c r="AB148" s="480">
        <v>4.48</v>
      </c>
      <c r="AC148" s="482">
        <v>5.13</v>
      </c>
      <c r="AF148" s="405" t="s">
        <v>841</v>
      </c>
      <c r="AG148" s="406">
        <v>42.1</v>
      </c>
      <c r="AH148" s="407">
        <v>19.5</v>
      </c>
      <c r="AI148" s="408">
        <v>0.73</v>
      </c>
      <c r="AJ148" s="407">
        <v>11.2</v>
      </c>
      <c r="AK148" s="409">
        <v>1.32</v>
      </c>
      <c r="AL148" s="410">
        <v>1.72</v>
      </c>
      <c r="AN148" s="50"/>
      <c r="AO148" s="100"/>
    </row>
    <row r="149" spans="1:41" ht="12.75">
      <c r="A149" s="19"/>
      <c r="B149" s="10"/>
      <c r="C149" s="10"/>
      <c r="D149" s="10"/>
      <c r="E149" s="10"/>
      <c r="F149" s="10"/>
      <c r="G149" s="10"/>
      <c r="H149" s="10"/>
      <c r="I149" s="14"/>
      <c r="M149" s="487">
        <v>1.8</v>
      </c>
      <c r="N149" s="478">
        <v>0.413</v>
      </c>
      <c r="O149" s="324">
        <v>0.521</v>
      </c>
      <c r="P149" s="480">
        <v>0.641</v>
      </c>
      <c r="Q149" s="480">
        <v>0.776</v>
      </c>
      <c r="R149" s="480">
        <v>0.924</v>
      </c>
      <c r="S149" s="480">
        <v>1.09</v>
      </c>
      <c r="T149" s="480">
        <v>1.27</v>
      </c>
      <c r="U149" s="480">
        <v>1.45</v>
      </c>
      <c r="V149" s="480">
        <v>1.64</v>
      </c>
      <c r="W149" s="480">
        <v>1.84</v>
      </c>
      <c r="X149" s="480">
        <v>2.05</v>
      </c>
      <c r="Y149" s="480">
        <v>2.5</v>
      </c>
      <c r="Z149" s="481">
        <v>2.99</v>
      </c>
      <c r="AA149" s="480">
        <v>3.52</v>
      </c>
      <c r="AB149" s="480">
        <v>4.08</v>
      </c>
      <c r="AC149" s="321">
        <v>4.69</v>
      </c>
      <c r="AF149" s="405" t="s">
        <v>842</v>
      </c>
      <c r="AG149" s="406">
        <v>38.2</v>
      </c>
      <c r="AH149" s="407">
        <v>19.3</v>
      </c>
      <c r="AI149" s="408">
        <v>0.67</v>
      </c>
      <c r="AJ149" s="407">
        <v>11.2</v>
      </c>
      <c r="AK149" s="409">
        <v>1.2</v>
      </c>
      <c r="AL149" s="410">
        <v>1.6</v>
      </c>
      <c r="AN149" s="50"/>
      <c r="AO149" s="100"/>
    </row>
    <row r="150" spans="1:38" ht="12.75">
      <c r="A150" s="20"/>
      <c r="B150" s="21"/>
      <c r="C150" s="125"/>
      <c r="D150" s="21"/>
      <c r="E150" s="21"/>
      <c r="F150" s="21"/>
      <c r="G150" s="21"/>
      <c r="H150" s="21"/>
      <c r="I150" s="128" t="s">
        <v>105</v>
      </c>
      <c r="M150" s="487">
        <v>2</v>
      </c>
      <c r="N150" s="478">
        <v>0.373</v>
      </c>
      <c r="O150" s="488">
        <v>0.471</v>
      </c>
      <c r="P150" s="489">
        <v>0.58</v>
      </c>
      <c r="Q150" s="489">
        <v>0.701</v>
      </c>
      <c r="R150" s="489">
        <v>0.836</v>
      </c>
      <c r="S150" s="489">
        <v>0.987</v>
      </c>
      <c r="T150" s="489">
        <v>1.15</v>
      </c>
      <c r="U150" s="489">
        <v>1.32</v>
      </c>
      <c r="V150" s="489">
        <v>1.49</v>
      </c>
      <c r="W150" s="489">
        <v>1.67</v>
      </c>
      <c r="X150" s="489">
        <v>1.87</v>
      </c>
      <c r="Y150" s="489">
        <v>2.28</v>
      </c>
      <c r="Z150" s="490">
        <v>2.73</v>
      </c>
      <c r="AA150" s="489">
        <v>3.22</v>
      </c>
      <c r="AB150" s="489">
        <v>3.75</v>
      </c>
      <c r="AC150" s="491">
        <v>4.31</v>
      </c>
      <c r="AF150" s="405" t="s">
        <v>843</v>
      </c>
      <c r="AG150" s="406">
        <v>35.1</v>
      </c>
      <c r="AH150" s="407">
        <v>19</v>
      </c>
      <c r="AI150" s="408">
        <v>0.655</v>
      </c>
      <c r="AJ150" s="407">
        <v>11.3</v>
      </c>
      <c r="AK150" s="409">
        <v>1.06</v>
      </c>
      <c r="AL150" s="410">
        <v>1.46</v>
      </c>
    </row>
    <row r="151" spans="1:41" ht="12.75">
      <c r="A151" s="17"/>
      <c r="B151" s="18"/>
      <c r="C151" s="18"/>
      <c r="D151" s="18"/>
      <c r="E151" s="18"/>
      <c r="F151" s="18"/>
      <c r="G151" s="18"/>
      <c r="H151" s="18"/>
      <c r="I151" s="528"/>
      <c r="M151" s="487">
        <v>2.2</v>
      </c>
      <c r="N151" s="492">
        <v>0.34</v>
      </c>
      <c r="O151" s="479">
        <v>0.429</v>
      </c>
      <c r="P151" s="480">
        <v>0.529</v>
      </c>
      <c r="Q151" s="480">
        <v>0.641</v>
      </c>
      <c r="R151" s="480">
        <v>0.764</v>
      </c>
      <c r="S151" s="480">
        <v>0.903</v>
      </c>
      <c r="T151" s="480">
        <v>1.05</v>
      </c>
      <c r="U151" s="480">
        <v>1.21</v>
      </c>
      <c r="V151" s="320">
        <v>1.36</v>
      </c>
      <c r="W151" s="480">
        <v>1.53</v>
      </c>
      <c r="X151" s="320">
        <v>1.71</v>
      </c>
      <c r="Y151" s="480">
        <v>2.09</v>
      </c>
      <c r="Z151" s="480">
        <v>2.51</v>
      </c>
      <c r="AA151" s="480">
        <v>2.97</v>
      </c>
      <c r="AB151" s="480">
        <v>3.45</v>
      </c>
      <c r="AC151" s="482">
        <v>3.98</v>
      </c>
      <c r="AF151" s="405" t="s">
        <v>844</v>
      </c>
      <c r="AG151" s="406">
        <v>31.1</v>
      </c>
      <c r="AH151" s="407">
        <v>18.7</v>
      </c>
      <c r="AI151" s="408">
        <v>0.59</v>
      </c>
      <c r="AJ151" s="407">
        <v>11.2</v>
      </c>
      <c r="AK151" s="408">
        <v>0.94</v>
      </c>
      <c r="AL151" s="410">
        <v>1.34</v>
      </c>
      <c r="AN151" s="50"/>
      <c r="AO151" s="100"/>
    </row>
    <row r="152" spans="1:41" ht="12.75">
      <c r="A152" s="136" t="str">
        <f>IF(AND($D$29=0,$D$30=0,$D$31=0),$R$251,IF(AND($D$29&gt;0,$D$30&gt;0,$D$31=0),$R$279,IF(AND($D$29&gt;0,$D$30&gt;0,$D$31&gt;0),$R$320)))</f>
        <v>Beam Checks for Uncoped Flanges (continued):</v>
      </c>
      <c r="B152" s="10"/>
      <c r="C152" s="10"/>
      <c r="D152" s="10"/>
      <c r="E152" s="10"/>
      <c r="F152" s="10"/>
      <c r="G152" s="10"/>
      <c r="H152" s="10"/>
      <c r="I152" s="14"/>
      <c r="M152" s="487">
        <v>2.4</v>
      </c>
      <c r="N152" s="478">
        <v>0.312</v>
      </c>
      <c r="O152" s="493">
        <v>0.395</v>
      </c>
      <c r="P152" s="494">
        <v>0.487</v>
      </c>
      <c r="Q152" s="326">
        <v>0.589</v>
      </c>
      <c r="R152" s="494">
        <v>0.704</v>
      </c>
      <c r="S152" s="494">
        <v>0.831</v>
      </c>
      <c r="T152" s="494">
        <v>0.969</v>
      </c>
      <c r="U152" s="494">
        <v>1.11</v>
      </c>
      <c r="V152" s="495">
        <v>1.26</v>
      </c>
      <c r="W152" s="494">
        <v>1.41</v>
      </c>
      <c r="X152" s="494">
        <v>1.58</v>
      </c>
      <c r="Y152" s="495">
        <v>1.93</v>
      </c>
      <c r="Z152" s="496">
        <v>2.32</v>
      </c>
      <c r="AA152" s="494">
        <v>2.75</v>
      </c>
      <c r="AB152" s="494">
        <v>3.2</v>
      </c>
      <c r="AC152" s="497">
        <v>3.7</v>
      </c>
      <c r="AF152" s="405" t="s">
        <v>845</v>
      </c>
      <c r="AG152" s="406">
        <v>28.5</v>
      </c>
      <c r="AH152" s="407">
        <v>18.6</v>
      </c>
      <c r="AI152" s="408">
        <v>0.535</v>
      </c>
      <c r="AJ152" s="407">
        <v>11.1</v>
      </c>
      <c r="AK152" s="408">
        <v>0.87</v>
      </c>
      <c r="AL152" s="410">
        <v>1.27</v>
      </c>
      <c r="AN152" s="50"/>
      <c r="AO152" s="100"/>
    </row>
    <row r="153" spans="1:38" ht="12.75">
      <c r="A153" s="19"/>
      <c r="B153" s="10"/>
      <c r="C153" s="10"/>
      <c r="D153" s="10"/>
      <c r="E153" s="10"/>
      <c r="F153" s="10"/>
      <c r="G153" s="10"/>
      <c r="H153" s="10"/>
      <c r="I153" s="14"/>
      <c r="M153" s="487">
        <v>2.6</v>
      </c>
      <c r="N153" s="478">
        <v>0.289</v>
      </c>
      <c r="O153" s="324">
        <v>0.364</v>
      </c>
      <c r="P153" s="480">
        <v>0.449</v>
      </c>
      <c r="Q153" s="480">
        <v>0.545</v>
      </c>
      <c r="R153" s="480">
        <v>0.652</v>
      </c>
      <c r="S153" s="480">
        <v>0.769</v>
      </c>
      <c r="T153" s="480">
        <v>0.899</v>
      </c>
      <c r="U153" s="319">
        <v>1.03</v>
      </c>
      <c r="V153" s="480">
        <v>1.17</v>
      </c>
      <c r="W153" s="480">
        <v>1.31</v>
      </c>
      <c r="X153" s="480">
        <v>1.46</v>
      </c>
      <c r="Y153" s="480">
        <v>1.79</v>
      </c>
      <c r="Z153" s="485">
        <v>2.16</v>
      </c>
      <c r="AA153" s="480">
        <v>2.55</v>
      </c>
      <c r="AB153" s="480">
        <v>2.99</v>
      </c>
      <c r="AC153" s="482">
        <v>3.45</v>
      </c>
      <c r="AF153" s="405" t="s">
        <v>846</v>
      </c>
      <c r="AG153" s="406">
        <v>25.3</v>
      </c>
      <c r="AH153" s="407">
        <v>18.4</v>
      </c>
      <c r="AI153" s="408">
        <v>0.48</v>
      </c>
      <c r="AJ153" s="407">
        <v>11.1</v>
      </c>
      <c r="AK153" s="408">
        <v>0.77</v>
      </c>
      <c r="AL153" s="410">
        <v>1.17</v>
      </c>
    </row>
    <row r="154" spans="1:41" ht="12.75">
      <c r="A154" s="67" t="str">
        <f>IF(AND($D$29=0,$D$30=0,$D$31=0),$M$278,IF(AND($D$29&gt;0,$D$30&gt;0,$D$30&lt;=0.5*$B$45,$D$31=0),$M$313,IF(AND($D$29&gt;0,$D$30&gt;0,$D$30&lt;=0.5*$B$45,$D$31&gt;0),$M$354)))</f>
        <v>  Web Buckling (Flexural Local Buckling) Capacity for Uncoped Flanges:</v>
      </c>
      <c r="B154" s="444"/>
      <c r="C154" s="68"/>
      <c r="D154" s="68"/>
      <c r="E154" s="68"/>
      <c r="F154" s="10"/>
      <c r="G154" s="45"/>
      <c r="H154" s="10"/>
      <c r="I154" s="389"/>
      <c r="M154" s="487">
        <v>2.8</v>
      </c>
      <c r="N154" s="478">
        <v>0.268</v>
      </c>
      <c r="O154" s="479">
        <v>0.339</v>
      </c>
      <c r="P154" s="480">
        <v>0.419</v>
      </c>
      <c r="Q154" s="480">
        <v>0.508</v>
      </c>
      <c r="R154" s="480">
        <v>0.607</v>
      </c>
      <c r="S154" s="480">
        <v>0.717</v>
      </c>
      <c r="T154" s="480">
        <v>0.837</v>
      </c>
      <c r="U154" s="480">
        <v>0.959</v>
      </c>
      <c r="V154" s="480">
        <v>1.09</v>
      </c>
      <c r="W154" s="480">
        <v>1.22</v>
      </c>
      <c r="X154" s="480">
        <v>1.37</v>
      </c>
      <c r="Y154" s="480">
        <v>1.67</v>
      </c>
      <c r="Z154" s="481">
        <v>2.02</v>
      </c>
      <c r="AA154" s="320">
        <v>2.39</v>
      </c>
      <c r="AB154" s="480">
        <v>2.8</v>
      </c>
      <c r="AC154" s="482">
        <v>3.23</v>
      </c>
      <c r="AF154" s="405" t="s">
        <v>847</v>
      </c>
      <c r="AG154" s="406">
        <v>22.3</v>
      </c>
      <c r="AH154" s="407">
        <v>18.2</v>
      </c>
      <c r="AI154" s="408">
        <v>0.425</v>
      </c>
      <c r="AJ154" s="407">
        <v>11</v>
      </c>
      <c r="AK154" s="408">
        <v>0.68</v>
      </c>
      <c r="AL154" s="410">
        <v>1.08</v>
      </c>
      <c r="AN154" s="50"/>
      <c r="AO154" s="100"/>
    </row>
    <row r="155" spans="1:41" ht="12.75">
      <c r="A155" s="443" t="s">
        <v>8</v>
      </c>
      <c r="B155" s="184" t="str">
        <f>IF(AND($D$29=0,$D$30=0,$D$31=0),"N.A.",IF(AND($D$29&gt;0,$D$30&gt;0,$D$30&lt;=0.5*$B$45,$D$31=0),$N$314,IF(AND($D$29&gt;0,$D$30&gt;0,$D$30&lt;=0.5*$B$45,$D$31&gt;0),"N.A.")))</f>
        <v>N.A.</v>
      </c>
      <c r="C155" s="10"/>
      <c r="D155" s="440" t="str">
        <f>IF(AND($D$29=0,$D$30=0,$D$31=0),"c/d = not applicable for uncoped beam",IF(AND($D$29&gt;0,$D$30&gt;0,$D$30&lt;=0.5*$B$45,$D$31=0),$P$314,IF(AND($D$29&gt;0,$D$30&gt;0,$D$30&lt;=0.5*$B$45,$D$31&gt;0),"c/d = not applicable for double coped beam")))</f>
        <v>c/d = not applicable for uncoped beam</v>
      </c>
      <c r="E155" s="10"/>
      <c r="F155" s="10"/>
      <c r="G155" s="45"/>
      <c r="H155" s="10"/>
      <c r="I155" s="389"/>
      <c r="M155" s="498">
        <v>3</v>
      </c>
      <c r="N155" s="499">
        <v>0.251</v>
      </c>
      <c r="O155" s="500">
        <v>0.317</v>
      </c>
      <c r="P155" s="501">
        <v>0.391</v>
      </c>
      <c r="Q155" s="501">
        <v>0.475</v>
      </c>
      <c r="R155" s="322">
        <v>0.568</v>
      </c>
      <c r="S155" s="501">
        <v>0.672</v>
      </c>
      <c r="T155" s="501">
        <v>0.784</v>
      </c>
      <c r="U155" s="501">
        <v>0.897</v>
      </c>
      <c r="V155" s="501">
        <v>1.02</v>
      </c>
      <c r="W155" s="501">
        <v>1.14</v>
      </c>
      <c r="X155" s="501">
        <v>1.28</v>
      </c>
      <c r="Y155" s="501">
        <v>1.57</v>
      </c>
      <c r="Z155" s="502">
        <v>1.89</v>
      </c>
      <c r="AA155" s="501">
        <v>2.24</v>
      </c>
      <c r="AB155" s="501">
        <v>2.63</v>
      </c>
      <c r="AC155" s="503">
        <v>3.04</v>
      </c>
      <c r="AF155" s="405" t="s">
        <v>848</v>
      </c>
      <c r="AG155" s="406">
        <v>20.8</v>
      </c>
      <c r="AH155" s="407">
        <v>18.5</v>
      </c>
      <c r="AI155" s="408">
        <v>0.495</v>
      </c>
      <c r="AJ155" s="409">
        <v>7.64</v>
      </c>
      <c r="AK155" s="408">
        <v>0.81</v>
      </c>
      <c r="AL155" s="410">
        <v>1.21</v>
      </c>
      <c r="AN155" s="50"/>
      <c r="AO155" s="100"/>
    </row>
    <row r="156" spans="1:41" ht="12.75">
      <c r="A156" s="443" t="s">
        <v>351</v>
      </c>
      <c r="B156" s="175" t="str">
        <f>IF(AND($D$29=0,$D$30=0,$D$31=0),"N.A.",IF(AND($D$29&gt;0,$D$30&gt;0,$D$30&lt;=0.5*$B$45,$D$31=0),$N$315,IF(AND($D$29&gt;0,$D$30&gt;0,$D$30&lt;=0.5*$B$45,$D$31&gt;0),"N.A.")))</f>
        <v>N.A.</v>
      </c>
      <c r="C156" s="10"/>
      <c r="D156" s="440" t="str">
        <f>IF(AND($D$29=0,$D$30=0,$D$31=0),"f = not applicable for uncoped beam",IF(AND($D$29&gt;0,$D$30&gt;0,$D$30&lt;=0.5*$B$45,$D$31=0),$P$315,IF(AND($D$29&gt;0,$D$30&gt;0,$D$30&lt;=0.5*$B$45,$D$31&gt;0),"f = not applicable for double coped beam")))</f>
        <v>f = not applicable for uncoped beam</v>
      </c>
      <c r="E156" s="10"/>
      <c r="F156" s="10"/>
      <c r="G156" s="45"/>
      <c r="H156" s="10"/>
      <c r="I156" s="389"/>
      <c r="M156" s="504" t="s">
        <v>526</v>
      </c>
      <c r="N156" s="505">
        <v>0</v>
      </c>
      <c r="O156" s="325">
        <v>0.008</v>
      </c>
      <c r="P156" s="322">
        <v>0.029</v>
      </c>
      <c r="Q156" s="322">
        <v>0.056</v>
      </c>
      <c r="R156" s="322">
        <v>0.089</v>
      </c>
      <c r="S156" s="322">
        <v>0.125</v>
      </c>
      <c r="T156" s="322">
        <v>0.164</v>
      </c>
      <c r="U156" s="322">
        <v>0.204</v>
      </c>
      <c r="V156" s="322">
        <v>0.246</v>
      </c>
      <c r="W156" s="322">
        <v>0.289</v>
      </c>
      <c r="X156" s="322">
        <v>0.333</v>
      </c>
      <c r="Y156" s="322">
        <v>0.424</v>
      </c>
      <c r="Z156" s="506">
        <v>0.516</v>
      </c>
      <c r="AA156" s="322">
        <v>0.61</v>
      </c>
      <c r="AB156" s="322">
        <v>0.704</v>
      </c>
      <c r="AC156" s="323">
        <v>0.8</v>
      </c>
      <c r="AF156" s="405" t="s">
        <v>849</v>
      </c>
      <c r="AG156" s="406">
        <v>19.1</v>
      </c>
      <c r="AH156" s="407">
        <v>18.4</v>
      </c>
      <c r="AI156" s="408">
        <v>0.45</v>
      </c>
      <c r="AJ156" s="409">
        <v>7.59</v>
      </c>
      <c r="AK156" s="408">
        <v>0.75</v>
      </c>
      <c r="AL156" s="410">
        <v>1.15</v>
      </c>
      <c r="AN156" s="50"/>
      <c r="AO156" s="100"/>
    </row>
    <row r="157" spans="1:38" ht="12.75">
      <c r="A157" s="443" t="s">
        <v>7</v>
      </c>
      <c r="B157" s="175" t="str">
        <f>IF(AND($D$29=0,$D$30=0,$D$31=0),"N.A.",IF(AND($D$29&gt;0,$D$30&gt;0,$D$30&lt;=0.5*$B$45,$D$31=0),$N$316,IF(AND($D$29&gt;0,$D$30&gt;0,$D$30&lt;=0.5*$B$45,$D$31&gt;0),"N.A.")))</f>
        <v>N.A.</v>
      </c>
      <c r="C157" s="10"/>
      <c r="D157" s="440" t="str">
        <f>IF(AND($D$29=0,$D$30=0,$D$31=0),"c/ho = not applicable for uncoped beam",IF(AND($D$29&gt;0,$D$30&gt;0,$D$30&lt;=0.5*$B$45,$D$31=0),$P$316,IF(AND($D$29&gt;0,$D$30&gt;0,$D$30&lt;=0.5*$B$45,$D$31&gt;0),"c/ho = not applicable for double coped beam")))</f>
        <v>c/ho = not applicable for uncoped beam</v>
      </c>
      <c r="E157" s="10"/>
      <c r="F157" s="10"/>
      <c r="G157" s="45"/>
      <c r="H157" s="10"/>
      <c r="I157" s="389"/>
      <c r="AF157" s="405" t="s">
        <v>850</v>
      </c>
      <c r="AG157" s="406">
        <v>17.6</v>
      </c>
      <c r="AH157" s="407">
        <v>18.2</v>
      </c>
      <c r="AI157" s="408">
        <v>0.415</v>
      </c>
      <c r="AJ157" s="409">
        <v>7.56</v>
      </c>
      <c r="AK157" s="408">
        <v>0.695</v>
      </c>
      <c r="AL157" s="410">
        <v>1.1</v>
      </c>
    </row>
    <row r="158" spans="1:38" ht="12.75">
      <c r="A158" s="443" t="s">
        <v>460</v>
      </c>
      <c r="B158" s="179" t="str">
        <f>IF(AND($D$29=0,$D$30=0,$D$31=0),"N.A.",IF(AND($D$29&gt;0,$D$30&gt;0,$D$30&lt;=0.5*$B$45,$D$31=0),$N$317,IF(AND($D$29&gt;0,$D$30&gt;0,$D$30&lt;=0.5*$B$45,$D$31&gt;0),"N.A.")))</f>
        <v>N.A.</v>
      </c>
      <c r="C158" s="10"/>
      <c r="D158" s="440" t="str">
        <f>IF(AND($D$29=0,$D$30=0,$D$31=0),"k = not applicable for uncoped beam",IF(AND($D$29&gt;0,$D$30&gt;0,$D$30&lt;=0.5*$B$45,$D$31=0),$P$317,IF(AND($D$29&gt;0,$D$30&gt;0,$D$30&lt;=0.5*$B$45,$D$31&gt;0),"k = not applicable for double coped beam")))</f>
        <v>k = not applicable for uncoped beam</v>
      </c>
      <c r="E158" s="10"/>
      <c r="F158" s="10"/>
      <c r="G158" s="45"/>
      <c r="H158" s="45"/>
      <c r="I158" s="389"/>
      <c r="M158" s="141" t="s">
        <v>531</v>
      </c>
      <c r="N158" s="463"/>
      <c r="O158" s="107"/>
      <c r="P158" s="463"/>
      <c r="Q158" s="463"/>
      <c r="R158" s="143"/>
      <c r="S158" s="143"/>
      <c r="T158" s="143"/>
      <c r="U158" s="142"/>
      <c r="V158" s="143"/>
      <c r="W158" s="143"/>
      <c r="X158" s="143"/>
      <c r="Y158" s="143"/>
      <c r="Z158" s="144"/>
      <c r="AA158" s="143"/>
      <c r="AB158" s="143"/>
      <c r="AC158" s="144"/>
      <c r="AF158" s="405" t="s">
        <v>851</v>
      </c>
      <c r="AG158" s="406">
        <v>16.2</v>
      </c>
      <c r="AH158" s="407">
        <v>18.1</v>
      </c>
      <c r="AI158" s="408">
        <v>0.39</v>
      </c>
      <c r="AJ158" s="409">
        <v>7.53</v>
      </c>
      <c r="AK158" s="408">
        <v>0.63</v>
      </c>
      <c r="AL158" s="410">
        <v>1.03</v>
      </c>
    </row>
    <row r="159" spans="1:41" ht="12.75">
      <c r="A159" s="51" t="s">
        <v>632</v>
      </c>
      <c r="B159" s="179" t="str">
        <f>IF(AND($D$29=0,$D$30=0,$D$31=0),"N.A.",IF(AND($D$29&gt;0,$D$30&gt;0,$D$30&lt;=0.5*$B$45,$D$31=0),"N.A.",IF(AND($D$29&gt;0,$D$30&gt;0,$D$30&lt;=0.5*$B$45,$D$31&gt;0),$N$355)))</f>
        <v>N.A.</v>
      </c>
      <c r="C159" s="10"/>
      <c r="D159" s="440" t="str">
        <f>IF(AND($D$29=0,$D$30=0,$D$31=0),"fd = not applicable for uncoped beam",IF(AND($D$29&gt;0,$D$30&gt;0,$D$30&lt;=0.5*$B$45,$D$31=0),"fd = not applicable for single coped beam",IF(AND($D$29&gt;0,$D$30&gt;0,$D$30&lt;=0.5*$B$45,$D$31&gt;0),$P$355)))</f>
        <v>fd = not applicable for uncoped beam</v>
      </c>
      <c r="E159" s="10"/>
      <c r="F159" s="10"/>
      <c r="G159" s="25"/>
      <c r="H159" s="45"/>
      <c r="I159" s="389"/>
      <c r="M159" s="464"/>
      <c r="N159" s="141" t="s">
        <v>323</v>
      </c>
      <c r="O159" s="107"/>
      <c r="P159" s="143"/>
      <c r="Q159" s="143"/>
      <c r="R159" s="143"/>
      <c r="S159" s="143"/>
      <c r="T159" s="465"/>
      <c r="U159" s="143"/>
      <c r="V159" s="143"/>
      <c r="W159" s="143"/>
      <c r="X159" s="143"/>
      <c r="Y159" s="156"/>
      <c r="Z159" s="144"/>
      <c r="AA159" s="143"/>
      <c r="AB159" s="156"/>
      <c r="AC159" s="144"/>
      <c r="AF159" s="405" t="s">
        <v>852</v>
      </c>
      <c r="AG159" s="406">
        <v>14.7</v>
      </c>
      <c r="AH159" s="407">
        <v>18</v>
      </c>
      <c r="AI159" s="408">
        <v>0.355</v>
      </c>
      <c r="AJ159" s="409">
        <v>7.5</v>
      </c>
      <c r="AK159" s="408">
        <v>0.57</v>
      </c>
      <c r="AL159" s="412">
        <v>0.972</v>
      </c>
      <c r="AN159" s="50"/>
      <c r="AO159" s="100"/>
    </row>
    <row r="160" spans="1:41" ht="12.75">
      <c r="A160" s="51" t="s">
        <v>633</v>
      </c>
      <c r="B160" s="179" t="str">
        <f>IF(AND($D$29=0,$D$30=0,$D$31=0),"N.A.",IF(AND($D$29&gt;0,$D$30&gt;0,$D$30&lt;=0.5*$B$45,$D$31=0),"N.A.",IF(AND($D$29&gt;0,$D$30&gt;0,$D$30&lt;=0.5*$B$45,$D$31&gt;0),$N$356)))</f>
        <v>N.A.</v>
      </c>
      <c r="C160" s="10"/>
      <c r="D160" s="440" t="str">
        <f>IF(AND($D$29=0,$D$30=0,$D$31=0),"lambda = not applicable for uncoped beam",IF(AND($D$29&gt;0,$D$30&gt;0,$D$30&lt;=0.5*$B$45,$D$31=0),"lambda = not applicable for single coped beam",IF(AND($D$29&gt;0,$D$30&gt;0,$D$30&lt;=0.5*$B$45,$D$31&gt;0),$P$356)))</f>
        <v>lambda = not applicable for uncoped beam</v>
      </c>
      <c r="E160" s="10"/>
      <c r="F160" s="10"/>
      <c r="G160" s="25"/>
      <c r="H160" s="45"/>
      <c r="I160" s="389"/>
      <c r="M160" s="467" t="s">
        <v>18</v>
      </c>
      <c r="N160" s="468">
        <v>0</v>
      </c>
      <c r="O160" s="140">
        <v>0.1</v>
      </c>
      <c r="P160" s="140">
        <v>0.2</v>
      </c>
      <c r="Q160" s="469">
        <v>0.3</v>
      </c>
      <c r="R160" s="140">
        <v>0.4</v>
      </c>
      <c r="S160" s="469">
        <v>0.5</v>
      </c>
      <c r="T160" s="140">
        <v>0.6</v>
      </c>
      <c r="U160" s="469">
        <v>0.7</v>
      </c>
      <c r="V160" s="140">
        <v>0.8</v>
      </c>
      <c r="W160" s="469">
        <v>0.9</v>
      </c>
      <c r="X160" s="140">
        <v>1</v>
      </c>
      <c r="Y160" s="469">
        <v>1.2</v>
      </c>
      <c r="Z160" s="140">
        <v>1.4</v>
      </c>
      <c r="AA160" s="140">
        <v>1.6</v>
      </c>
      <c r="AB160" s="469">
        <v>1.8</v>
      </c>
      <c r="AC160" s="140">
        <v>2</v>
      </c>
      <c r="AF160" s="405" t="s">
        <v>853</v>
      </c>
      <c r="AG160" s="406">
        <v>13.5</v>
      </c>
      <c r="AH160" s="407">
        <v>18.1</v>
      </c>
      <c r="AI160" s="408">
        <v>0.36</v>
      </c>
      <c r="AJ160" s="409">
        <v>6.06</v>
      </c>
      <c r="AK160" s="408">
        <v>0.605</v>
      </c>
      <c r="AL160" s="410">
        <v>1.01</v>
      </c>
      <c r="AN160" s="50"/>
      <c r="AO160" s="100"/>
    </row>
    <row r="161" spans="1:38" ht="12.75">
      <c r="A161" s="51" t="s">
        <v>634</v>
      </c>
      <c r="B161" s="179" t="str">
        <f>IF(AND($D$29=0,$D$30=0,$D$31=0),"N.A.",IF(AND($D$29&gt;0,$D$30&gt;0,$D$30&lt;=0.5*$B$45,$D$31=0),"N.A.",IF(AND($D$29&gt;0,$D$30&gt;0,$D$30&lt;=0.5*$B$45,$D$31&gt;0),$N$357)))</f>
        <v>N.A.</v>
      </c>
      <c r="C161" s="10"/>
      <c r="D161" s="529" t="str">
        <f>IF(AND($D$29=0,$D$30=0,$D$31=0),"Q = not applicable for uncoped beam",IF(AND($D$29&gt;0,$D$30&gt;0,$D$30&lt;=0.5*$B$45,$D$31=0),"Q = not applicable for single coped beam",IF(AND($D$29&gt;0,$D$30&gt;0,$D$30&lt;=0.5*$B$45,$D$31&gt;0),$P$357)))</f>
        <v>Q = not applicable for uncoped beam</v>
      </c>
      <c r="E161" s="10"/>
      <c r="F161" s="10"/>
      <c r="G161" s="25"/>
      <c r="H161" s="45"/>
      <c r="I161" s="389"/>
      <c r="M161" s="471">
        <v>0</v>
      </c>
      <c r="N161" s="472">
        <v>2.34</v>
      </c>
      <c r="O161" s="473">
        <v>2.81</v>
      </c>
      <c r="P161" s="474">
        <v>3.28</v>
      </c>
      <c r="Q161" s="318">
        <v>3.74</v>
      </c>
      <c r="R161" s="474">
        <v>4.21</v>
      </c>
      <c r="S161" s="474">
        <v>4.68</v>
      </c>
      <c r="T161" s="474">
        <v>5.15</v>
      </c>
      <c r="U161" s="474">
        <v>5.62</v>
      </c>
      <c r="V161" s="474">
        <v>6.08</v>
      </c>
      <c r="W161" s="474">
        <v>6.55</v>
      </c>
      <c r="X161" s="318">
        <v>7.02</v>
      </c>
      <c r="Y161" s="474">
        <v>7.96</v>
      </c>
      <c r="Z161" s="475">
        <v>8.89</v>
      </c>
      <c r="AA161" s="474">
        <v>9.83</v>
      </c>
      <c r="AB161" s="474">
        <v>10.8</v>
      </c>
      <c r="AC161" s="476">
        <v>11.7</v>
      </c>
      <c r="AF161" s="405" t="s">
        <v>854</v>
      </c>
      <c r="AG161" s="406">
        <v>11.8</v>
      </c>
      <c r="AH161" s="407">
        <v>17.9</v>
      </c>
      <c r="AI161" s="408">
        <v>0.315</v>
      </c>
      <c r="AJ161" s="409">
        <v>6.02</v>
      </c>
      <c r="AK161" s="408">
        <v>0.525</v>
      </c>
      <c r="AL161" s="412">
        <v>0.927</v>
      </c>
    </row>
    <row r="162" spans="1:38" ht="12.75">
      <c r="A162" s="443" t="s">
        <v>107</v>
      </c>
      <c r="B162" s="179" t="str">
        <f>IF(AND($D$29=0,$D$30=0,$D$31=0),"N.A.",IF(AND($D$29&gt;0,$D$30&gt;0,$D$30&lt;=0.5*$B$45,$D$31=0),$N$318,IF(AND($D$29&gt;0,$D$30&gt;0,$D$30&lt;=0.5*$B$45,$D$31&gt;0),$N$358)))</f>
        <v>N.A.</v>
      </c>
      <c r="C162" s="110" t="s">
        <v>245</v>
      </c>
      <c r="D162" s="441" t="str">
        <f>IF(AND($D$29=0,$D$30=0,$D$31=0),"Fbc = not applicable for uncoped beam",IF(AND($D$29&gt;0,$D$30&gt;0,$D$30&lt;=0.5*$B$45,$D$31=0),$P$318,IF(AND($D$29&gt;0,$D$30&gt;0,$D$30&lt;=0.5*$B$45,$D$31&gt;0),$P$358)))</f>
        <v>Fbc = not applicable for uncoped beam</v>
      </c>
      <c r="E162" s="10"/>
      <c r="F162" s="60"/>
      <c r="G162" s="25"/>
      <c r="H162" s="80"/>
      <c r="I162" s="389"/>
      <c r="M162" s="477">
        <v>0.1</v>
      </c>
      <c r="N162" s="478">
        <v>2.24</v>
      </c>
      <c r="O162" s="479">
        <v>2.74</v>
      </c>
      <c r="P162" s="480">
        <v>3.24</v>
      </c>
      <c r="Q162" s="320">
        <v>3.74</v>
      </c>
      <c r="R162" s="480">
        <v>4.23</v>
      </c>
      <c r="S162" s="480">
        <v>4.73</v>
      </c>
      <c r="T162" s="480">
        <v>5.23</v>
      </c>
      <c r="U162" s="480">
        <v>5.72</v>
      </c>
      <c r="V162" s="480">
        <v>6.22</v>
      </c>
      <c r="W162" s="480">
        <v>6.71</v>
      </c>
      <c r="X162" s="480">
        <v>7.2</v>
      </c>
      <c r="Y162" s="480">
        <v>8.19</v>
      </c>
      <c r="Z162" s="481">
        <v>9.17</v>
      </c>
      <c r="AA162" s="480">
        <v>10.1</v>
      </c>
      <c r="AB162" s="480">
        <v>11.1</v>
      </c>
      <c r="AC162" s="482">
        <v>12.1</v>
      </c>
      <c r="AF162" s="405" t="s">
        <v>855</v>
      </c>
      <c r="AG162" s="406">
        <v>10.3</v>
      </c>
      <c r="AH162" s="407">
        <v>17.7</v>
      </c>
      <c r="AI162" s="408">
        <v>0.3</v>
      </c>
      <c r="AJ162" s="409">
        <v>6</v>
      </c>
      <c r="AK162" s="408">
        <v>0.425</v>
      </c>
      <c r="AL162" s="412">
        <v>0.827</v>
      </c>
    </row>
    <row r="163" spans="1:41" ht="12.75">
      <c r="A163" s="443" t="s">
        <v>104</v>
      </c>
      <c r="B163" s="183" t="str">
        <f>IF(AND($D$29=0,$D$30=0,$D$31=0),"N.A.",IF(AND($D$29&gt;0,$D$30&gt;0,$D$30&lt;=0.5*$B$45,$D$31=0),$N$319,IF(AND($D$29&gt;0,$D$30&gt;0,$D$30&lt;=0.5*$B$45,$D$31&gt;0),$N$359)))</f>
        <v>N.A.</v>
      </c>
      <c r="C163" s="110" t="s">
        <v>237</v>
      </c>
      <c r="D163" s="441" t="str">
        <f>IF(AND($D$29=0,$D$30=0,$D$31=0),"Rwb = not applicable for uncoped beam",IF(AND($D$29&gt;0,$D$30&gt;0,$D$30&lt;=0.5*$B$45,$D$31=0),$P$319,IF(AND($D$29&gt;0,$D$30&gt;0,$D$30&lt;=0.5*$B$45,$D$31&gt;0),$P$359)))</f>
        <v>Rwb = not applicable for uncoped beam</v>
      </c>
      <c r="E163" s="10"/>
      <c r="F163" s="445"/>
      <c r="G163" s="10"/>
      <c r="H163" s="10"/>
      <c r="I163" s="389">
        <f>IF(AND($D$29=0,$D$30=0,$D$31=0),"",IF($B$163&gt;=$D$16,"Rwb &gt;= R,  O.K.  ","Rwb &lt; R, N.G.  "))</f>
      </c>
      <c r="M163" s="483">
        <v>0.15</v>
      </c>
      <c r="N163" s="478">
        <v>2.09</v>
      </c>
      <c r="O163" s="479">
        <v>2.6</v>
      </c>
      <c r="P163" s="480">
        <v>3.09</v>
      </c>
      <c r="Q163" s="480">
        <v>3.58</v>
      </c>
      <c r="R163" s="480">
        <v>4.07</v>
      </c>
      <c r="S163" s="480">
        <v>4.57</v>
      </c>
      <c r="T163" s="320">
        <v>5.06</v>
      </c>
      <c r="U163" s="480">
        <v>5.56</v>
      </c>
      <c r="V163" s="480">
        <v>6.06</v>
      </c>
      <c r="W163" s="320">
        <v>6.55</v>
      </c>
      <c r="X163" s="480">
        <v>7.05</v>
      </c>
      <c r="Y163" s="480">
        <v>8.04</v>
      </c>
      <c r="Z163" s="481">
        <v>9.03</v>
      </c>
      <c r="AA163" s="480">
        <v>10</v>
      </c>
      <c r="AB163" s="480">
        <v>11</v>
      </c>
      <c r="AC163" s="482">
        <v>12</v>
      </c>
      <c r="AF163" s="405" t="s">
        <v>856</v>
      </c>
      <c r="AG163" s="406">
        <v>29.5</v>
      </c>
      <c r="AH163" s="407">
        <v>17</v>
      </c>
      <c r="AI163" s="408">
        <v>0.585</v>
      </c>
      <c r="AJ163" s="407">
        <v>10.4</v>
      </c>
      <c r="AK163" s="408">
        <v>0.985</v>
      </c>
      <c r="AL163" s="410">
        <v>1.39</v>
      </c>
      <c r="AN163" s="50" t="str">
        <f>IF(AO163="","N.A.","SR =")</f>
        <v>N.A.</v>
      </c>
      <c r="AO163" s="100">
        <f>IF(AND($D$29=0,$D$30=0,$D$31=0),"",$D$16/$B$163)</f>
      </c>
    </row>
    <row r="164" spans="1:38" ht="12.75">
      <c r="A164" s="19"/>
      <c r="B164" s="10"/>
      <c r="C164" s="10"/>
      <c r="D164" s="10"/>
      <c r="E164" s="10"/>
      <c r="F164" s="10"/>
      <c r="G164" s="10"/>
      <c r="H164" s="10"/>
      <c r="I164" s="14"/>
      <c r="M164" s="483">
        <v>0.2</v>
      </c>
      <c r="N164" s="478">
        <v>1.96</v>
      </c>
      <c r="O164" s="479">
        <v>2.44</v>
      </c>
      <c r="P164" s="480">
        <v>2.92</v>
      </c>
      <c r="Q164" s="480">
        <v>3.4</v>
      </c>
      <c r="R164" s="320">
        <v>3.88</v>
      </c>
      <c r="S164" s="480">
        <v>4.37</v>
      </c>
      <c r="T164" s="480">
        <v>4.86</v>
      </c>
      <c r="U164" s="480">
        <v>5.36</v>
      </c>
      <c r="V164" s="480">
        <v>5.85</v>
      </c>
      <c r="W164" s="480">
        <v>6.35</v>
      </c>
      <c r="X164" s="480">
        <v>6.84</v>
      </c>
      <c r="Y164" s="480">
        <v>7.83</v>
      </c>
      <c r="Z164" s="481">
        <v>8.83</v>
      </c>
      <c r="AA164" s="480">
        <v>9.82</v>
      </c>
      <c r="AB164" s="480">
        <v>10.8</v>
      </c>
      <c r="AC164" s="484">
        <v>11.8</v>
      </c>
      <c r="AF164" s="405" t="s">
        <v>857</v>
      </c>
      <c r="AG164" s="406">
        <v>26.2</v>
      </c>
      <c r="AH164" s="407">
        <v>16.8</v>
      </c>
      <c r="AI164" s="408">
        <v>0.525</v>
      </c>
      <c r="AJ164" s="407">
        <v>10.4</v>
      </c>
      <c r="AK164" s="408">
        <v>0.875</v>
      </c>
      <c r="AL164" s="410">
        <v>1.28</v>
      </c>
    </row>
    <row r="165" spans="1:38" ht="12.75">
      <c r="A165" s="64" t="s">
        <v>184</v>
      </c>
      <c r="B165" s="45"/>
      <c r="C165" s="121"/>
      <c r="D165" s="45"/>
      <c r="E165" s="45"/>
      <c r="F165" s="45"/>
      <c r="G165" s="45"/>
      <c r="H165" s="45"/>
      <c r="I165" s="389"/>
      <c r="M165" s="483">
        <v>0.25</v>
      </c>
      <c r="N165" s="478">
        <v>1.85</v>
      </c>
      <c r="O165" s="479">
        <v>2.29</v>
      </c>
      <c r="P165" s="480">
        <v>2.75</v>
      </c>
      <c r="Q165" s="480">
        <v>3.21</v>
      </c>
      <c r="R165" s="480">
        <v>3.68</v>
      </c>
      <c r="S165" s="480">
        <v>4.16</v>
      </c>
      <c r="T165" s="480">
        <v>4.64</v>
      </c>
      <c r="U165" s="480">
        <v>5.13</v>
      </c>
      <c r="V165" s="480">
        <v>5.62</v>
      </c>
      <c r="W165" s="480">
        <v>6.11</v>
      </c>
      <c r="X165" s="480">
        <v>6.6</v>
      </c>
      <c r="Y165" s="480">
        <v>7.58</v>
      </c>
      <c r="Z165" s="481">
        <v>8.58</v>
      </c>
      <c r="AA165" s="480">
        <v>9.59</v>
      </c>
      <c r="AB165" s="480">
        <v>1.6</v>
      </c>
      <c r="AC165" s="482">
        <v>11.6</v>
      </c>
      <c r="AF165" s="405" t="s">
        <v>858</v>
      </c>
      <c r="AG165" s="406">
        <v>22.6</v>
      </c>
      <c r="AH165" s="407">
        <v>16.5</v>
      </c>
      <c r="AI165" s="408">
        <v>0.455</v>
      </c>
      <c r="AJ165" s="407">
        <v>10.3</v>
      </c>
      <c r="AK165" s="408">
        <v>0.76</v>
      </c>
      <c r="AL165" s="410">
        <v>1.16</v>
      </c>
    </row>
    <row r="166" spans="1:38" ht="12.75">
      <c r="A166" s="442" t="s">
        <v>644</v>
      </c>
      <c r="B166" s="10"/>
      <c r="C166" s="10"/>
      <c r="D166" s="10"/>
      <c r="E166" s="10"/>
      <c r="F166" s="10"/>
      <c r="G166" s="10"/>
      <c r="H166" s="10"/>
      <c r="I166" s="389"/>
      <c r="M166" s="483">
        <v>0.3</v>
      </c>
      <c r="N166" s="478">
        <v>1.74</v>
      </c>
      <c r="O166" s="479">
        <v>2.15</v>
      </c>
      <c r="P166" s="480">
        <v>2.59</v>
      </c>
      <c r="Q166" s="480">
        <v>3.03</v>
      </c>
      <c r="R166" s="480">
        <v>3.48</v>
      </c>
      <c r="S166" s="480">
        <v>3.94</v>
      </c>
      <c r="T166" s="480">
        <v>4.41</v>
      </c>
      <c r="U166" s="320">
        <v>4.89</v>
      </c>
      <c r="V166" s="480">
        <v>5.38</v>
      </c>
      <c r="W166" s="480">
        <v>5.86</v>
      </c>
      <c r="X166" s="480">
        <v>6.34</v>
      </c>
      <c r="Y166" s="480">
        <v>7.32</v>
      </c>
      <c r="Z166" s="485">
        <v>8.31</v>
      </c>
      <c r="AA166" s="320">
        <v>9.32</v>
      </c>
      <c r="AB166" s="486">
        <v>10.3</v>
      </c>
      <c r="AC166" s="484">
        <v>11.3</v>
      </c>
      <c r="AF166" s="405" t="s">
        <v>859</v>
      </c>
      <c r="AG166" s="406">
        <v>19.7</v>
      </c>
      <c r="AH166" s="407">
        <v>16.3</v>
      </c>
      <c r="AI166" s="408">
        <v>0.395</v>
      </c>
      <c r="AJ166" s="407">
        <v>10.2</v>
      </c>
      <c r="AK166" s="408">
        <v>0.665</v>
      </c>
      <c r="AL166" s="410">
        <v>1.07</v>
      </c>
    </row>
    <row r="167" spans="1:38" ht="12.75">
      <c r="A167" s="439" t="s">
        <v>631</v>
      </c>
      <c r="B167" s="450">
        <f>$N$362</f>
        <v>7.125016348901795</v>
      </c>
      <c r="C167" s="456" t="s">
        <v>269</v>
      </c>
      <c r="D167" s="438" t="s">
        <v>630</v>
      </c>
      <c r="E167" s="10"/>
      <c r="F167" s="10"/>
      <c r="G167" s="45"/>
      <c r="H167" s="10"/>
      <c r="I167" s="389"/>
      <c r="M167" s="483">
        <v>0.4</v>
      </c>
      <c r="N167" s="478">
        <v>1.55</v>
      </c>
      <c r="O167" s="479">
        <v>1.91</v>
      </c>
      <c r="P167" s="480">
        <v>2.3</v>
      </c>
      <c r="Q167" s="480">
        <v>2.7</v>
      </c>
      <c r="R167" s="480">
        <v>3.12</v>
      </c>
      <c r="S167" s="480">
        <v>3.55</v>
      </c>
      <c r="T167" s="480">
        <v>3.99</v>
      </c>
      <c r="U167" s="480">
        <v>4.44</v>
      </c>
      <c r="V167" s="320">
        <v>4.91</v>
      </c>
      <c r="W167" s="480">
        <v>5.37</v>
      </c>
      <c r="X167" s="480">
        <v>5.83</v>
      </c>
      <c r="Y167" s="320">
        <v>6.77</v>
      </c>
      <c r="Z167" s="481">
        <v>7.75</v>
      </c>
      <c r="AA167" s="480">
        <v>8.75</v>
      </c>
      <c r="AB167" s="480">
        <v>9.77</v>
      </c>
      <c r="AC167" s="482">
        <v>10.8</v>
      </c>
      <c r="AF167" s="405" t="s">
        <v>860</v>
      </c>
      <c r="AG167" s="406">
        <v>16.8</v>
      </c>
      <c r="AH167" s="407">
        <v>16.4</v>
      </c>
      <c r="AI167" s="408">
        <v>0.43</v>
      </c>
      <c r="AJ167" s="409">
        <v>7.12</v>
      </c>
      <c r="AK167" s="408">
        <v>0.715</v>
      </c>
      <c r="AL167" s="410">
        <v>1.12</v>
      </c>
    </row>
    <row r="168" spans="1:38" ht="12.75">
      <c r="A168" s="457" t="s">
        <v>427</v>
      </c>
      <c r="B168" s="180">
        <f>$N$363</f>
        <v>82.77323612608444</v>
      </c>
      <c r="C168" s="456" t="s">
        <v>237</v>
      </c>
      <c r="D168" s="447" t="s">
        <v>643</v>
      </c>
      <c r="E168" s="10"/>
      <c r="F168" s="10"/>
      <c r="G168" s="10"/>
      <c r="H168" s="10"/>
      <c r="I168" s="389"/>
      <c r="M168" s="483">
        <v>0.5</v>
      </c>
      <c r="N168" s="478">
        <v>1.37</v>
      </c>
      <c r="O168" s="479">
        <v>1.7</v>
      </c>
      <c r="P168" s="480">
        <v>2.05</v>
      </c>
      <c r="Q168" s="480">
        <v>2.42</v>
      </c>
      <c r="R168" s="480">
        <v>2.8</v>
      </c>
      <c r="S168" s="480">
        <v>3.2</v>
      </c>
      <c r="T168" s="480">
        <v>3.61</v>
      </c>
      <c r="U168" s="320">
        <v>4.04</v>
      </c>
      <c r="V168" s="320">
        <v>4.48</v>
      </c>
      <c r="W168" s="320">
        <v>4.93</v>
      </c>
      <c r="X168" s="480">
        <v>5.37</v>
      </c>
      <c r="Y168" s="480">
        <v>6.27</v>
      </c>
      <c r="Z168" s="481">
        <v>7.22</v>
      </c>
      <c r="AA168" s="480">
        <v>8.2</v>
      </c>
      <c r="AB168" s="320">
        <v>9.2</v>
      </c>
      <c r="AC168" s="482">
        <v>10.2</v>
      </c>
      <c r="AF168" s="405" t="s">
        <v>861</v>
      </c>
      <c r="AG168" s="406">
        <v>14.7</v>
      </c>
      <c r="AH168" s="407">
        <v>16.3</v>
      </c>
      <c r="AI168" s="408">
        <v>0.38</v>
      </c>
      <c r="AJ168" s="409">
        <v>7.07</v>
      </c>
      <c r="AK168" s="408">
        <v>0.63</v>
      </c>
      <c r="AL168" s="410">
        <v>1.03</v>
      </c>
    </row>
    <row r="169" spans="1:38" ht="12.75">
      <c r="A169" s="457" t="s">
        <v>625</v>
      </c>
      <c r="B169" s="451">
        <f>$N$364</f>
        <v>0.23769230769230767</v>
      </c>
      <c r="C169" s="361" t="s">
        <v>268</v>
      </c>
      <c r="D169" s="459" t="s">
        <v>494</v>
      </c>
      <c r="E169" s="10"/>
      <c r="F169" s="10"/>
      <c r="G169" s="10"/>
      <c r="H169" s="10"/>
      <c r="I169" s="389"/>
      <c r="M169" s="483">
        <v>0.6</v>
      </c>
      <c r="N169" s="478">
        <v>1.23</v>
      </c>
      <c r="O169" s="479">
        <v>1.52</v>
      </c>
      <c r="P169" s="480">
        <v>1.84</v>
      </c>
      <c r="Q169" s="480">
        <v>2.18</v>
      </c>
      <c r="R169" s="480">
        <v>2.53</v>
      </c>
      <c r="S169" s="480">
        <v>2.9</v>
      </c>
      <c r="T169" s="480">
        <v>3.29</v>
      </c>
      <c r="U169" s="320">
        <v>3.69</v>
      </c>
      <c r="V169" s="480">
        <v>4.11</v>
      </c>
      <c r="W169" s="480">
        <v>4.54</v>
      </c>
      <c r="X169" s="480">
        <v>4.96</v>
      </c>
      <c r="Y169" s="480">
        <v>5.83</v>
      </c>
      <c r="Z169" s="481">
        <v>6.72</v>
      </c>
      <c r="AA169" s="480">
        <v>7.67</v>
      </c>
      <c r="AB169" s="480">
        <v>8.65</v>
      </c>
      <c r="AC169" s="482">
        <v>9.64</v>
      </c>
      <c r="AF169" s="405" t="s">
        <v>862</v>
      </c>
      <c r="AG169" s="406">
        <v>13.3</v>
      </c>
      <c r="AH169" s="407">
        <v>16.1</v>
      </c>
      <c r="AI169" s="408">
        <v>0.345</v>
      </c>
      <c r="AJ169" s="409">
        <v>7.04</v>
      </c>
      <c r="AK169" s="408">
        <v>0.565</v>
      </c>
      <c r="AL169" s="412">
        <v>0.967</v>
      </c>
    </row>
    <row r="170" spans="1:38" ht="12.75">
      <c r="A170" s="457" t="s">
        <v>628</v>
      </c>
      <c r="B170" s="451" t="str">
        <f>$N$365</f>
        <v>No</v>
      </c>
      <c r="C170" s="361"/>
      <c r="D170" s="447" t="str">
        <f>$P$365</f>
        <v>Is tmin &gt; twg?  If so, Rwr' = Rwr* twg / tmin.  If not, Rwr' = Rwr</v>
      </c>
      <c r="E170" s="10"/>
      <c r="F170" s="10"/>
      <c r="G170" s="10"/>
      <c r="H170" s="10"/>
      <c r="I170" s="389"/>
      <c r="M170" s="483">
        <v>0.7</v>
      </c>
      <c r="N170" s="478">
        <v>1.11</v>
      </c>
      <c r="O170" s="479">
        <v>1.37</v>
      </c>
      <c r="P170" s="480">
        <v>1.66</v>
      </c>
      <c r="Q170" s="480">
        <v>1.97</v>
      </c>
      <c r="R170" s="480">
        <v>2.3</v>
      </c>
      <c r="S170" s="480">
        <v>2.65</v>
      </c>
      <c r="T170" s="480">
        <v>3.01</v>
      </c>
      <c r="U170" s="480">
        <v>3.39</v>
      </c>
      <c r="V170" s="320">
        <v>3.79</v>
      </c>
      <c r="W170" s="480">
        <v>4.2</v>
      </c>
      <c r="X170" s="480">
        <v>4.61</v>
      </c>
      <c r="Y170" s="480">
        <v>5.43</v>
      </c>
      <c r="Z170" s="481">
        <v>6.3</v>
      </c>
      <c r="AA170" s="480">
        <v>7.2</v>
      </c>
      <c r="AB170" s="480">
        <v>8.15</v>
      </c>
      <c r="AC170" s="482">
        <v>9.12</v>
      </c>
      <c r="AF170" s="405" t="s">
        <v>863</v>
      </c>
      <c r="AG170" s="406">
        <v>11.8</v>
      </c>
      <c r="AH170" s="407">
        <v>16</v>
      </c>
      <c r="AI170" s="408">
        <v>0.305</v>
      </c>
      <c r="AJ170" s="409">
        <v>7</v>
      </c>
      <c r="AK170" s="408">
        <v>0.505</v>
      </c>
      <c r="AL170" s="412">
        <v>0.907</v>
      </c>
    </row>
    <row r="171" spans="1:38" ht="12.75">
      <c r="A171" s="457" t="s">
        <v>624</v>
      </c>
      <c r="B171" s="180">
        <f>$N$366</f>
        <v>82.77323612608444</v>
      </c>
      <c r="C171" s="456" t="s">
        <v>237</v>
      </c>
      <c r="D171" s="449" t="str">
        <f>$P$366</f>
        <v>Rwr' = Rwr, tmin &lt; twg, no reduction in strength is needed</v>
      </c>
      <c r="E171" s="10"/>
      <c r="F171" s="10"/>
      <c r="G171" s="10"/>
      <c r="H171" s="10"/>
      <c r="I171" s="389"/>
      <c r="M171" s="483">
        <v>0.8</v>
      </c>
      <c r="N171" s="478">
        <v>1</v>
      </c>
      <c r="O171" s="479">
        <v>1.25</v>
      </c>
      <c r="P171" s="480">
        <v>1.51</v>
      </c>
      <c r="Q171" s="480">
        <v>1.8</v>
      </c>
      <c r="R171" s="480">
        <v>2.1</v>
      </c>
      <c r="S171" s="480">
        <v>2.43</v>
      </c>
      <c r="T171" s="320">
        <v>2.77</v>
      </c>
      <c r="U171" s="480">
        <v>3.13</v>
      </c>
      <c r="V171" s="320">
        <v>3.51</v>
      </c>
      <c r="W171" s="480">
        <v>3.9</v>
      </c>
      <c r="X171" s="480">
        <v>4.29</v>
      </c>
      <c r="Y171" s="480">
        <v>5.08</v>
      </c>
      <c r="Z171" s="481">
        <v>5.91</v>
      </c>
      <c r="AA171" s="480">
        <v>6.77</v>
      </c>
      <c r="AB171" s="480">
        <v>7.69</v>
      </c>
      <c r="AC171" s="321">
        <v>8.63</v>
      </c>
      <c r="AF171" s="405" t="s">
        <v>864</v>
      </c>
      <c r="AG171" s="406">
        <v>10.6</v>
      </c>
      <c r="AH171" s="407">
        <v>15.9</v>
      </c>
      <c r="AI171" s="408">
        <v>0.295</v>
      </c>
      <c r="AJ171" s="409">
        <v>6.99</v>
      </c>
      <c r="AK171" s="408">
        <v>0.43</v>
      </c>
      <c r="AL171" s="412">
        <v>0.832</v>
      </c>
    </row>
    <row r="172" spans="1:41" ht="12.75">
      <c r="A172" s="457" t="s">
        <v>428</v>
      </c>
      <c r="B172" s="180">
        <f>$N$367</f>
        <v>82.13405099191012</v>
      </c>
      <c r="C172" s="456" t="s">
        <v>237</v>
      </c>
      <c r="D172" s="448" t="s">
        <v>637</v>
      </c>
      <c r="E172" s="10"/>
      <c r="F172" s="10"/>
      <c r="G172" s="10"/>
      <c r="H172" s="10"/>
      <c r="I172" s="389" t="str">
        <f>IF($B$172&gt;=$D$16,"Rwv &gt;= R,  O.K.  ","Rwv &lt; R, N.G.  ")</f>
        <v>Rwv &gt;= R,  O.K.  </v>
      </c>
      <c r="M172" s="483">
        <v>0.9</v>
      </c>
      <c r="N172" s="478">
        <v>0.913</v>
      </c>
      <c r="O172" s="479">
        <v>1.14</v>
      </c>
      <c r="P172" s="480">
        <v>1.38</v>
      </c>
      <c r="Q172" s="480">
        <v>1.65</v>
      </c>
      <c r="R172" s="480">
        <v>1.93</v>
      </c>
      <c r="S172" s="480">
        <v>2.24</v>
      </c>
      <c r="T172" s="480">
        <v>2.56</v>
      </c>
      <c r="U172" s="480">
        <v>2.9</v>
      </c>
      <c r="V172" s="480">
        <v>3.26</v>
      </c>
      <c r="W172" s="480">
        <v>3.64</v>
      </c>
      <c r="X172" s="480">
        <v>4</v>
      </c>
      <c r="Y172" s="480">
        <v>4.76</v>
      </c>
      <c r="Z172" s="481">
        <v>5.56</v>
      </c>
      <c r="AA172" s="320">
        <v>6.39</v>
      </c>
      <c r="AB172" s="480">
        <v>7.27</v>
      </c>
      <c r="AC172" s="321">
        <v>8.18</v>
      </c>
      <c r="AF172" s="405" t="s">
        <v>865</v>
      </c>
      <c r="AG172" s="413">
        <v>9.13</v>
      </c>
      <c r="AH172" s="407">
        <v>15.9</v>
      </c>
      <c r="AI172" s="408">
        <v>0.275</v>
      </c>
      <c r="AJ172" s="409">
        <v>5.53</v>
      </c>
      <c r="AK172" s="408">
        <v>0.44</v>
      </c>
      <c r="AL172" s="412">
        <v>0.842</v>
      </c>
      <c r="AN172" s="50" t="s">
        <v>388</v>
      </c>
      <c r="AO172" s="100">
        <f>IF($D$16&gt;0,$D$16/$B$172,"")</f>
        <v>0.4870087316640433</v>
      </c>
    </row>
    <row r="173" spans="1:41" ht="12.75">
      <c r="A173" s="457" t="s">
        <v>429</v>
      </c>
      <c r="B173" s="181">
        <f>$N$368</f>
        <v>10.26675637398876</v>
      </c>
      <c r="C173" s="456" t="s">
        <v>237</v>
      </c>
      <c r="D173" s="448" t="s">
        <v>638</v>
      </c>
      <c r="E173" s="10"/>
      <c r="F173" s="10"/>
      <c r="G173" s="10"/>
      <c r="H173" s="10"/>
      <c r="I173" s="389" t="str">
        <f>IF($D$17&gt;0,IF($B$173&gt;=$D$17,"Rwa &gt;= P,  O.K.  ","Rwa &lt; P, N.G.  "),"")</f>
        <v>Rwa &gt;= P,  O.K.  </v>
      </c>
      <c r="M173" s="487">
        <v>1</v>
      </c>
      <c r="N173" s="478">
        <v>0.839</v>
      </c>
      <c r="O173" s="479">
        <v>1.05</v>
      </c>
      <c r="P173" s="320">
        <v>1.27</v>
      </c>
      <c r="Q173" s="480">
        <v>1.52</v>
      </c>
      <c r="R173" s="480">
        <v>1.79</v>
      </c>
      <c r="S173" s="480">
        <v>2.07</v>
      </c>
      <c r="T173" s="480">
        <v>2.38</v>
      </c>
      <c r="U173" s="480">
        <v>2.7</v>
      </c>
      <c r="V173" s="480">
        <v>3.05</v>
      </c>
      <c r="W173" s="480">
        <v>3.4</v>
      </c>
      <c r="X173" s="480">
        <v>3.75</v>
      </c>
      <c r="Y173" s="480">
        <v>4.47</v>
      </c>
      <c r="Z173" s="481">
        <v>5.23</v>
      </c>
      <c r="AA173" s="480">
        <v>6.04</v>
      </c>
      <c r="AB173" s="480">
        <v>6.89</v>
      </c>
      <c r="AC173" s="482">
        <v>7.77</v>
      </c>
      <c r="AF173" s="405" t="s">
        <v>866</v>
      </c>
      <c r="AG173" s="413">
        <v>7.68</v>
      </c>
      <c r="AH173" s="407">
        <v>15.7</v>
      </c>
      <c r="AI173" s="408">
        <v>0.25</v>
      </c>
      <c r="AJ173" s="409">
        <v>5.5</v>
      </c>
      <c r="AK173" s="408">
        <v>0.345</v>
      </c>
      <c r="AL173" s="412">
        <v>0.747</v>
      </c>
      <c r="AN173" s="50" t="str">
        <f>IF(AO173="","N.A.","SR =")</f>
        <v>SR =</v>
      </c>
      <c r="AO173" s="100">
        <f>IF($D$17&gt;0,$D$17/$B$173,"")</f>
        <v>0.48700873166404346</v>
      </c>
    </row>
    <row r="174" spans="1:41" ht="12.75">
      <c r="A174" s="19"/>
      <c r="B174" s="10"/>
      <c r="C174" s="10"/>
      <c r="D174" s="10"/>
      <c r="E174" s="10"/>
      <c r="F174" s="10"/>
      <c r="G174" s="10"/>
      <c r="H174" s="10"/>
      <c r="I174" s="389"/>
      <c r="M174" s="487">
        <v>1.2</v>
      </c>
      <c r="N174" s="478">
        <v>0.717</v>
      </c>
      <c r="O174" s="479">
        <v>0.899</v>
      </c>
      <c r="P174" s="480">
        <v>1.1</v>
      </c>
      <c r="Q174" s="480">
        <v>1.31</v>
      </c>
      <c r="R174" s="480">
        <v>1.55</v>
      </c>
      <c r="S174" s="480">
        <v>1.8</v>
      </c>
      <c r="T174" s="480">
        <v>2.08</v>
      </c>
      <c r="U174" s="480">
        <v>2.37</v>
      </c>
      <c r="V174" s="480">
        <v>2.68</v>
      </c>
      <c r="W174" s="480">
        <v>3</v>
      </c>
      <c r="X174" s="480">
        <v>3.31</v>
      </c>
      <c r="Y174" s="480">
        <v>3.97</v>
      </c>
      <c r="Z174" s="481">
        <v>4.68</v>
      </c>
      <c r="AA174" s="480">
        <v>5.42</v>
      </c>
      <c r="AB174" s="480">
        <v>6.21</v>
      </c>
      <c r="AC174" s="482">
        <v>7.04</v>
      </c>
      <c r="AF174" s="405" t="s">
        <v>867</v>
      </c>
      <c r="AG174" s="411">
        <v>215</v>
      </c>
      <c r="AH174" s="407">
        <v>22.4</v>
      </c>
      <c r="AI174" s="409">
        <v>3.07</v>
      </c>
      <c r="AJ174" s="407">
        <v>17.9</v>
      </c>
      <c r="AK174" s="409">
        <v>4.91</v>
      </c>
      <c r="AL174" s="410">
        <v>5.51</v>
      </c>
      <c r="AN174" s="50"/>
      <c r="AO174" s="100"/>
    </row>
    <row r="175" spans="1:38" ht="12.75">
      <c r="A175" s="73" t="s">
        <v>185</v>
      </c>
      <c r="B175" s="45"/>
      <c r="C175" s="10"/>
      <c r="D175" s="52" t="str">
        <f>$P$369</f>
        <v>(assume LRFD "yield line" theory and convert results back to ASD)</v>
      </c>
      <c r="E175" s="45"/>
      <c r="F175" s="55"/>
      <c r="G175" s="55"/>
      <c r="H175" s="89"/>
      <c r="I175" s="389"/>
      <c r="M175" s="487">
        <v>1.4</v>
      </c>
      <c r="N175" s="478">
        <v>0.625</v>
      </c>
      <c r="O175" s="479">
        <v>0.785</v>
      </c>
      <c r="P175" s="480">
        <v>0.96</v>
      </c>
      <c r="Q175" s="480">
        <v>1.15</v>
      </c>
      <c r="R175" s="480">
        <v>1.36</v>
      </c>
      <c r="S175" s="480">
        <v>1.59</v>
      </c>
      <c r="T175" s="480">
        <v>1.84</v>
      </c>
      <c r="U175" s="480">
        <v>2.11</v>
      </c>
      <c r="V175" s="480">
        <v>2.39</v>
      </c>
      <c r="W175" s="480">
        <v>2.67</v>
      </c>
      <c r="X175" s="480">
        <v>2.96</v>
      </c>
      <c r="Y175" s="480">
        <v>3.57</v>
      </c>
      <c r="Z175" s="481">
        <v>4.22</v>
      </c>
      <c r="AA175" s="480">
        <v>4.91</v>
      </c>
      <c r="AB175" s="320">
        <v>5.65</v>
      </c>
      <c r="AC175" s="482">
        <v>6.41</v>
      </c>
      <c r="AF175" s="405" t="s">
        <v>868</v>
      </c>
      <c r="AG175" s="411">
        <v>196</v>
      </c>
      <c r="AH175" s="407">
        <v>21.6</v>
      </c>
      <c r="AI175" s="409">
        <v>2.83</v>
      </c>
      <c r="AJ175" s="407">
        <v>17.7</v>
      </c>
      <c r="AK175" s="409">
        <v>4.52</v>
      </c>
      <c r="AL175" s="410">
        <v>5.12</v>
      </c>
    </row>
    <row r="176" spans="1:41" ht="12.75">
      <c r="A176" s="77" t="s">
        <v>188</v>
      </c>
      <c r="B176" s="182" t="str">
        <f>$N$370</f>
        <v>N.A.</v>
      </c>
      <c r="C176" s="371" t="s">
        <v>268</v>
      </c>
      <c r="D176" s="52" t="str">
        <f>$P$370</f>
        <v>twg = tw+td*(Fyd/Fyg)</v>
      </c>
      <c r="E176" s="45"/>
      <c r="F176" s="55"/>
      <c r="G176" s="55"/>
      <c r="H176" s="59"/>
      <c r="I176" s="389"/>
      <c r="M176" s="487">
        <v>1.6</v>
      </c>
      <c r="N176" s="478">
        <v>0.555</v>
      </c>
      <c r="O176" s="479">
        <v>0.696</v>
      </c>
      <c r="P176" s="480">
        <v>0.852</v>
      </c>
      <c r="Q176" s="480">
        <v>1.03</v>
      </c>
      <c r="R176" s="480">
        <v>1.21</v>
      </c>
      <c r="S176" s="480">
        <v>1.42</v>
      </c>
      <c r="T176" s="480">
        <v>1.65</v>
      </c>
      <c r="U176" s="480">
        <v>1.89</v>
      </c>
      <c r="V176" s="480">
        <v>2.15</v>
      </c>
      <c r="W176" s="480">
        <v>2.4</v>
      </c>
      <c r="X176" s="480">
        <v>2.67</v>
      </c>
      <c r="Y176" s="480">
        <v>3.22</v>
      </c>
      <c r="Z176" s="481">
        <v>3.83</v>
      </c>
      <c r="AA176" s="480">
        <v>4.47</v>
      </c>
      <c r="AB176" s="480">
        <v>5.15</v>
      </c>
      <c r="AC176" s="482">
        <v>5.88</v>
      </c>
      <c r="AF176" s="405" t="s">
        <v>869</v>
      </c>
      <c r="AG176" s="411">
        <v>178</v>
      </c>
      <c r="AH176" s="407">
        <v>20.9</v>
      </c>
      <c r="AI176" s="409">
        <v>2.6</v>
      </c>
      <c r="AJ176" s="407">
        <v>17.4</v>
      </c>
      <c r="AK176" s="409">
        <v>4.16</v>
      </c>
      <c r="AL176" s="410">
        <v>4.76</v>
      </c>
      <c r="AN176" s="50"/>
      <c r="AO176" s="100"/>
    </row>
    <row r="177" spans="1:41" ht="12.75">
      <c r="A177" s="77" t="s">
        <v>554</v>
      </c>
      <c r="B177" s="176" t="str">
        <f>$N$371</f>
        <v>N.A.</v>
      </c>
      <c r="C177" s="371" t="s">
        <v>237</v>
      </c>
      <c r="D177" s="52" t="str">
        <f>$P$371</f>
        <v>mp = 0.25*Fyg*twg^2</v>
      </c>
      <c r="E177" s="10"/>
      <c r="F177" s="10"/>
      <c r="G177" s="10"/>
      <c r="H177" s="10"/>
      <c r="I177" s="389"/>
      <c r="M177" s="487">
        <v>1.8</v>
      </c>
      <c r="N177" s="478">
        <v>0.497</v>
      </c>
      <c r="O177" s="324">
        <v>0.624</v>
      </c>
      <c r="P177" s="480">
        <v>0.765</v>
      </c>
      <c r="Q177" s="480">
        <v>0.923</v>
      </c>
      <c r="R177" s="480">
        <v>1.09</v>
      </c>
      <c r="S177" s="480">
        <v>1.29</v>
      </c>
      <c r="T177" s="480">
        <v>1.49</v>
      </c>
      <c r="U177" s="480">
        <v>1.71</v>
      </c>
      <c r="V177" s="480">
        <v>1.95</v>
      </c>
      <c r="W177" s="480">
        <v>2.18</v>
      </c>
      <c r="X177" s="480">
        <v>2.42</v>
      </c>
      <c r="Y177" s="480">
        <v>2.94</v>
      </c>
      <c r="Z177" s="481">
        <v>3.5</v>
      </c>
      <c r="AA177" s="480">
        <v>4.1</v>
      </c>
      <c r="AB177" s="480">
        <v>4.74</v>
      </c>
      <c r="AC177" s="321">
        <v>5.42</v>
      </c>
      <c r="AF177" s="405" t="s">
        <v>870</v>
      </c>
      <c r="AG177" s="411">
        <v>162</v>
      </c>
      <c r="AH177" s="407">
        <v>20.2</v>
      </c>
      <c r="AI177" s="409">
        <v>2.38</v>
      </c>
      <c r="AJ177" s="407">
        <v>17.2</v>
      </c>
      <c r="AK177" s="409">
        <v>3.82</v>
      </c>
      <c r="AL177" s="410">
        <v>4.42</v>
      </c>
      <c r="AN177" s="50"/>
      <c r="AO177" s="100"/>
    </row>
    <row r="178" spans="1:41" ht="12.75">
      <c r="A178" s="77" t="s">
        <v>556</v>
      </c>
      <c r="B178" s="176" t="str">
        <f>$N$372</f>
        <v>N.A.</v>
      </c>
      <c r="C178" s="371" t="s">
        <v>268</v>
      </c>
      <c r="D178" s="52" t="str">
        <f>$P$372</f>
        <v>Tg = dg-2*kg</v>
      </c>
      <c r="E178" s="10"/>
      <c r="F178" s="10"/>
      <c r="G178" s="10"/>
      <c r="H178" s="10"/>
      <c r="I178" s="389"/>
      <c r="M178" s="487">
        <v>2</v>
      </c>
      <c r="N178" s="478">
        <v>0.451</v>
      </c>
      <c r="O178" s="488">
        <v>0.565</v>
      </c>
      <c r="P178" s="489">
        <v>0.695</v>
      </c>
      <c r="Q178" s="489">
        <v>0.837</v>
      </c>
      <c r="R178" s="489">
        <v>0.995</v>
      </c>
      <c r="S178" s="489">
        <v>1.17</v>
      </c>
      <c r="T178" s="489">
        <v>1.36</v>
      </c>
      <c r="U178" s="489">
        <v>1.57</v>
      </c>
      <c r="V178" s="489">
        <v>1.77</v>
      </c>
      <c r="W178" s="489">
        <v>1.99</v>
      </c>
      <c r="X178" s="489">
        <v>2.21</v>
      </c>
      <c r="Y178" s="489">
        <v>2.69</v>
      </c>
      <c r="Z178" s="490">
        <v>3.21</v>
      </c>
      <c r="AA178" s="489">
        <v>3.78</v>
      </c>
      <c r="AB178" s="489">
        <v>4.38</v>
      </c>
      <c r="AC178" s="491">
        <v>5.02</v>
      </c>
      <c r="AF178" s="405" t="s">
        <v>871</v>
      </c>
      <c r="AG178" s="411">
        <v>147</v>
      </c>
      <c r="AH178" s="407">
        <v>19.6</v>
      </c>
      <c r="AI178" s="409">
        <v>2.19</v>
      </c>
      <c r="AJ178" s="407">
        <v>17</v>
      </c>
      <c r="AK178" s="409">
        <v>3.5</v>
      </c>
      <c r="AL178" s="410">
        <v>4.1</v>
      </c>
      <c r="AN178" s="50"/>
      <c r="AO178" s="100"/>
    </row>
    <row r="179" spans="1:41" ht="12.75">
      <c r="A179" s="69" t="s">
        <v>1032</v>
      </c>
      <c r="B179" s="176" t="str">
        <f>$N$373</f>
        <v>N.A.</v>
      </c>
      <c r="C179" s="371" t="s">
        <v>268</v>
      </c>
      <c r="D179" s="52" t="str">
        <f>$P$373</f>
        <v>a = D1-kg</v>
      </c>
      <c r="E179" s="10"/>
      <c r="F179" s="10"/>
      <c r="G179" s="10"/>
      <c r="H179" s="10"/>
      <c r="I179" s="389"/>
      <c r="M179" s="487">
        <v>2.2</v>
      </c>
      <c r="N179" s="492">
        <v>0.411</v>
      </c>
      <c r="O179" s="479">
        <v>0.517</v>
      </c>
      <c r="P179" s="480">
        <v>0.636</v>
      </c>
      <c r="Q179" s="480">
        <v>0.767</v>
      </c>
      <c r="R179" s="480">
        <v>0.913</v>
      </c>
      <c r="S179" s="480">
        <v>1.07</v>
      </c>
      <c r="T179" s="480">
        <v>1.25</v>
      </c>
      <c r="U179" s="480">
        <v>1.44</v>
      </c>
      <c r="V179" s="320">
        <v>1.63</v>
      </c>
      <c r="W179" s="480">
        <v>1.83</v>
      </c>
      <c r="X179" s="320">
        <v>2.04</v>
      </c>
      <c r="Y179" s="480">
        <v>2.49</v>
      </c>
      <c r="Z179" s="480">
        <v>2.97</v>
      </c>
      <c r="AA179" s="480">
        <v>3.5</v>
      </c>
      <c r="AB179" s="480">
        <v>4.06</v>
      </c>
      <c r="AC179" s="482">
        <v>4.67</v>
      </c>
      <c r="AF179" s="405" t="s">
        <v>872</v>
      </c>
      <c r="AG179" s="411">
        <v>134</v>
      </c>
      <c r="AH179" s="407">
        <v>19</v>
      </c>
      <c r="AI179" s="409">
        <v>2.02</v>
      </c>
      <c r="AJ179" s="407">
        <v>16.8</v>
      </c>
      <c r="AK179" s="409">
        <v>3.21</v>
      </c>
      <c r="AL179" s="410">
        <v>3.81</v>
      </c>
      <c r="AN179" s="50"/>
      <c r="AO179" s="100"/>
    </row>
    <row r="180" spans="1:41" ht="12.75">
      <c r="A180" s="69" t="s">
        <v>1031</v>
      </c>
      <c r="B180" s="176" t="str">
        <f>$N$374</f>
        <v>N.A.</v>
      </c>
      <c r="C180" s="371" t="s">
        <v>268</v>
      </c>
      <c r="D180" s="52" t="str">
        <f>$P$374</f>
        <v>b = Tg-(a+c)</v>
      </c>
      <c r="E180" s="10"/>
      <c r="F180" s="10"/>
      <c r="G180" s="10"/>
      <c r="H180" s="10"/>
      <c r="I180" s="389"/>
      <c r="M180" s="487">
        <v>2.4</v>
      </c>
      <c r="N180" s="478">
        <v>0.379</v>
      </c>
      <c r="O180" s="493">
        <v>0.476</v>
      </c>
      <c r="P180" s="494">
        <v>0.585</v>
      </c>
      <c r="Q180" s="326">
        <v>0.708</v>
      </c>
      <c r="R180" s="494">
        <v>0.843</v>
      </c>
      <c r="S180" s="494">
        <v>0.993</v>
      </c>
      <c r="T180" s="494">
        <v>1.16</v>
      </c>
      <c r="U180" s="494">
        <v>1.33</v>
      </c>
      <c r="V180" s="495">
        <v>1.51</v>
      </c>
      <c r="W180" s="494">
        <v>1.69</v>
      </c>
      <c r="X180" s="494">
        <v>1.89</v>
      </c>
      <c r="Y180" s="495">
        <v>2.3</v>
      </c>
      <c r="Z180" s="496">
        <v>2.76</v>
      </c>
      <c r="AA180" s="494">
        <v>3.25</v>
      </c>
      <c r="AB180" s="494">
        <v>3.79</v>
      </c>
      <c r="AC180" s="497">
        <v>4.36</v>
      </c>
      <c r="AF180" s="405" t="s">
        <v>873</v>
      </c>
      <c r="AG180" s="411">
        <v>125</v>
      </c>
      <c r="AH180" s="407">
        <v>18.7</v>
      </c>
      <c r="AI180" s="409">
        <v>1.88</v>
      </c>
      <c r="AJ180" s="407">
        <v>16.7</v>
      </c>
      <c r="AK180" s="409">
        <v>3.04</v>
      </c>
      <c r="AL180" s="410">
        <v>3.63</v>
      </c>
      <c r="AN180" s="50"/>
      <c r="AO180" s="100"/>
    </row>
    <row r="181" spans="1:41" ht="12.75">
      <c r="A181" s="69" t="s">
        <v>568</v>
      </c>
      <c r="B181" s="176" t="str">
        <f>$N$375</f>
        <v>N.A.</v>
      </c>
      <c r="C181" s="371" t="s">
        <v>268</v>
      </c>
      <c r="D181" s="52" t="str">
        <f>$P$375</f>
        <v>c = L</v>
      </c>
      <c r="E181" s="10"/>
      <c r="F181" s="10"/>
      <c r="G181" s="10"/>
      <c r="H181" s="10"/>
      <c r="I181" s="389"/>
      <c r="M181" s="487">
        <v>2.6</v>
      </c>
      <c r="N181" s="478">
        <v>0.351</v>
      </c>
      <c r="O181" s="324">
        <v>0.441</v>
      </c>
      <c r="P181" s="480">
        <v>0.543</v>
      </c>
      <c r="Q181" s="480">
        <v>0.656</v>
      </c>
      <c r="R181" s="480">
        <v>0.783</v>
      </c>
      <c r="S181" s="480">
        <v>0.923</v>
      </c>
      <c r="T181" s="480">
        <v>1.08</v>
      </c>
      <c r="U181" s="319">
        <v>1.24</v>
      </c>
      <c r="V181" s="480">
        <v>1.4</v>
      </c>
      <c r="W181" s="480">
        <v>1.57</v>
      </c>
      <c r="X181" s="480">
        <v>1.76</v>
      </c>
      <c r="Y181" s="480">
        <v>2.15</v>
      </c>
      <c r="Z181" s="485">
        <v>2.58</v>
      </c>
      <c r="AA181" s="480">
        <v>3.04</v>
      </c>
      <c r="AB181" s="480">
        <v>3.55</v>
      </c>
      <c r="AC181" s="482">
        <v>4.09</v>
      </c>
      <c r="AF181" s="405" t="s">
        <v>874</v>
      </c>
      <c r="AG181" s="411">
        <v>117</v>
      </c>
      <c r="AH181" s="407">
        <v>18.3</v>
      </c>
      <c r="AI181" s="409">
        <v>1.77</v>
      </c>
      <c r="AJ181" s="407">
        <v>16.6</v>
      </c>
      <c r="AK181" s="409">
        <v>2.85</v>
      </c>
      <c r="AL181" s="410">
        <v>3.44</v>
      </c>
      <c r="AN181" s="50"/>
      <c r="AO181" s="100"/>
    </row>
    <row r="182" spans="1:46" ht="12.75">
      <c r="A182" s="69" t="s">
        <v>401</v>
      </c>
      <c r="B182" s="176" t="str">
        <f>$N$376</f>
        <v>N.A.</v>
      </c>
      <c r="C182" s="371" t="s">
        <v>268</v>
      </c>
      <c r="D182" s="52" t="str">
        <f>$P$376</f>
        <v>L = g (assume 5.5" and use theory from bolted connections)</v>
      </c>
      <c r="E182" s="10"/>
      <c r="F182" s="10"/>
      <c r="G182" s="10"/>
      <c r="H182" s="10"/>
      <c r="I182" s="389"/>
      <c r="M182" s="487">
        <v>2.8</v>
      </c>
      <c r="N182" s="478">
        <v>0.327</v>
      </c>
      <c r="O182" s="479">
        <v>0.411</v>
      </c>
      <c r="P182" s="480">
        <v>0.505</v>
      </c>
      <c r="Q182" s="480">
        <v>0.611</v>
      </c>
      <c r="R182" s="480">
        <v>0.731</v>
      </c>
      <c r="S182" s="480">
        <v>0.861</v>
      </c>
      <c r="T182" s="480">
        <v>1</v>
      </c>
      <c r="U182" s="480">
        <v>1.16</v>
      </c>
      <c r="V182" s="480">
        <v>1.31</v>
      </c>
      <c r="W182" s="480">
        <v>1.47</v>
      </c>
      <c r="X182" s="480">
        <v>1.64</v>
      </c>
      <c r="Y182" s="480">
        <v>2.01</v>
      </c>
      <c r="Z182" s="481">
        <v>2.41</v>
      </c>
      <c r="AA182" s="320">
        <v>2.86</v>
      </c>
      <c r="AB182" s="480">
        <v>3.33</v>
      </c>
      <c r="AC182" s="482">
        <v>3.84</v>
      </c>
      <c r="AF182" s="405" t="s">
        <v>875</v>
      </c>
      <c r="AG182" s="411">
        <v>109</v>
      </c>
      <c r="AH182" s="407">
        <v>17.9</v>
      </c>
      <c r="AI182" s="409">
        <v>1.66</v>
      </c>
      <c r="AJ182" s="407">
        <v>16.5</v>
      </c>
      <c r="AK182" s="409">
        <v>2.66</v>
      </c>
      <c r="AL182" s="410">
        <v>3.26</v>
      </c>
      <c r="AT182" s="132"/>
    </row>
    <row r="183" spans="1:38" ht="12.75">
      <c r="A183" s="81" t="s">
        <v>558</v>
      </c>
      <c r="B183" s="179" t="str">
        <f>$N$377</f>
        <v>N.A.</v>
      </c>
      <c r="C183" s="371"/>
      <c r="D183" s="82" t="s">
        <v>560</v>
      </c>
      <c r="E183" s="10"/>
      <c r="F183" s="10"/>
      <c r="G183" s="10"/>
      <c r="H183" s="10"/>
      <c r="I183" s="389"/>
      <c r="M183" s="498">
        <v>3</v>
      </c>
      <c r="N183" s="499">
        <v>0.305</v>
      </c>
      <c r="O183" s="500">
        <v>0.384</v>
      </c>
      <c r="P183" s="501">
        <v>0.473</v>
      </c>
      <c r="Q183" s="501">
        <v>0.572</v>
      </c>
      <c r="R183" s="322">
        <v>0.684</v>
      </c>
      <c r="S183" s="501">
        <v>0.808</v>
      </c>
      <c r="T183" s="501">
        <v>0.943</v>
      </c>
      <c r="U183" s="501">
        <v>1.09</v>
      </c>
      <c r="V183" s="501">
        <v>1.23</v>
      </c>
      <c r="W183" s="501">
        <v>1.38</v>
      </c>
      <c r="X183" s="501">
        <v>1.54</v>
      </c>
      <c r="Y183" s="501">
        <v>1.89</v>
      </c>
      <c r="Z183" s="502">
        <v>2.27</v>
      </c>
      <c r="AA183" s="501">
        <v>2.69</v>
      </c>
      <c r="AB183" s="501">
        <v>3.14</v>
      </c>
      <c r="AC183" s="503">
        <v>3.62</v>
      </c>
      <c r="AF183" s="405" t="s">
        <v>876</v>
      </c>
      <c r="AG183" s="411">
        <v>101</v>
      </c>
      <c r="AH183" s="407">
        <v>17.5</v>
      </c>
      <c r="AI183" s="409">
        <v>1.54</v>
      </c>
      <c r="AJ183" s="407">
        <v>16.4</v>
      </c>
      <c r="AK183" s="409">
        <v>2.47</v>
      </c>
      <c r="AL183" s="410">
        <v>3.07</v>
      </c>
    </row>
    <row r="184" spans="1:46" ht="12.75">
      <c r="A184" s="81" t="s">
        <v>559</v>
      </c>
      <c r="B184" s="179" t="str">
        <f>$N$378</f>
        <v>N.A.</v>
      </c>
      <c r="C184" s="371" t="s">
        <v>237</v>
      </c>
      <c r="D184" s="82" t="s">
        <v>577</v>
      </c>
      <c r="E184" s="45"/>
      <c r="F184" s="55"/>
      <c r="G184" s="55"/>
      <c r="H184" s="10"/>
      <c r="I184" s="389"/>
      <c r="M184" s="504" t="s">
        <v>526</v>
      </c>
      <c r="N184" s="505">
        <v>0</v>
      </c>
      <c r="O184" s="325">
        <v>0.008</v>
      </c>
      <c r="P184" s="322">
        <v>0.029</v>
      </c>
      <c r="Q184" s="322">
        <v>0.056</v>
      </c>
      <c r="R184" s="322">
        <v>0.089</v>
      </c>
      <c r="S184" s="322">
        <v>0.125</v>
      </c>
      <c r="T184" s="322">
        <v>0.164</v>
      </c>
      <c r="U184" s="322">
        <v>0.204</v>
      </c>
      <c r="V184" s="322">
        <v>0.246</v>
      </c>
      <c r="W184" s="322">
        <v>0.289</v>
      </c>
      <c r="X184" s="322">
        <v>0.333</v>
      </c>
      <c r="Y184" s="322">
        <v>0.424</v>
      </c>
      <c r="Z184" s="506">
        <v>0.516</v>
      </c>
      <c r="AA184" s="322">
        <v>0.61</v>
      </c>
      <c r="AB184" s="322">
        <v>0.704</v>
      </c>
      <c r="AC184" s="323">
        <v>0.8</v>
      </c>
      <c r="AF184" s="405" t="s">
        <v>877</v>
      </c>
      <c r="AG184" s="406">
        <v>91.4</v>
      </c>
      <c r="AH184" s="407">
        <v>17.1</v>
      </c>
      <c r="AI184" s="409">
        <v>1.41</v>
      </c>
      <c r="AJ184" s="407">
        <v>16.2</v>
      </c>
      <c r="AK184" s="409">
        <v>2.26</v>
      </c>
      <c r="AL184" s="410">
        <v>2.86</v>
      </c>
      <c r="AT184" s="132"/>
    </row>
    <row r="185" spans="1:38" ht="12.75">
      <c r="A185" s="69" t="s">
        <v>557</v>
      </c>
      <c r="B185" s="183" t="str">
        <f>$N$379</f>
        <v>N.A.</v>
      </c>
      <c r="C185" s="371" t="s">
        <v>237</v>
      </c>
      <c r="D185" s="52" t="s">
        <v>566</v>
      </c>
      <c r="E185" s="55"/>
      <c r="F185" s="55"/>
      <c r="G185" s="45"/>
      <c r="H185" s="87"/>
      <c r="I185" s="389"/>
      <c r="AF185" s="405" t="s">
        <v>878</v>
      </c>
      <c r="AG185" s="406">
        <v>83.3</v>
      </c>
      <c r="AH185" s="407">
        <v>16.7</v>
      </c>
      <c r="AI185" s="409">
        <v>1.29</v>
      </c>
      <c r="AJ185" s="407">
        <v>16.1</v>
      </c>
      <c r="AK185" s="409">
        <v>2.07</v>
      </c>
      <c r="AL185" s="410">
        <v>2.67</v>
      </c>
    </row>
    <row r="186" spans="1:41" ht="12.75">
      <c r="A186" s="19"/>
      <c r="B186" s="10"/>
      <c r="C186" s="10"/>
      <c r="D186" s="10"/>
      <c r="E186" s="10"/>
      <c r="F186" s="10"/>
      <c r="G186" s="10"/>
      <c r="H186" s="80"/>
      <c r="I186" s="389">
        <f>IF($D$17&gt;0,IF($D$34="Yes",IF($B$185&gt;=$D$17,"Pa &gt;= P,  O.K.  ","Pa &lt; P, N.G.  "),""),"")</f>
      </c>
      <c r="M186" s="141" t="s">
        <v>532</v>
      </c>
      <c r="N186" s="463"/>
      <c r="O186" s="107"/>
      <c r="P186" s="463"/>
      <c r="Q186" s="463"/>
      <c r="R186" s="143"/>
      <c r="S186" s="143"/>
      <c r="T186" s="143"/>
      <c r="U186" s="142"/>
      <c r="V186" s="143"/>
      <c r="W186" s="143"/>
      <c r="X186" s="143"/>
      <c r="Y186" s="143"/>
      <c r="Z186" s="144"/>
      <c r="AA186" s="143"/>
      <c r="AB186" s="143"/>
      <c r="AC186" s="144"/>
      <c r="AF186" s="405" t="s">
        <v>879</v>
      </c>
      <c r="AG186" s="406">
        <v>75.6</v>
      </c>
      <c r="AH186" s="407">
        <v>16.4</v>
      </c>
      <c r="AI186" s="409">
        <v>1.18</v>
      </c>
      <c r="AJ186" s="407">
        <v>16</v>
      </c>
      <c r="AK186" s="409">
        <v>1.89</v>
      </c>
      <c r="AL186" s="410">
        <v>2.49</v>
      </c>
      <c r="AN186" s="50" t="str">
        <f>IF(AO186="","N.A.","SR =")</f>
        <v>N.A.</v>
      </c>
      <c r="AO186" s="100">
        <f>IF($D$17&gt;0,IF($D$34="Yes",$D$17/$B$185,""),"")</f>
      </c>
    </row>
    <row r="187" spans="1:38" ht="12.75">
      <c r="A187" s="73" t="s">
        <v>186</v>
      </c>
      <c r="B187" s="45"/>
      <c r="C187" s="121"/>
      <c r="D187" s="52"/>
      <c r="E187" s="55"/>
      <c r="F187" s="45"/>
      <c r="G187" s="99"/>
      <c r="H187" s="10"/>
      <c r="I187" s="389"/>
      <c r="M187" s="464"/>
      <c r="N187" s="141" t="s">
        <v>323</v>
      </c>
      <c r="O187" s="107"/>
      <c r="P187" s="143"/>
      <c r="Q187" s="143"/>
      <c r="R187" s="143"/>
      <c r="S187" s="143"/>
      <c r="T187" s="465"/>
      <c r="U187" s="143"/>
      <c r="V187" s="143"/>
      <c r="W187" s="143"/>
      <c r="X187" s="143"/>
      <c r="Y187" s="156"/>
      <c r="Z187" s="144"/>
      <c r="AA187" s="143"/>
      <c r="AB187" s="156"/>
      <c r="AC187" s="144"/>
      <c r="AF187" s="405" t="s">
        <v>880</v>
      </c>
      <c r="AG187" s="406">
        <v>68.5</v>
      </c>
      <c r="AH187" s="407">
        <v>16</v>
      </c>
      <c r="AI187" s="409">
        <v>1.07</v>
      </c>
      <c r="AJ187" s="407">
        <v>15.9</v>
      </c>
      <c r="AK187" s="409">
        <v>1.72</v>
      </c>
      <c r="AL187" s="410">
        <v>2.32</v>
      </c>
    </row>
    <row r="188" spans="1:38" ht="12.75">
      <c r="A188" s="69" t="s">
        <v>188</v>
      </c>
      <c r="B188" s="182" t="str">
        <f>$N$381</f>
        <v>N.A.</v>
      </c>
      <c r="C188" s="113" t="s">
        <v>268</v>
      </c>
      <c r="D188" s="52" t="str">
        <f>$P$381</f>
        <v>twg = tw+td*(Fyd/Fyg)</v>
      </c>
      <c r="E188" s="10"/>
      <c r="F188" s="10"/>
      <c r="G188" s="10"/>
      <c r="H188" s="10"/>
      <c r="I188" s="389"/>
      <c r="M188" s="467" t="s">
        <v>18</v>
      </c>
      <c r="N188" s="468">
        <v>0</v>
      </c>
      <c r="O188" s="140">
        <v>0.1</v>
      </c>
      <c r="P188" s="140">
        <v>0.2</v>
      </c>
      <c r="Q188" s="469">
        <v>0.3</v>
      </c>
      <c r="R188" s="140">
        <v>0.4</v>
      </c>
      <c r="S188" s="469">
        <v>0.5</v>
      </c>
      <c r="T188" s="140">
        <v>0.6</v>
      </c>
      <c r="U188" s="469">
        <v>0.7</v>
      </c>
      <c r="V188" s="140">
        <v>0.8</v>
      </c>
      <c r="W188" s="469">
        <v>0.9</v>
      </c>
      <c r="X188" s="140">
        <v>1</v>
      </c>
      <c r="Y188" s="469">
        <v>1.2</v>
      </c>
      <c r="Z188" s="140">
        <v>1.4</v>
      </c>
      <c r="AA188" s="140">
        <v>1.6</v>
      </c>
      <c r="AB188" s="469">
        <v>1.8</v>
      </c>
      <c r="AC188" s="140">
        <v>2</v>
      </c>
      <c r="AF188" s="405" t="s">
        <v>881</v>
      </c>
      <c r="AG188" s="406">
        <v>62</v>
      </c>
      <c r="AH188" s="407">
        <v>15.7</v>
      </c>
      <c r="AI188" s="408">
        <v>0.98</v>
      </c>
      <c r="AJ188" s="407">
        <v>15.8</v>
      </c>
      <c r="AK188" s="409">
        <v>1.56</v>
      </c>
      <c r="AL188" s="410">
        <v>2.16</v>
      </c>
    </row>
    <row r="189" spans="1:41" ht="12.75">
      <c r="A189" s="62" t="s">
        <v>346</v>
      </c>
      <c r="B189" s="179">
        <f>$N$391</f>
        <v>4</v>
      </c>
      <c r="C189" s="10"/>
      <c r="D189" s="10" t="str">
        <f>$P$391</f>
        <v>Nb = 1+FLOOR((L-3)/3,1 (Number of bolts to use for bolt theory)</v>
      </c>
      <c r="E189" s="10"/>
      <c r="F189" s="10"/>
      <c r="G189" s="10"/>
      <c r="H189" s="10"/>
      <c r="I189" s="389"/>
      <c r="M189" s="471">
        <v>0</v>
      </c>
      <c r="N189" s="472">
        <v>2.57</v>
      </c>
      <c r="O189" s="473">
        <v>3.01</v>
      </c>
      <c r="P189" s="474">
        <v>3.45</v>
      </c>
      <c r="Q189" s="318">
        <v>3.88</v>
      </c>
      <c r="R189" s="474">
        <v>4.32</v>
      </c>
      <c r="S189" s="474">
        <v>4.76</v>
      </c>
      <c r="T189" s="474">
        <v>5.2</v>
      </c>
      <c r="U189" s="474">
        <v>5.63</v>
      </c>
      <c r="V189" s="474">
        <v>6.07</v>
      </c>
      <c r="W189" s="474">
        <v>6.51</v>
      </c>
      <c r="X189" s="318">
        <v>6.94</v>
      </c>
      <c r="Y189" s="474">
        <v>7.82</v>
      </c>
      <c r="Z189" s="475">
        <v>8.69</v>
      </c>
      <c r="AA189" s="474">
        <v>9.57</v>
      </c>
      <c r="AB189" s="474">
        <v>10.4</v>
      </c>
      <c r="AC189" s="476">
        <v>11.3</v>
      </c>
      <c r="AF189" s="405" t="s">
        <v>882</v>
      </c>
      <c r="AG189" s="406">
        <v>56.8</v>
      </c>
      <c r="AH189" s="407">
        <v>15.5</v>
      </c>
      <c r="AI189" s="408">
        <v>0.89</v>
      </c>
      <c r="AJ189" s="407">
        <v>15.7</v>
      </c>
      <c r="AK189" s="409">
        <v>1.44</v>
      </c>
      <c r="AL189" s="410">
        <v>2.04</v>
      </c>
      <c r="AN189" s="50"/>
      <c r="AO189" s="100"/>
    </row>
    <row r="190" spans="1:41" ht="12.75">
      <c r="A190" s="62" t="s">
        <v>496</v>
      </c>
      <c r="B190" s="179">
        <f>$N$400</f>
        <v>0.625</v>
      </c>
      <c r="C190" s="112" t="s">
        <v>237</v>
      </c>
      <c r="D190" s="10" t="str">
        <f>$P$400</f>
        <v>Pb = P/(2*Nb)  (load per bolt)</v>
      </c>
      <c r="E190" s="10"/>
      <c r="F190" s="10"/>
      <c r="G190" s="10"/>
      <c r="H190" s="10"/>
      <c r="I190" s="389"/>
      <c r="M190" s="477">
        <v>0.1</v>
      </c>
      <c r="N190" s="478">
        <v>2.43</v>
      </c>
      <c r="O190" s="479">
        <v>2.86</v>
      </c>
      <c r="P190" s="480">
        <v>3.3</v>
      </c>
      <c r="Q190" s="320">
        <v>3.75</v>
      </c>
      <c r="R190" s="480">
        <v>4.21</v>
      </c>
      <c r="S190" s="480">
        <v>4.68</v>
      </c>
      <c r="T190" s="480">
        <v>5.14</v>
      </c>
      <c r="U190" s="480">
        <v>5.61</v>
      </c>
      <c r="V190" s="480">
        <v>6.07</v>
      </c>
      <c r="W190" s="480">
        <v>6.53</v>
      </c>
      <c r="X190" s="480">
        <v>6.99</v>
      </c>
      <c r="Y190" s="480">
        <v>7.89</v>
      </c>
      <c r="Z190" s="481">
        <v>8.78</v>
      </c>
      <c r="AA190" s="480">
        <v>9.66</v>
      </c>
      <c r="AB190" s="480">
        <v>10.5</v>
      </c>
      <c r="AC190" s="482">
        <v>11.4</v>
      </c>
      <c r="AF190" s="405" t="s">
        <v>883</v>
      </c>
      <c r="AG190" s="406">
        <v>51.8</v>
      </c>
      <c r="AH190" s="407">
        <v>15.2</v>
      </c>
      <c r="AI190" s="408">
        <v>0.83</v>
      </c>
      <c r="AJ190" s="407">
        <v>15.7</v>
      </c>
      <c r="AK190" s="409">
        <v>1.31</v>
      </c>
      <c r="AL190" s="410">
        <v>1.91</v>
      </c>
      <c r="AN190" s="50"/>
      <c r="AO190" s="100"/>
    </row>
    <row r="191" spans="1:41" ht="12.75">
      <c r="A191" s="62" t="s">
        <v>487</v>
      </c>
      <c r="B191" s="179" t="str">
        <f>$N$382</f>
        <v>N.A.</v>
      </c>
      <c r="C191" s="112" t="s">
        <v>237</v>
      </c>
      <c r="D191" s="52">
        <f>$P$382</f>
      </c>
      <c r="E191" s="10"/>
      <c r="F191" s="10"/>
      <c r="G191" s="45"/>
      <c r="H191" s="45"/>
      <c r="I191" s="389"/>
      <c r="M191" s="483">
        <v>0.15</v>
      </c>
      <c r="N191" s="478">
        <v>2.31</v>
      </c>
      <c r="O191" s="479">
        <v>2.74</v>
      </c>
      <c r="P191" s="480">
        <v>3.17</v>
      </c>
      <c r="Q191" s="480">
        <v>3.62</v>
      </c>
      <c r="R191" s="480">
        <v>4.07</v>
      </c>
      <c r="S191" s="480">
        <v>4.54</v>
      </c>
      <c r="T191" s="320">
        <v>5.01</v>
      </c>
      <c r="U191" s="480">
        <v>5.49</v>
      </c>
      <c r="V191" s="480">
        <v>5.96</v>
      </c>
      <c r="W191" s="320">
        <v>6.44</v>
      </c>
      <c r="X191" s="480">
        <v>6.91</v>
      </c>
      <c r="Y191" s="480">
        <v>7.83</v>
      </c>
      <c r="Z191" s="481">
        <v>8.74</v>
      </c>
      <c r="AA191" s="480">
        <v>9.63</v>
      </c>
      <c r="AB191" s="480">
        <v>10.5</v>
      </c>
      <c r="AC191" s="482">
        <v>11.4</v>
      </c>
      <c r="AF191" s="405" t="s">
        <v>884</v>
      </c>
      <c r="AG191" s="406">
        <v>46.7</v>
      </c>
      <c r="AH191" s="407">
        <v>15</v>
      </c>
      <c r="AI191" s="408">
        <v>0.745</v>
      </c>
      <c r="AJ191" s="407">
        <v>15.6</v>
      </c>
      <c r="AK191" s="409">
        <v>1.19</v>
      </c>
      <c r="AL191" s="410">
        <v>1.79</v>
      </c>
      <c r="AN191" s="50"/>
      <c r="AO191" s="100"/>
    </row>
    <row r="192" spans="1:41" ht="12.75">
      <c r="A192" s="69" t="s">
        <v>232</v>
      </c>
      <c r="B192" s="179" t="str">
        <f>$N$383</f>
        <v>N.A.</v>
      </c>
      <c r="C192" s="113" t="s">
        <v>245</v>
      </c>
      <c r="D192" s="52" t="str">
        <f>$P$383</f>
        <v>fv = Rw/(twg*(g-dhg)), assume dhg = 0.875 in.</v>
      </c>
      <c r="E192" s="55"/>
      <c r="F192" s="55"/>
      <c r="G192" s="45"/>
      <c r="H192" s="10"/>
      <c r="I192" s="389"/>
      <c r="M192" s="483">
        <v>0.2</v>
      </c>
      <c r="N192" s="478">
        <v>2.18</v>
      </c>
      <c r="O192" s="479">
        <v>2.61</v>
      </c>
      <c r="P192" s="480">
        <v>3.04</v>
      </c>
      <c r="Q192" s="480">
        <v>3.47</v>
      </c>
      <c r="R192" s="320">
        <v>3.92</v>
      </c>
      <c r="S192" s="480">
        <v>4.39</v>
      </c>
      <c r="T192" s="480">
        <v>4.86</v>
      </c>
      <c r="U192" s="480">
        <v>5.34</v>
      </c>
      <c r="V192" s="480">
        <v>5.83</v>
      </c>
      <c r="W192" s="480">
        <v>6.31</v>
      </c>
      <c r="X192" s="480">
        <v>6.79</v>
      </c>
      <c r="Y192" s="480">
        <v>7.73</v>
      </c>
      <c r="Z192" s="481">
        <v>8.66</v>
      </c>
      <c r="AA192" s="480">
        <v>9.57</v>
      </c>
      <c r="AB192" s="480">
        <v>10.5</v>
      </c>
      <c r="AC192" s="484">
        <v>11.4</v>
      </c>
      <c r="AF192" s="405" t="s">
        <v>885</v>
      </c>
      <c r="AG192" s="406">
        <v>42.7</v>
      </c>
      <c r="AH192" s="407">
        <v>14.8</v>
      </c>
      <c r="AI192" s="408">
        <v>0.68</v>
      </c>
      <c r="AJ192" s="407">
        <v>15.5</v>
      </c>
      <c r="AK192" s="409">
        <v>1.09</v>
      </c>
      <c r="AL192" s="410">
        <v>1.69</v>
      </c>
      <c r="AN192" s="50"/>
      <c r="AO192" s="100"/>
    </row>
    <row r="193" spans="1:41" ht="12.75">
      <c r="A193" s="69" t="s">
        <v>247</v>
      </c>
      <c r="B193" s="183" t="str">
        <f>$N$384</f>
        <v>N.A.</v>
      </c>
      <c r="C193" s="113" t="s">
        <v>245</v>
      </c>
      <c r="D193" s="52" t="str">
        <f>$P$384</f>
        <v>Fv = (1/1.5)*0.6*Fyg</v>
      </c>
      <c r="E193" s="55"/>
      <c r="F193" s="55"/>
      <c r="G193" s="10"/>
      <c r="H193" s="80"/>
      <c r="I193" s="389">
        <f>IF($D$17&gt;0,IF($D$34="Yes",IF($B$193&gt;=$B$192,"Fv &gt;= fv,  O.K.  ","Fv &lt; fv, N.G.  "),""),"")</f>
      </c>
      <c r="M193" s="483">
        <v>0.25</v>
      </c>
      <c r="N193" s="478">
        <v>2.07</v>
      </c>
      <c r="O193" s="479">
        <v>2.49</v>
      </c>
      <c r="P193" s="480">
        <v>2.91</v>
      </c>
      <c r="Q193" s="480">
        <v>3.33</v>
      </c>
      <c r="R193" s="480">
        <v>3.77</v>
      </c>
      <c r="S193" s="480">
        <v>4.23</v>
      </c>
      <c r="T193" s="480">
        <v>4.7</v>
      </c>
      <c r="U193" s="480">
        <v>5.18</v>
      </c>
      <c r="V193" s="480">
        <v>5.67</v>
      </c>
      <c r="W193" s="480">
        <v>6.16</v>
      </c>
      <c r="X193" s="480">
        <v>6.64</v>
      </c>
      <c r="Y193" s="480">
        <v>7.61</v>
      </c>
      <c r="Z193" s="481">
        <v>8.55</v>
      </c>
      <c r="AA193" s="480">
        <v>9.48</v>
      </c>
      <c r="AB193" s="480">
        <v>10.4</v>
      </c>
      <c r="AC193" s="482">
        <v>11.3</v>
      </c>
      <c r="AF193" s="405" t="s">
        <v>886</v>
      </c>
      <c r="AG193" s="406">
        <v>38.8</v>
      </c>
      <c r="AH193" s="407">
        <v>14.7</v>
      </c>
      <c r="AI193" s="408">
        <v>0.645</v>
      </c>
      <c r="AJ193" s="407">
        <v>14.7</v>
      </c>
      <c r="AK193" s="409">
        <v>1.03</v>
      </c>
      <c r="AL193" s="410">
        <v>1.63</v>
      </c>
      <c r="AN193" s="50" t="str">
        <f>IF(AO193="","N.A.","SR =")</f>
        <v>N.A.</v>
      </c>
      <c r="AO193" s="100">
        <f>IF($D$17&gt;0,IF($D$34="Yes",$B$192/$B$193,""),"")</f>
      </c>
    </row>
    <row r="194" spans="1:41" ht="12.75">
      <c r="A194" s="19"/>
      <c r="B194" s="10"/>
      <c r="C194" s="112"/>
      <c r="D194" s="10"/>
      <c r="E194" s="10"/>
      <c r="F194" s="10"/>
      <c r="G194" s="45"/>
      <c r="H194" s="45"/>
      <c r="I194" s="389"/>
      <c r="M194" s="483">
        <v>0.3</v>
      </c>
      <c r="N194" s="478">
        <v>1.96</v>
      </c>
      <c r="O194" s="479">
        <v>2.37</v>
      </c>
      <c r="P194" s="480">
        <v>2.78</v>
      </c>
      <c r="Q194" s="480">
        <v>3.2</v>
      </c>
      <c r="R194" s="480">
        <v>3.63</v>
      </c>
      <c r="S194" s="480">
        <v>4.07</v>
      </c>
      <c r="T194" s="480">
        <v>4.54</v>
      </c>
      <c r="U194" s="320">
        <v>5.02</v>
      </c>
      <c r="V194" s="480">
        <v>5.51</v>
      </c>
      <c r="W194" s="480">
        <v>5.99</v>
      </c>
      <c r="X194" s="480">
        <v>6.49</v>
      </c>
      <c r="Y194" s="480">
        <v>7.46</v>
      </c>
      <c r="Z194" s="485">
        <v>8.42</v>
      </c>
      <c r="AA194" s="320">
        <v>9.36</v>
      </c>
      <c r="AB194" s="486">
        <v>10.3</v>
      </c>
      <c r="AC194" s="484">
        <v>11.2</v>
      </c>
      <c r="AF194" s="405" t="s">
        <v>887</v>
      </c>
      <c r="AG194" s="406">
        <v>35.3</v>
      </c>
      <c r="AH194" s="407">
        <v>14.5</v>
      </c>
      <c r="AI194" s="408">
        <v>0.59</v>
      </c>
      <c r="AJ194" s="407">
        <v>14.7</v>
      </c>
      <c r="AK194" s="408">
        <v>0.94</v>
      </c>
      <c r="AL194" s="410">
        <v>1.54</v>
      </c>
      <c r="AN194" s="50"/>
      <c r="AO194" s="100"/>
    </row>
    <row r="195" spans="1:41" ht="12.75">
      <c r="A195" s="79" t="s">
        <v>187</v>
      </c>
      <c r="B195" s="55"/>
      <c r="C195" s="121"/>
      <c r="D195" s="63"/>
      <c r="E195" s="55"/>
      <c r="F195" s="55"/>
      <c r="G195" s="45"/>
      <c r="H195" s="45"/>
      <c r="I195" s="389"/>
      <c r="M195" s="483">
        <v>0.4</v>
      </c>
      <c r="N195" s="478">
        <v>1.79</v>
      </c>
      <c r="O195" s="479">
        <v>2.16</v>
      </c>
      <c r="P195" s="480">
        <v>2.54</v>
      </c>
      <c r="Q195" s="480">
        <v>2.94</v>
      </c>
      <c r="R195" s="480">
        <v>3.35</v>
      </c>
      <c r="S195" s="480">
        <v>3.77</v>
      </c>
      <c r="T195" s="480">
        <v>4.22</v>
      </c>
      <c r="U195" s="480">
        <v>4.69</v>
      </c>
      <c r="V195" s="320">
        <v>5.17</v>
      </c>
      <c r="W195" s="480">
        <v>5.66</v>
      </c>
      <c r="X195" s="480">
        <v>6.15</v>
      </c>
      <c r="Y195" s="320">
        <v>7.14</v>
      </c>
      <c r="Z195" s="481">
        <v>8.12</v>
      </c>
      <c r="AA195" s="480">
        <v>9.09</v>
      </c>
      <c r="AB195" s="480">
        <v>10</v>
      </c>
      <c r="AC195" s="482">
        <v>11</v>
      </c>
      <c r="AF195" s="405" t="s">
        <v>888</v>
      </c>
      <c r="AG195" s="406">
        <v>32</v>
      </c>
      <c r="AH195" s="407">
        <v>14.3</v>
      </c>
      <c r="AI195" s="408">
        <v>0.525</v>
      </c>
      <c r="AJ195" s="407">
        <v>14.6</v>
      </c>
      <c r="AK195" s="408">
        <v>0.86</v>
      </c>
      <c r="AL195" s="410">
        <v>1.46</v>
      </c>
      <c r="AN195" s="50"/>
      <c r="AO195" s="100"/>
    </row>
    <row r="196" spans="1:41" ht="12.75">
      <c r="A196" s="77" t="s">
        <v>129</v>
      </c>
      <c r="B196" s="174" t="str">
        <f>$N$386</f>
        <v>N.A.</v>
      </c>
      <c r="C196" s="113" t="s">
        <v>268</v>
      </c>
      <c r="D196" s="52" t="str">
        <f>$P$386</f>
        <v>Ldw = 2*L</v>
      </c>
      <c r="E196" s="55"/>
      <c r="F196" s="55"/>
      <c r="G196" s="45"/>
      <c r="H196" s="45"/>
      <c r="I196" s="389"/>
      <c r="M196" s="483">
        <v>0.5</v>
      </c>
      <c r="N196" s="478">
        <v>1.63</v>
      </c>
      <c r="O196" s="479">
        <v>1.97</v>
      </c>
      <c r="P196" s="480">
        <v>2.33</v>
      </c>
      <c r="Q196" s="480">
        <v>2.71</v>
      </c>
      <c r="R196" s="480">
        <v>3.09</v>
      </c>
      <c r="S196" s="480">
        <v>3.5</v>
      </c>
      <c r="T196" s="480">
        <v>3.93</v>
      </c>
      <c r="U196" s="320">
        <v>4.38</v>
      </c>
      <c r="V196" s="320">
        <v>4.85</v>
      </c>
      <c r="W196" s="320">
        <v>5.33</v>
      </c>
      <c r="X196" s="480">
        <v>5.81</v>
      </c>
      <c r="Y196" s="480">
        <v>6.8</v>
      </c>
      <c r="Z196" s="481">
        <v>7.79</v>
      </c>
      <c r="AA196" s="480">
        <v>8.77</v>
      </c>
      <c r="AB196" s="320">
        <v>9.73</v>
      </c>
      <c r="AC196" s="482">
        <v>10.7</v>
      </c>
      <c r="AF196" s="405" t="s">
        <v>889</v>
      </c>
      <c r="AG196" s="406">
        <v>29.1</v>
      </c>
      <c r="AH196" s="407">
        <v>14.2</v>
      </c>
      <c r="AI196" s="408">
        <v>0.485</v>
      </c>
      <c r="AJ196" s="407">
        <v>14.6</v>
      </c>
      <c r="AK196" s="408">
        <v>0.78</v>
      </c>
      <c r="AL196" s="410">
        <v>1.38</v>
      </c>
      <c r="AN196" s="50"/>
      <c r="AO196" s="100"/>
    </row>
    <row r="197" spans="1:41" ht="12.75">
      <c r="A197" s="77" t="s">
        <v>119</v>
      </c>
      <c r="B197" s="179" t="str">
        <f>$N$387</f>
        <v>N.A.</v>
      </c>
      <c r="C197" s="113" t="s">
        <v>120</v>
      </c>
      <c r="D197" s="52" t="str">
        <f>$P$387</f>
        <v>fw = P/Ldw</v>
      </c>
      <c r="E197" s="55"/>
      <c r="F197" s="55"/>
      <c r="G197" s="45"/>
      <c r="H197" s="45"/>
      <c r="I197" s="389"/>
      <c r="M197" s="483">
        <v>0.6</v>
      </c>
      <c r="N197" s="478">
        <v>1.49</v>
      </c>
      <c r="O197" s="479">
        <v>1.81</v>
      </c>
      <c r="P197" s="480">
        <v>2.15</v>
      </c>
      <c r="Q197" s="480">
        <v>2.5</v>
      </c>
      <c r="R197" s="480">
        <v>2.87</v>
      </c>
      <c r="S197" s="480">
        <v>3.26</v>
      </c>
      <c r="T197" s="480">
        <v>3.67</v>
      </c>
      <c r="U197" s="320">
        <v>4.1</v>
      </c>
      <c r="V197" s="480">
        <v>4.55</v>
      </c>
      <c r="W197" s="480">
        <v>5.02</v>
      </c>
      <c r="X197" s="480">
        <v>5.5</v>
      </c>
      <c r="Y197" s="480">
        <v>6.48</v>
      </c>
      <c r="Z197" s="481">
        <v>7.46</v>
      </c>
      <c r="AA197" s="480">
        <v>8.42</v>
      </c>
      <c r="AB197" s="480">
        <v>9.38</v>
      </c>
      <c r="AC197" s="482">
        <v>10.3</v>
      </c>
      <c r="AF197" s="405" t="s">
        <v>890</v>
      </c>
      <c r="AG197" s="406">
        <v>26.5</v>
      </c>
      <c r="AH197" s="407">
        <v>14</v>
      </c>
      <c r="AI197" s="408">
        <v>0.44</v>
      </c>
      <c r="AJ197" s="407">
        <v>14.5</v>
      </c>
      <c r="AK197" s="408">
        <v>0.71</v>
      </c>
      <c r="AL197" s="410">
        <v>1.31</v>
      </c>
      <c r="AN197" s="50"/>
      <c r="AO197" s="100"/>
    </row>
    <row r="198" spans="1:41" ht="12.75">
      <c r="A198" s="81" t="s">
        <v>126</v>
      </c>
      <c r="B198" s="179" t="str">
        <f>$N$388</f>
        <v>N.A.</v>
      </c>
      <c r="C198" s="113" t="s">
        <v>393</v>
      </c>
      <c r="D198" s="82" t="s">
        <v>156</v>
      </c>
      <c r="E198" s="55"/>
      <c r="F198" s="55"/>
      <c r="G198" s="45"/>
      <c r="H198" s="99"/>
      <c r="I198" s="389"/>
      <c r="M198" s="483">
        <v>0.7</v>
      </c>
      <c r="N198" s="478">
        <v>1.37</v>
      </c>
      <c r="O198" s="479">
        <v>1.67</v>
      </c>
      <c r="P198" s="480">
        <v>1.99</v>
      </c>
      <c r="Q198" s="480">
        <v>2.32</v>
      </c>
      <c r="R198" s="480">
        <v>2.67</v>
      </c>
      <c r="S198" s="480">
        <v>3.04</v>
      </c>
      <c r="T198" s="480">
        <v>3.44</v>
      </c>
      <c r="U198" s="480">
        <v>3.85</v>
      </c>
      <c r="V198" s="320">
        <v>4.29</v>
      </c>
      <c r="W198" s="480">
        <v>4.74</v>
      </c>
      <c r="X198" s="480">
        <v>5.21</v>
      </c>
      <c r="Y198" s="480">
        <v>6.16</v>
      </c>
      <c r="Z198" s="481">
        <v>7.11</v>
      </c>
      <c r="AA198" s="480">
        <v>8.07</v>
      </c>
      <c r="AB198" s="480">
        <v>9.03</v>
      </c>
      <c r="AC198" s="482">
        <v>10</v>
      </c>
      <c r="AF198" s="405" t="s">
        <v>891</v>
      </c>
      <c r="AG198" s="406">
        <v>24</v>
      </c>
      <c r="AH198" s="407">
        <v>14.3</v>
      </c>
      <c r="AI198" s="408">
        <v>0.51</v>
      </c>
      <c r="AJ198" s="407">
        <v>10.1</v>
      </c>
      <c r="AK198" s="408">
        <v>0.855</v>
      </c>
      <c r="AL198" s="410">
        <v>1.45</v>
      </c>
      <c r="AN198" s="50"/>
      <c r="AO198" s="100"/>
    </row>
    <row r="199" spans="1:41" ht="12.75">
      <c r="A199" s="81" t="s">
        <v>256</v>
      </c>
      <c r="B199" s="183" t="str">
        <f>$N$389</f>
        <v>N.A.</v>
      </c>
      <c r="C199" s="113" t="s">
        <v>393</v>
      </c>
      <c r="D199" s="82" t="s">
        <v>256</v>
      </c>
      <c r="E199" s="52" t="str">
        <f>$Q$389</f>
        <v>0.40*Fyd*td/((SQRT(2)/2)*0.30*70)</v>
      </c>
      <c r="F199" s="55"/>
      <c r="G199" s="10"/>
      <c r="H199" s="10"/>
      <c r="I199" s="389"/>
      <c r="M199" s="483">
        <v>0.8</v>
      </c>
      <c r="N199" s="478">
        <v>1.26</v>
      </c>
      <c r="O199" s="479">
        <v>1.54</v>
      </c>
      <c r="P199" s="480">
        <v>1.84</v>
      </c>
      <c r="Q199" s="480">
        <v>2.16</v>
      </c>
      <c r="R199" s="480">
        <v>2.49</v>
      </c>
      <c r="S199" s="480">
        <v>2.85</v>
      </c>
      <c r="T199" s="320">
        <v>3.23</v>
      </c>
      <c r="U199" s="480">
        <v>3.63</v>
      </c>
      <c r="V199" s="320">
        <v>4.05</v>
      </c>
      <c r="W199" s="480">
        <v>4.48</v>
      </c>
      <c r="X199" s="480">
        <v>4.93</v>
      </c>
      <c r="Y199" s="480">
        <v>5.85</v>
      </c>
      <c r="Z199" s="481">
        <v>6.78</v>
      </c>
      <c r="AA199" s="480">
        <v>7.73</v>
      </c>
      <c r="AB199" s="480">
        <v>8.69</v>
      </c>
      <c r="AC199" s="321">
        <v>9.65</v>
      </c>
      <c r="AF199" s="405" t="s">
        <v>892</v>
      </c>
      <c r="AG199" s="406">
        <v>21.8</v>
      </c>
      <c r="AH199" s="407">
        <v>14.2</v>
      </c>
      <c r="AI199" s="408">
        <v>0.45</v>
      </c>
      <c r="AJ199" s="407">
        <v>10.1</v>
      </c>
      <c r="AK199" s="408">
        <v>0.785</v>
      </c>
      <c r="AL199" s="410">
        <v>1.38</v>
      </c>
      <c r="AN199" s="50"/>
      <c r="AO199" s="100"/>
    </row>
    <row r="200" spans="1:41" ht="12.75">
      <c r="A200" s="608"/>
      <c r="B200" s="609"/>
      <c r="C200" s="163"/>
      <c r="D200" s="610"/>
      <c r="E200" s="611"/>
      <c r="F200" s="78"/>
      <c r="G200" s="612"/>
      <c r="H200" s="21"/>
      <c r="I200" s="453">
        <f>IF($D$17&gt;0,IF($D$34="Yes",IF($D$32&gt;0,IF($B$198&lt;=$B$199,"Weld size &lt;= weld max., O.K.  ","Weld size &gt; weld max."),""),""),"")</f>
      </c>
      <c r="M200" s="483">
        <v>0.9</v>
      </c>
      <c r="N200" s="478">
        <v>1.17</v>
      </c>
      <c r="O200" s="479">
        <v>1.43</v>
      </c>
      <c r="P200" s="480">
        <v>1.71</v>
      </c>
      <c r="Q200" s="480">
        <v>2.01</v>
      </c>
      <c r="R200" s="480">
        <v>2.33</v>
      </c>
      <c r="S200" s="480">
        <v>2.67</v>
      </c>
      <c r="T200" s="480">
        <v>3.04</v>
      </c>
      <c r="U200" s="480">
        <v>3.43</v>
      </c>
      <c r="V200" s="480">
        <v>3.83</v>
      </c>
      <c r="W200" s="480">
        <v>4.24</v>
      </c>
      <c r="X200" s="480">
        <v>4.68</v>
      </c>
      <c r="Y200" s="480">
        <v>5.56</v>
      </c>
      <c r="Z200" s="481">
        <v>6.47</v>
      </c>
      <c r="AA200" s="320">
        <v>7.4</v>
      </c>
      <c r="AB200" s="480">
        <v>8.35</v>
      </c>
      <c r="AC200" s="321">
        <v>9.31</v>
      </c>
      <c r="AF200" s="405" t="s">
        <v>893</v>
      </c>
      <c r="AG200" s="406">
        <v>20</v>
      </c>
      <c r="AH200" s="407">
        <v>14</v>
      </c>
      <c r="AI200" s="408">
        <v>0.415</v>
      </c>
      <c r="AJ200" s="407">
        <v>10</v>
      </c>
      <c r="AK200" s="408">
        <v>0.72</v>
      </c>
      <c r="AL200" s="410">
        <v>1.31</v>
      </c>
      <c r="AN200" s="50" t="str">
        <f>IF(AO200="","N.A.","SR =")</f>
        <v>N.A.</v>
      </c>
      <c r="AO200" s="100">
        <f>IF($D$17&gt;0,IF($D$34="Yes",IF($D$32&gt;0,$B$198/$B$199,""),""),"")</f>
      </c>
    </row>
    <row r="201" spans="1:38" ht="12.75">
      <c r="A201" s="10"/>
      <c r="B201" s="10"/>
      <c r="C201" s="10"/>
      <c r="D201" s="10"/>
      <c r="E201" s="10"/>
      <c r="F201" s="10"/>
      <c r="G201" s="10"/>
      <c r="H201" s="10"/>
      <c r="I201" s="10"/>
      <c r="M201" s="487">
        <v>1</v>
      </c>
      <c r="N201" s="478">
        <v>1.08</v>
      </c>
      <c r="O201" s="479">
        <v>1.33</v>
      </c>
      <c r="P201" s="320">
        <v>1.6</v>
      </c>
      <c r="Q201" s="480">
        <v>1.89</v>
      </c>
      <c r="R201" s="480">
        <v>2.19</v>
      </c>
      <c r="S201" s="480">
        <v>2.52</v>
      </c>
      <c r="T201" s="480">
        <v>2.87</v>
      </c>
      <c r="U201" s="480">
        <v>3.24</v>
      </c>
      <c r="V201" s="480">
        <v>3.63</v>
      </c>
      <c r="W201" s="480">
        <v>4.03</v>
      </c>
      <c r="X201" s="480">
        <v>4.45</v>
      </c>
      <c r="Y201" s="480">
        <v>5.3</v>
      </c>
      <c r="Z201" s="481">
        <v>6.17</v>
      </c>
      <c r="AA201" s="480">
        <v>7.09</v>
      </c>
      <c r="AB201" s="480">
        <v>8.02</v>
      </c>
      <c r="AC201" s="482">
        <v>8.97</v>
      </c>
      <c r="AF201" s="405" t="s">
        <v>894</v>
      </c>
      <c r="AG201" s="406">
        <v>17.9</v>
      </c>
      <c r="AH201" s="407">
        <v>13.9</v>
      </c>
      <c r="AI201" s="408">
        <v>0.375</v>
      </c>
      <c r="AJ201" s="407">
        <v>10</v>
      </c>
      <c r="AK201" s="408">
        <v>0.645</v>
      </c>
      <c r="AL201" s="410">
        <v>1.24</v>
      </c>
    </row>
    <row r="202" spans="1:38" ht="12.75">
      <c r="A202" s="10"/>
      <c r="B202" s="10"/>
      <c r="C202" s="10"/>
      <c r="D202" s="10"/>
      <c r="E202" s="10"/>
      <c r="F202" s="10"/>
      <c r="G202" s="10"/>
      <c r="H202" s="10"/>
      <c r="I202" s="10"/>
      <c r="M202" s="487">
        <v>1.2</v>
      </c>
      <c r="N202" s="478">
        <v>0.945</v>
      </c>
      <c r="O202" s="479">
        <v>1.17</v>
      </c>
      <c r="P202" s="480">
        <v>1.41</v>
      </c>
      <c r="Q202" s="480">
        <v>1.67</v>
      </c>
      <c r="R202" s="480">
        <v>1.95</v>
      </c>
      <c r="S202" s="480">
        <v>2.25</v>
      </c>
      <c r="T202" s="480">
        <v>2.57</v>
      </c>
      <c r="U202" s="480">
        <v>2.92</v>
      </c>
      <c r="V202" s="480">
        <v>3.28</v>
      </c>
      <c r="W202" s="480">
        <v>3.65</v>
      </c>
      <c r="X202" s="480">
        <v>4.04</v>
      </c>
      <c r="Y202" s="480">
        <v>4.82</v>
      </c>
      <c r="Z202" s="481">
        <v>5.65</v>
      </c>
      <c r="AA202" s="480">
        <v>6.52</v>
      </c>
      <c r="AB202" s="480">
        <v>7.42</v>
      </c>
      <c r="AC202" s="482">
        <v>8.34</v>
      </c>
      <c r="AF202" s="405" t="s">
        <v>895</v>
      </c>
      <c r="AG202" s="406">
        <v>15.6</v>
      </c>
      <c r="AH202" s="407">
        <v>13.9</v>
      </c>
      <c r="AI202" s="408">
        <v>0.37</v>
      </c>
      <c r="AJ202" s="409">
        <v>8.06</v>
      </c>
      <c r="AK202" s="408">
        <v>0.66</v>
      </c>
      <c r="AL202" s="410">
        <v>1.25</v>
      </c>
    </row>
    <row r="203" spans="1:38" ht="12.75">
      <c r="A203" s="10"/>
      <c r="B203" s="10"/>
      <c r="C203" s="10"/>
      <c r="D203" s="10"/>
      <c r="E203" s="10"/>
      <c r="F203" s="10"/>
      <c r="G203" s="10"/>
      <c r="H203" s="10"/>
      <c r="I203" s="60"/>
      <c r="M203" s="487">
        <v>1.4</v>
      </c>
      <c r="N203" s="478">
        <v>0.835</v>
      </c>
      <c r="O203" s="479">
        <v>1.03</v>
      </c>
      <c r="P203" s="480">
        <v>1.25</v>
      </c>
      <c r="Q203" s="480">
        <v>1.49</v>
      </c>
      <c r="R203" s="480">
        <v>1.75</v>
      </c>
      <c r="S203" s="480">
        <v>2.03</v>
      </c>
      <c r="T203" s="480">
        <v>2.33</v>
      </c>
      <c r="U203" s="480">
        <v>2.65</v>
      </c>
      <c r="V203" s="480">
        <v>2.98</v>
      </c>
      <c r="W203" s="480">
        <v>3.32</v>
      </c>
      <c r="X203" s="480">
        <v>3.68</v>
      </c>
      <c r="Y203" s="480">
        <v>4.42</v>
      </c>
      <c r="Z203" s="481">
        <v>5.18</v>
      </c>
      <c r="AA203" s="480">
        <v>6.01</v>
      </c>
      <c r="AB203" s="320">
        <v>6.87</v>
      </c>
      <c r="AC203" s="482">
        <v>7.76</v>
      </c>
      <c r="AF203" s="405" t="s">
        <v>896</v>
      </c>
      <c r="AG203" s="406">
        <v>14.1</v>
      </c>
      <c r="AH203" s="407">
        <v>13.8</v>
      </c>
      <c r="AI203" s="408">
        <v>0.34</v>
      </c>
      <c r="AJ203" s="409">
        <v>8.03</v>
      </c>
      <c r="AK203" s="408">
        <v>0.595</v>
      </c>
      <c r="AL203" s="410">
        <v>1.19</v>
      </c>
    </row>
    <row r="204" spans="1:38" ht="12.75">
      <c r="A204" s="45"/>
      <c r="B204" s="45"/>
      <c r="C204" s="121"/>
      <c r="D204" s="45"/>
      <c r="E204" s="45"/>
      <c r="F204" s="45"/>
      <c r="G204" s="45"/>
      <c r="H204" s="10"/>
      <c r="I204" s="235"/>
      <c r="M204" s="487">
        <v>1.6</v>
      </c>
      <c r="N204" s="478">
        <v>0.747</v>
      </c>
      <c r="O204" s="479">
        <v>0.928</v>
      </c>
      <c r="P204" s="480">
        <v>1.13</v>
      </c>
      <c r="Q204" s="480">
        <v>1.34</v>
      </c>
      <c r="R204" s="480">
        <v>1.58</v>
      </c>
      <c r="S204" s="480">
        <v>1.84</v>
      </c>
      <c r="T204" s="480">
        <v>2.12</v>
      </c>
      <c r="U204" s="480">
        <v>2.41</v>
      </c>
      <c r="V204" s="480">
        <v>2.72</v>
      </c>
      <c r="W204" s="480">
        <v>3.05</v>
      </c>
      <c r="X204" s="480">
        <v>3.38</v>
      </c>
      <c r="Y204" s="480">
        <v>4.07</v>
      </c>
      <c r="Z204" s="481">
        <v>4.79</v>
      </c>
      <c r="AA204" s="480">
        <v>5.56</v>
      </c>
      <c r="AB204" s="480">
        <v>6.38</v>
      </c>
      <c r="AC204" s="482">
        <v>7.24</v>
      </c>
      <c r="AF204" s="405" t="s">
        <v>897</v>
      </c>
      <c r="AG204" s="406">
        <v>12.6</v>
      </c>
      <c r="AH204" s="407">
        <v>13.7</v>
      </c>
      <c r="AI204" s="408">
        <v>0.305</v>
      </c>
      <c r="AJ204" s="409">
        <v>8</v>
      </c>
      <c r="AK204" s="408">
        <v>0.53</v>
      </c>
      <c r="AL204" s="410">
        <v>1.12</v>
      </c>
    </row>
    <row r="205" spans="1:38" ht="12.75">
      <c r="A205" s="10"/>
      <c r="B205" s="10"/>
      <c r="C205" s="10"/>
      <c r="D205" s="10"/>
      <c r="E205" s="10"/>
      <c r="F205" s="10"/>
      <c r="G205" s="10"/>
      <c r="H205" s="10"/>
      <c r="I205" s="10"/>
      <c r="M205" s="487">
        <v>1.8</v>
      </c>
      <c r="N205" s="478">
        <v>0.675</v>
      </c>
      <c r="O205" s="324">
        <v>0.84</v>
      </c>
      <c r="P205" s="480">
        <v>1.02</v>
      </c>
      <c r="Q205" s="480">
        <v>1.22</v>
      </c>
      <c r="R205" s="480">
        <v>1.44</v>
      </c>
      <c r="S205" s="480">
        <v>1.68</v>
      </c>
      <c r="T205" s="480">
        <v>1.94</v>
      </c>
      <c r="U205" s="480">
        <v>2.22</v>
      </c>
      <c r="V205" s="480">
        <v>2.51</v>
      </c>
      <c r="W205" s="480">
        <v>2.81</v>
      </c>
      <c r="X205" s="480">
        <v>3.12</v>
      </c>
      <c r="Y205" s="480">
        <v>3.76</v>
      </c>
      <c r="Z205" s="481">
        <v>4.44</v>
      </c>
      <c r="AA205" s="480">
        <v>5.17</v>
      </c>
      <c r="AB205" s="480">
        <v>5.95</v>
      </c>
      <c r="AC205" s="321">
        <v>6.76</v>
      </c>
      <c r="AF205" s="405" t="s">
        <v>898</v>
      </c>
      <c r="AG205" s="406">
        <v>11.2</v>
      </c>
      <c r="AH205" s="407">
        <v>14.1</v>
      </c>
      <c r="AI205" s="408">
        <v>0.31</v>
      </c>
      <c r="AJ205" s="409">
        <v>6.77</v>
      </c>
      <c r="AK205" s="408">
        <v>0.515</v>
      </c>
      <c r="AL205" s="412">
        <v>0.915</v>
      </c>
    </row>
    <row r="206" spans="1:38" ht="12.75">
      <c r="A206" s="582"/>
      <c r="B206" s="10"/>
      <c r="C206" s="10"/>
      <c r="D206" s="10"/>
      <c r="E206" s="10"/>
      <c r="F206" s="10"/>
      <c r="G206" s="10"/>
      <c r="H206" s="10"/>
      <c r="I206" s="60"/>
      <c r="M206" s="487">
        <v>2</v>
      </c>
      <c r="N206" s="478">
        <v>0.615</v>
      </c>
      <c r="O206" s="488">
        <v>0.767</v>
      </c>
      <c r="P206" s="489">
        <v>0.935</v>
      </c>
      <c r="Q206" s="489">
        <v>1.12</v>
      </c>
      <c r="R206" s="489">
        <v>1.32</v>
      </c>
      <c r="S206" s="489">
        <v>1.55</v>
      </c>
      <c r="T206" s="489">
        <v>1.79</v>
      </c>
      <c r="U206" s="489">
        <v>2.05</v>
      </c>
      <c r="V206" s="489">
        <v>2.32</v>
      </c>
      <c r="W206" s="489">
        <v>2.6</v>
      </c>
      <c r="X206" s="489">
        <v>2.89</v>
      </c>
      <c r="Y206" s="489">
        <v>3.49</v>
      </c>
      <c r="Z206" s="490">
        <v>4.14</v>
      </c>
      <c r="AA206" s="489">
        <v>4.83</v>
      </c>
      <c r="AB206" s="489">
        <v>5.56</v>
      </c>
      <c r="AC206" s="491">
        <v>6.34</v>
      </c>
      <c r="AF206" s="405" t="s">
        <v>899</v>
      </c>
      <c r="AG206" s="406">
        <v>10</v>
      </c>
      <c r="AH206" s="407">
        <v>14</v>
      </c>
      <c r="AI206" s="408">
        <v>0.285</v>
      </c>
      <c r="AJ206" s="409">
        <v>6.75</v>
      </c>
      <c r="AK206" s="408">
        <v>0.455</v>
      </c>
      <c r="AL206" s="412">
        <v>0.855</v>
      </c>
    </row>
    <row r="207" spans="1:38" ht="12.75">
      <c r="A207" s="10"/>
      <c r="B207" s="10"/>
      <c r="C207" s="10"/>
      <c r="D207" s="10"/>
      <c r="E207" s="10"/>
      <c r="F207" s="10"/>
      <c r="G207" s="10"/>
      <c r="H207" s="10"/>
      <c r="I207" s="10"/>
      <c r="M207" s="487">
        <v>2.2</v>
      </c>
      <c r="N207" s="492">
        <v>0.564</v>
      </c>
      <c r="O207" s="479">
        <v>0.704</v>
      </c>
      <c r="P207" s="480">
        <v>0.86</v>
      </c>
      <c r="Q207" s="480">
        <v>1.03</v>
      </c>
      <c r="R207" s="480">
        <v>1.22</v>
      </c>
      <c r="S207" s="480">
        <v>1.43</v>
      </c>
      <c r="T207" s="480">
        <v>1.66</v>
      </c>
      <c r="U207" s="480">
        <v>1.9</v>
      </c>
      <c r="V207" s="320">
        <v>2.15</v>
      </c>
      <c r="W207" s="480">
        <v>2.42</v>
      </c>
      <c r="X207" s="320">
        <v>2.69</v>
      </c>
      <c r="Y207" s="480">
        <v>3.26</v>
      </c>
      <c r="Z207" s="480">
        <v>3.87</v>
      </c>
      <c r="AA207" s="480">
        <v>4.52</v>
      </c>
      <c r="AB207" s="480">
        <v>5.22</v>
      </c>
      <c r="AC207" s="482">
        <v>5.96</v>
      </c>
      <c r="AF207" s="405" t="s">
        <v>900</v>
      </c>
      <c r="AG207" s="413">
        <v>8.85</v>
      </c>
      <c r="AH207" s="407">
        <v>13.8</v>
      </c>
      <c r="AI207" s="408">
        <v>0.27</v>
      </c>
      <c r="AJ207" s="409">
        <v>6.73</v>
      </c>
      <c r="AK207" s="408">
        <v>0.385</v>
      </c>
      <c r="AL207" s="412">
        <v>0.785</v>
      </c>
    </row>
    <row r="208" spans="1:38" ht="12.75">
      <c r="A208" s="10"/>
      <c r="B208" s="10"/>
      <c r="C208" s="10"/>
      <c r="D208" s="10"/>
      <c r="E208" s="10"/>
      <c r="F208" s="10"/>
      <c r="G208" s="10"/>
      <c r="H208" s="10"/>
      <c r="I208" s="10"/>
      <c r="M208" s="487">
        <v>2.4</v>
      </c>
      <c r="N208" s="478">
        <v>0.521</v>
      </c>
      <c r="O208" s="493">
        <v>0.652</v>
      </c>
      <c r="P208" s="494">
        <v>0.796</v>
      </c>
      <c r="Q208" s="326">
        <v>0.957</v>
      </c>
      <c r="R208" s="494">
        <v>1.13</v>
      </c>
      <c r="S208" s="494">
        <v>1.33</v>
      </c>
      <c r="T208" s="494">
        <v>1.54</v>
      </c>
      <c r="U208" s="494">
        <v>1.77</v>
      </c>
      <c r="V208" s="495">
        <v>2.01</v>
      </c>
      <c r="W208" s="494">
        <v>2.26</v>
      </c>
      <c r="X208" s="494">
        <v>2.51</v>
      </c>
      <c r="Y208" s="495">
        <v>3.05</v>
      </c>
      <c r="Z208" s="496">
        <v>3.63</v>
      </c>
      <c r="AA208" s="494">
        <v>4.25</v>
      </c>
      <c r="AB208" s="494">
        <v>4.91</v>
      </c>
      <c r="AC208" s="497">
        <v>5.61</v>
      </c>
      <c r="AF208" s="405" t="s">
        <v>901</v>
      </c>
      <c r="AG208" s="413">
        <v>7.69</v>
      </c>
      <c r="AH208" s="407">
        <v>13.9</v>
      </c>
      <c r="AI208" s="408">
        <v>0.255</v>
      </c>
      <c r="AJ208" s="409">
        <v>5.03</v>
      </c>
      <c r="AK208" s="408">
        <v>0.42</v>
      </c>
      <c r="AL208" s="412">
        <v>0.82</v>
      </c>
    </row>
    <row r="209" spans="1:38" ht="12.75">
      <c r="A209" s="10"/>
      <c r="B209" s="10"/>
      <c r="C209" s="10"/>
      <c r="D209" s="10"/>
      <c r="E209" s="10"/>
      <c r="F209" s="10"/>
      <c r="G209" s="10"/>
      <c r="H209" s="10"/>
      <c r="I209" s="10"/>
      <c r="M209" s="487">
        <v>2.6</v>
      </c>
      <c r="N209" s="478">
        <v>0.484</v>
      </c>
      <c r="O209" s="324">
        <v>0.605</v>
      </c>
      <c r="P209" s="480">
        <v>0.741</v>
      </c>
      <c r="Q209" s="480">
        <v>0.892</v>
      </c>
      <c r="R209" s="480">
        <v>1.06</v>
      </c>
      <c r="S209" s="480">
        <v>1.24</v>
      </c>
      <c r="T209" s="480">
        <v>1.44</v>
      </c>
      <c r="U209" s="319">
        <v>1.66</v>
      </c>
      <c r="V209" s="480">
        <v>1.88</v>
      </c>
      <c r="W209" s="480">
        <v>2.12</v>
      </c>
      <c r="X209" s="480">
        <v>2.36</v>
      </c>
      <c r="Y209" s="480">
        <v>2.86</v>
      </c>
      <c r="Z209" s="485">
        <v>3.41</v>
      </c>
      <c r="AA209" s="480">
        <v>4.01</v>
      </c>
      <c r="AB209" s="480">
        <v>4.64</v>
      </c>
      <c r="AC209" s="482">
        <v>5.31</v>
      </c>
      <c r="AF209" s="405" t="s">
        <v>902</v>
      </c>
      <c r="AG209" s="413">
        <v>6.49</v>
      </c>
      <c r="AH209" s="407">
        <v>13.7</v>
      </c>
      <c r="AI209" s="408">
        <v>0.23</v>
      </c>
      <c r="AJ209" s="409">
        <v>5</v>
      </c>
      <c r="AK209" s="408">
        <v>0.335</v>
      </c>
      <c r="AL209" s="412">
        <v>0.735</v>
      </c>
    </row>
    <row r="210" spans="1:38" ht="12.75">
      <c r="A210" s="10"/>
      <c r="B210" s="10"/>
      <c r="C210" s="10"/>
      <c r="D210" s="10"/>
      <c r="E210" s="10"/>
      <c r="F210" s="10"/>
      <c r="G210" s="10"/>
      <c r="H210" s="10"/>
      <c r="I210" s="10"/>
      <c r="M210" s="487">
        <v>2.8</v>
      </c>
      <c r="N210" s="478">
        <v>0.452</v>
      </c>
      <c r="O210" s="479">
        <v>0.565</v>
      </c>
      <c r="P210" s="480">
        <v>0.692</v>
      </c>
      <c r="Q210" s="480">
        <v>0.833</v>
      </c>
      <c r="R210" s="480">
        <v>0.992</v>
      </c>
      <c r="S210" s="480">
        <v>1.17</v>
      </c>
      <c r="T210" s="480">
        <v>1.35</v>
      </c>
      <c r="U210" s="480">
        <v>1.56</v>
      </c>
      <c r="V210" s="480">
        <v>1.77</v>
      </c>
      <c r="W210" s="480">
        <v>1.99</v>
      </c>
      <c r="X210" s="480">
        <v>2.21</v>
      </c>
      <c r="Y210" s="480">
        <v>2.7</v>
      </c>
      <c r="Z210" s="481">
        <v>3.22</v>
      </c>
      <c r="AA210" s="320">
        <v>3.79</v>
      </c>
      <c r="AB210" s="480">
        <v>4.39</v>
      </c>
      <c r="AC210" s="482">
        <v>5.03</v>
      </c>
      <c r="AF210" s="405" t="s">
        <v>903</v>
      </c>
      <c r="AG210" s="406">
        <v>98.8</v>
      </c>
      <c r="AH210" s="407">
        <v>16.8</v>
      </c>
      <c r="AI210" s="409">
        <v>1.78</v>
      </c>
      <c r="AJ210" s="407">
        <v>13.4</v>
      </c>
      <c r="AK210" s="409">
        <v>2.96</v>
      </c>
      <c r="AL210" s="410">
        <v>3.55</v>
      </c>
    </row>
    <row r="211" spans="1:38" ht="12.75">
      <c r="A211" s="10"/>
      <c r="B211" s="10"/>
      <c r="C211" s="10"/>
      <c r="D211" s="10"/>
      <c r="E211" s="10"/>
      <c r="F211" s="10"/>
      <c r="G211" s="10"/>
      <c r="H211" s="10"/>
      <c r="I211" s="10"/>
      <c r="M211" s="498">
        <v>3</v>
      </c>
      <c r="N211" s="499">
        <v>0.423</v>
      </c>
      <c r="O211" s="500">
        <v>0.531</v>
      </c>
      <c r="P211" s="501">
        <v>0.651</v>
      </c>
      <c r="Q211" s="501">
        <v>0.783</v>
      </c>
      <c r="R211" s="322">
        <v>0.933</v>
      </c>
      <c r="S211" s="501">
        <v>1.1</v>
      </c>
      <c r="T211" s="501">
        <v>1.27</v>
      </c>
      <c r="U211" s="501">
        <v>1.47</v>
      </c>
      <c r="V211" s="501">
        <v>1.67</v>
      </c>
      <c r="W211" s="501">
        <v>1.88</v>
      </c>
      <c r="X211" s="501">
        <v>2.09</v>
      </c>
      <c r="Y211" s="501">
        <v>2.55</v>
      </c>
      <c r="Z211" s="502">
        <v>3.05</v>
      </c>
      <c r="AA211" s="501">
        <v>3.59</v>
      </c>
      <c r="AB211" s="501">
        <v>4.16</v>
      </c>
      <c r="AC211" s="503">
        <v>4.78</v>
      </c>
      <c r="AF211" s="405" t="s">
        <v>904</v>
      </c>
      <c r="AG211" s="406">
        <v>89.6</v>
      </c>
      <c r="AH211" s="407">
        <v>16.3</v>
      </c>
      <c r="AI211" s="409">
        <v>1.63</v>
      </c>
      <c r="AJ211" s="407">
        <v>13.2</v>
      </c>
      <c r="AK211" s="409">
        <v>2.71</v>
      </c>
      <c r="AL211" s="410">
        <v>3.3</v>
      </c>
    </row>
    <row r="212" spans="1:38" ht="12.75">
      <c r="A212" s="10"/>
      <c r="B212" s="10"/>
      <c r="C212" s="10"/>
      <c r="D212" s="10"/>
      <c r="E212" s="10"/>
      <c r="F212" s="10"/>
      <c r="G212" s="10"/>
      <c r="H212" s="10"/>
      <c r="I212" s="10"/>
      <c r="M212" s="504" t="s">
        <v>526</v>
      </c>
      <c r="N212" s="505">
        <v>0</v>
      </c>
      <c r="O212" s="325">
        <v>0.008</v>
      </c>
      <c r="P212" s="322">
        <v>0.029</v>
      </c>
      <c r="Q212" s="322">
        <v>0.056</v>
      </c>
      <c r="R212" s="322">
        <v>0.089</v>
      </c>
      <c r="S212" s="322">
        <v>0.125</v>
      </c>
      <c r="T212" s="322">
        <v>0.164</v>
      </c>
      <c r="U212" s="322">
        <v>0.204</v>
      </c>
      <c r="V212" s="322">
        <v>0.246</v>
      </c>
      <c r="W212" s="322">
        <v>0.289</v>
      </c>
      <c r="X212" s="322">
        <v>0.333</v>
      </c>
      <c r="Y212" s="322">
        <v>0.424</v>
      </c>
      <c r="Z212" s="506">
        <v>0.516</v>
      </c>
      <c r="AA212" s="322">
        <v>0.61</v>
      </c>
      <c r="AB212" s="322">
        <v>0.704</v>
      </c>
      <c r="AC212" s="323">
        <v>0.8</v>
      </c>
      <c r="AF212" s="405" t="s">
        <v>905</v>
      </c>
      <c r="AG212" s="406">
        <v>81.9</v>
      </c>
      <c r="AH212" s="407">
        <v>15.9</v>
      </c>
      <c r="AI212" s="409">
        <v>1.53</v>
      </c>
      <c r="AJ212" s="407">
        <v>13.1</v>
      </c>
      <c r="AK212" s="409">
        <v>2.47</v>
      </c>
      <c r="AL212" s="410">
        <v>3.07</v>
      </c>
    </row>
    <row r="213" spans="1:38" ht="12.75">
      <c r="A213" s="10"/>
      <c r="B213" s="10"/>
      <c r="C213" s="10"/>
      <c r="D213" s="10"/>
      <c r="E213" s="10"/>
      <c r="F213" s="10"/>
      <c r="G213" s="10"/>
      <c r="H213" s="10"/>
      <c r="I213" s="10"/>
      <c r="AF213" s="405" t="s">
        <v>906</v>
      </c>
      <c r="AG213" s="406">
        <v>74</v>
      </c>
      <c r="AH213" s="407">
        <v>15.4</v>
      </c>
      <c r="AI213" s="409">
        <v>1.4</v>
      </c>
      <c r="AJ213" s="407">
        <v>13</v>
      </c>
      <c r="AK213" s="409">
        <v>2.25</v>
      </c>
      <c r="AL213" s="410">
        <v>2.85</v>
      </c>
    </row>
    <row r="214" spans="1:38" ht="12.75">
      <c r="A214" s="10"/>
      <c r="B214" s="10"/>
      <c r="C214" s="10"/>
      <c r="D214" s="10"/>
      <c r="E214" s="10"/>
      <c r="F214" s="10"/>
      <c r="G214" s="10"/>
      <c r="H214" s="10"/>
      <c r="I214" s="10"/>
      <c r="M214" s="141" t="s">
        <v>533</v>
      </c>
      <c r="N214" s="463"/>
      <c r="O214" s="107"/>
      <c r="P214" s="463"/>
      <c r="Q214" s="463"/>
      <c r="R214" s="143"/>
      <c r="S214" s="143"/>
      <c r="T214" s="143"/>
      <c r="U214" s="142"/>
      <c r="V214" s="143"/>
      <c r="W214" s="143"/>
      <c r="X214" s="143"/>
      <c r="Y214" s="143"/>
      <c r="Z214" s="144"/>
      <c r="AA214" s="143"/>
      <c r="AB214" s="143"/>
      <c r="AC214" s="144"/>
      <c r="AF214" s="405" t="s">
        <v>907</v>
      </c>
      <c r="AG214" s="406">
        <v>67.7</v>
      </c>
      <c r="AH214" s="407">
        <v>15.1</v>
      </c>
      <c r="AI214" s="409">
        <v>1.29</v>
      </c>
      <c r="AJ214" s="407">
        <v>12.9</v>
      </c>
      <c r="AK214" s="409">
        <v>2.07</v>
      </c>
      <c r="AL214" s="410">
        <v>2.67</v>
      </c>
    </row>
    <row r="215" spans="1:38" ht="12.75">
      <c r="A215" s="10"/>
      <c r="B215" s="10"/>
      <c r="C215" s="10"/>
      <c r="D215" s="10"/>
      <c r="E215" s="10"/>
      <c r="F215" s="10"/>
      <c r="G215" s="10"/>
      <c r="H215" s="10"/>
      <c r="I215" s="10"/>
      <c r="M215" s="464"/>
      <c r="N215" s="141" t="s">
        <v>323</v>
      </c>
      <c r="O215" s="107"/>
      <c r="P215" s="143"/>
      <c r="Q215" s="143"/>
      <c r="R215" s="143"/>
      <c r="S215" s="143"/>
      <c r="T215" s="465"/>
      <c r="U215" s="143"/>
      <c r="V215" s="143"/>
      <c r="W215" s="143"/>
      <c r="X215" s="143"/>
      <c r="Y215" s="156"/>
      <c r="Z215" s="144"/>
      <c r="AA215" s="143"/>
      <c r="AB215" s="156"/>
      <c r="AC215" s="144"/>
      <c r="AF215" s="405" t="s">
        <v>908</v>
      </c>
      <c r="AG215" s="406">
        <v>61.8</v>
      </c>
      <c r="AH215" s="407">
        <v>14.7</v>
      </c>
      <c r="AI215" s="409">
        <v>1.18</v>
      </c>
      <c r="AJ215" s="407">
        <v>12.8</v>
      </c>
      <c r="AK215" s="409">
        <v>1.9</v>
      </c>
      <c r="AL215" s="410">
        <v>2.5</v>
      </c>
    </row>
    <row r="216" spans="1:38" ht="12.75">
      <c r="A216" s="10"/>
      <c r="B216" s="10"/>
      <c r="C216" s="10"/>
      <c r="D216" s="10"/>
      <c r="E216" s="10"/>
      <c r="F216" s="10"/>
      <c r="G216" s="10"/>
      <c r="H216" s="10"/>
      <c r="I216" s="10"/>
      <c r="M216" s="467" t="s">
        <v>18</v>
      </c>
      <c r="N216" s="468">
        <v>0</v>
      </c>
      <c r="O216" s="140">
        <v>0.1</v>
      </c>
      <c r="P216" s="140">
        <v>0.2</v>
      </c>
      <c r="Q216" s="469">
        <v>0.3</v>
      </c>
      <c r="R216" s="140">
        <v>0.4</v>
      </c>
      <c r="S216" s="469">
        <v>0.5</v>
      </c>
      <c r="T216" s="140">
        <v>0.6</v>
      </c>
      <c r="U216" s="469">
        <v>0.7</v>
      </c>
      <c r="V216" s="140">
        <v>0.8</v>
      </c>
      <c r="W216" s="469">
        <v>0.9</v>
      </c>
      <c r="X216" s="140">
        <v>1</v>
      </c>
      <c r="Y216" s="469">
        <v>1.2</v>
      </c>
      <c r="Z216" s="140">
        <v>1.4</v>
      </c>
      <c r="AA216" s="140">
        <v>1.6</v>
      </c>
      <c r="AB216" s="469">
        <v>1.8</v>
      </c>
      <c r="AC216" s="140">
        <v>2</v>
      </c>
      <c r="AF216" s="405" t="s">
        <v>909</v>
      </c>
      <c r="AG216" s="406">
        <v>55.8</v>
      </c>
      <c r="AH216" s="407">
        <v>14.4</v>
      </c>
      <c r="AI216" s="409">
        <v>1.06</v>
      </c>
      <c r="AJ216" s="407">
        <v>12.7</v>
      </c>
      <c r="AK216" s="409">
        <v>1.74</v>
      </c>
      <c r="AL216" s="410">
        <v>2.33</v>
      </c>
    </row>
    <row r="217" spans="1:38" ht="12.75">
      <c r="A217" s="10"/>
      <c r="B217" s="76"/>
      <c r="C217" s="113"/>
      <c r="D217" s="55"/>
      <c r="E217" s="10"/>
      <c r="F217" s="10"/>
      <c r="G217" s="10"/>
      <c r="H217" s="89"/>
      <c r="I217" s="60"/>
      <c r="M217" s="471">
        <v>0</v>
      </c>
      <c r="N217" s="472">
        <v>2.73</v>
      </c>
      <c r="O217" s="473">
        <v>3.11</v>
      </c>
      <c r="P217" s="474">
        <v>3.49</v>
      </c>
      <c r="Q217" s="318">
        <v>3.88</v>
      </c>
      <c r="R217" s="474">
        <v>4.26</v>
      </c>
      <c r="S217" s="474">
        <v>4.65</v>
      </c>
      <c r="T217" s="474">
        <v>5.03</v>
      </c>
      <c r="U217" s="474">
        <v>5.42</v>
      </c>
      <c r="V217" s="474">
        <v>5.8</v>
      </c>
      <c r="W217" s="474">
        <v>6.19</v>
      </c>
      <c r="X217" s="318">
        <v>6.57</v>
      </c>
      <c r="Y217" s="474">
        <v>7.34</v>
      </c>
      <c r="Z217" s="475">
        <v>8.11</v>
      </c>
      <c r="AA217" s="474">
        <v>8.88</v>
      </c>
      <c r="AB217" s="474">
        <v>9.65</v>
      </c>
      <c r="AC217" s="476">
        <v>10.4</v>
      </c>
      <c r="AF217" s="405" t="s">
        <v>910</v>
      </c>
      <c r="AG217" s="406">
        <v>50</v>
      </c>
      <c r="AH217" s="407">
        <v>14</v>
      </c>
      <c r="AI217" s="408">
        <v>0.96</v>
      </c>
      <c r="AJ217" s="407">
        <v>12.6</v>
      </c>
      <c r="AK217" s="409">
        <v>1.56</v>
      </c>
      <c r="AL217" s="410">
        <v>2.16</v>
      </c>
    </row>
    <row r="218" spans="1:38" ht="12.75">
      <c r="A218" s="10"/>
      <c r="B218" s="10"/>
      <c r="C218" s="10"/>
      <c r="D218" s="10"/>
      <c r="E218" s="10"/>
      <c r="F218" s="10"/>
      <c r="G218" s="10"/>
      <c r="H218" s="10"/>
      <c r="I218" s="10"/>
      <c r="M218" s="477">
        <v>0.1</v>
      </c>
      <c r="N218" s="478">
        <v>2.59</v>
      </c>
      <c r="O218" s="479">
        <v>2.96</v>
      </c>
      <c r="P218" s="480">
        <v>3.35</v>
      </c>
      <c r="Q218" s="320">
        <v>3.75</v>
      </c>
      <c r="R218" s="480">
        <v>4.17</v>
      </c>
      <c r="S218" s="480">
        <v>4.58</v>
      </c>
      <c r="T218" s="480">
        <v>4.99</v>
      </c>
      <c r="U218" s="480">
        <v>5.4</v>
      </c>
      <c r="V218" s="480">
        <v>5.8</v>
      </c>
      <c r="W218" s="480">
        <v>6.2</v>
      </c>
      <c r="X218" s="480">
        <v>6.59</v>
      </c>
      <c r="Y218" s="480">
        <v>7.37</v>
      </c>
      <c r="Z218" s="481">
        <v>8.14</v>
      </c>
      <c r="AA218" s="480">
        <v>8.91</v>
      </c>
      <c r="AB218" s="480">
        <v>9.68</v>
      </c>
      <c r="AC218" s="482">
        <v>10.4</v>
      </c>
      <c r="AF218" s="405" t="s">
        <v>911</v>
      </c>
      <c r="AG218" s="406">
        <v>44.7</v>
      </c>
      <c r="AH218" s="407">
        <v>13.7</v>
      </c>
      <c r="AI218" s="408">
        <v>0.87</v>
      </c>
      <c r="AJ218" s="407">
        <v>12.5</v>
      </c>
      <c r="AK218" s="409">
        <v>1.4</v>
      </c>
      <c r="AL218" s="410">
        <v>2</v>
      </c>
    </row>
    <row r="219" spans="1:38" ht="12.75">
      <c r="A219" s="10"/>
      <c r="B219" s="10"/>
      <c r="C219" s="10"/>
      <c r="D219" s="10"/>
      <c r="E219" s="10"/>
      <c r="F219" s="10"/>
      <c r="G219" s="10"/>
      <c r="H219" s="10"/>
      <c r="I219" s="10"/>
      <c r="M219" s="483">
        <v>0.15</v>
      </c>
      <c r="N219" s="478">
        <v>2.5</v>
      </c>
      <c r="O219" s="479">
        <v>2.87</v>
      </c>
      <c r="P219" s="480">
        <v>3.26</v>
      </c>
      <c r="Q219" s="480">
        <v>3.67</v>
      </c>
      <c r="R219" s="480">
        <v>4.09</v>
      </c>
      <c r="S219" s="480">
        <v>4.51</v>
      </c>
      <c r="T219" s="320">
        <v>4.94</v>
      </c>
      <c r="U219" s="480">
        <v>5.35</v>
      </c>
      <c r="V219" s="480">
        <v>5.76</v>
      </c>
      <c r="W219" s="320">
        <v>6.17</v>
      </c>
      <c r="X219" s="480">
        <v>6.57</v>
      </c>
      <c r="Y219" s="480">
        <v>7.36</v>
      </c>
      <c r="Z219" s="481">
        <v>8.13</v>
      </c>
      <c r="AA219" s="480">
        <v>8.91</v>
      </c>
      <c r="AB219" s="480">
        <v>9.68</v>
      </c>
      <c r="AC219" s="482">
        <v>10.4</v>
      </c>
      <c r="AF219" s="405" t="s">
        <v>912</v>
      </c>
      <c r="AG219" s="406">
        <v>39.9</v>
      </c>
      <c r="AH219" s="407">
        <v>13.4</v>
      </c>
      <c r="AI219" s="408">
        <v>0.79</v>
      </c>
      <c r="AJ219" s="407">
        <v>12.4</v>
      </c>
      <c r="AK219" s="409">
        <v>1.25</v>
      </c>
      <c r="AL219" s="410">
        <v>1.85</v>
      </c>
    </row>
    <row r="220" spans="1:38" ht="12.75">
      <c r="A220" s="10"/>
      <c r="B220" s="10"/>
      <c r="C220" s="10"/>
      <c r="D220" s="10"/>
      <c r="E220" s="10"/>
      <c r="F220" s="10"/>
      <c r="G220" s="10"/>
      <c r="H220" s="10"/>
      <c r="I220" s="10"/>
      <c r="M220" s="483">
        <v>0.2</v>
      </c>
      <c r="N220" s="478">
        <v>2.43</v>
      </c>
      <c r="O220" s="479">
        <v>2.79</v>
      </c>
      <c r="P220" s="480">
        <v>3.18</v>
      </c>
      <c r="Q220" s="480">
        <v>3.59</v>
      </c>
      <c r="R220" s="320">
        <v>4.01</v>
      </c>
      <c r="S220" s="480">
        <v>4.44</v>
      </c>
      <c r="T220" s="480">
        <v>4.87</v>
      </c>
      <c r="U220" s="480">
        <v>5.29</v>
      </c>
      <c r="V220" s="480">
        <v>5.71</v>
      </c>
      <c r="W220" s="480">
        <v>6.13</v>
      </c>
      <c r="X220" s="480">
        <v>6.53</v>
      </c>
      <c r="Y220" s="480">
        <v>7.33</v>
      </c>
      <c r="Z220" s="481">
        <v>8.12</v>
      </c>
      <c r="AA220" s="480">
        <v>8.9</v>
      </c>
      <c r="AB220" s="480">
        <v>9.67</v>
      </c>
      <c r="AC220" s="484">
        <v>10.4</v>
      </c>
      <c r="AF220" s="405" t="s">
        <v>913</v>
      </c>
      <c r="AG220" s="406">
        <v>35.3</v>
      </c>
      <c r="AH220" s="407">
        <v>13.1</v>
      </c>
      <c r="AI220" s="408">
        <v>0.71</v>
      </c>
      <c r="AJ220" s="407">
        <v>12.3</v>
      </c>
      <c r="AK220" s="409">
        <v>1.11</v>
      </c>
      <c r="AL220" s="410">
        <v>1.7</v>
      </c>
    </row>
    <row r="221" spans="1:38" ht="12.75">
      <c r="A221" s="10"/>
      <c r="B221" s="10"/>
      <c r="C221" s="10"/>
      <c r="D221" s="10"/>
      <c r="E221" s="10"/>
      <c r="F221" s="10"/>
      <c r="G221" s="10"/>
      <c r="H221" s="10"/>
      <c r="I221" s="10"/>
      <c r="M221" s="483">
        <v>0.25</v>
      </c>
      <c r="N221" s="478">
        <v>2.35</v>
      </c>
      <c r="O221" s="479">
        <v>2.72</v>
      </c>
      <c r="P221" s="480">
        <v>3.1</v>
      </c>
      <c r="Q221" s="480">
        <v>3.51</v>
      </c>
      <c r="R221" s="480">
        <v>3.93</v>
      </c>
      <c r="S221" s="480">
        <v>4.36</v>
      </c>
      <c r="T221" s="480">
        <v>4.8</v>
      </c>
      <c r="U221" s="480">
        <v>5.23</v>
      </c>
      <c r="V221" s="480">
        <v>5.65</v>
      </c>
      <c r="W221" s="480">
        <v>6.07</v>
      </c>
      <c r="X221" s="480">
        <v>6.49</v>
      </c>
      <c r="Y221" s="480">
        <v>7.3</v>
      </c>
      <c r="Z221" s="481">
        <v>8.09</v>
      </c>
      <c r="AA221" s="480">
        <v>8.88</v>
      </c>
      <c r="AB221" s="480">
        <v>9.65</v>
      </c>
      <c r="AC221" s="482">
        <v>10.4</v>
      </c>
      <c r="AF221" s="405" t="s">
        <v>914</v>
      </c>
      <c r="AG221" s="406">
        <v>31.2</v>
      </c>
      <c r="AH221" s="407">
        <v>12.9</v>
      </c>
      <c r="AI221" s="408">
        <v>0.61</v>
      </c>
      <c r="AJ221" s="407">
        <v>12.2</v>
      </c>
      <c r="AK221" s="408">
        <v>0.99</v>
      </c>
      <c r="AL221" s="410">
        <v>1.59</v>
      </c>
    </row>
    <row r="222" spans="1:38" ht="12.75">
      <c r="A222" s="10"/>
      <c r="B222" s="10"/>
      <c r="C222" s="10"/>
      <c r="D222" s="10"/>
      <c r="E222" s="10"/>
      <c r="F222" s="10"/>
      <c r="G222" s="10"/>
      <c r="H222" s="10"/>
      <c r="I222" s="10"/>
      <c r="M222" s="483">
        <v>0.3</v>
      </c>
      <c r="N222" s="478">
        <v>2.28</v>
      </c>
      <c r="O222" s="479">
        <v>2.65</v>
      </c>
      <c r="P222" s="480">
        <v>3.02</v>
      </c>
      <c r="Q222" s="480">
        <v>3.43</v>
      </c>
      <c r="R222" s="480">
        <v>3.85</v>
      </c>
      <c r="S222" s="480">
        <v>4.28</v>
      </c>
      <c r="T222" s="480">
        <v>4.72</v>
      </c>
      <c r="U222" s="320">
        <v>5.16</v>
      </c>
      <c r="V222" s="480">
        <v>5.59</v>
      </c>
      <c r="W222" s="480">
        <v>6.02</v>
      </c>
      <c r="X222" s="480">
        <v>6.44</v>
      </c>
      <c r="Y222" s="480">
        <v>7.26</v>
      </c>
      <c r="Z222" s="485">
        <v>8.06</v>
      </c>
      <c r="AA222" s="320">
        <v>8.85</v>
      </c>
      <c r="AB222" s="480">
        <v>9.63</v>
      </c>
      <c r="AC222" s="484">
        <v>10.4</v>
      </c>
      <c r="AF222" s="405" t="s">
        <v>915</v>
      </c>
      <c r="AG222" s="406">
        <v>28.2</v>
      </c>
      <c r="AH222" s="407">
        <v>12.7</v>
      </c>
      <c r="AI222" s="408">
        <v>0.55</v>
      </c>
      <c r="AJ222" s="407">
        <v>12.2</v>
      </c>
      <c r="AK222" s="408">
        <v>0.9</v>
      </c>
      <c r="AL222" s="410">
        <v>1.5</v>
      </c>
    </row>
    <row r="223" spans="1:45" ht="12.75">
      <c r="A223" s="10"/>
      <c r="B223" s="10"/>
      <c r="C223" s="10"/>
      <c r="D223" s="10"/>
      <c r="E223" s="10"/>
      <c r="F223" s="10"/>
      <c r="G223" s="10"/>
      <c r="H223" s="10"/>
      <c r="I223" s="10"/>
      <c r="M223" s="483">
        <v>0.4</v>
      </c>
      <c r="N223" s="478">
        <v>2.16</v>
      </c>
      <c r="O223" s="479">
        <v>2.52</v>
      </c>
      <c r="P223" s="480">
        <v>2.88</v>
      </c>
      <c r="Q223" s="480">
        <v>3.27</v>
      </c>
      <c r="R223" s="480">
        <v>3.69</v>
      </c>
      <c r="S223" s="480">
        <v>4.12</v>
      </c>
      <c r="T223" s="480">
        <v>4.56</v>
      </c>
      <c r="U223" s="480">
        <v>5.01</v>
      </c>
      <c r="V223" s="320">
        <v>5.45</v>
      </c>
      <c r="W223" s="480">
        <v>5.88</v>
      </c>
      <c r="X223" s="480">
        <v>6.31</v>
      </c>
      <c r="Y223" s="320">
        <v>7.15</v>
      </c>
      <c r="Z223" s="481">
        <v>7.97</v>
      </c>
      <c r="AA223" s="480">
        <v>8.78</v>
      </c>
      <c r="AB223" s="480">
        <v>9.57</v>
      </c>
      <c r="AC223" s="482">
        <v>10.4</v>
      </c>
      <c r="AF223" s="405" t="s">
        <v>916</v>
      </c>
      <c r="AG223" s="406">
        <v>25.6</v>
      </c>
      <c r="AH223" s="407">
        <v>12.5</v>
      </c>
      <c r="AI223" s="408">
        <v>0.515</v>
      </c>
      <c r="AJ223" s="407">
        <v>12.1</v>
      </c>
      <c r="AK223" s="408">
        <v>0.81</v>
      </c>
      <c r="AL223" s="410">
        <v>1.41</v>
      </c>
      <c r="AR223" s="16"/>
      <c r="AS223" s="16"/>
    </row>
    <row r="224" spans="1:38" ht="12.75">
      <c r="A224" s="10"/>
      <c r="B224" s="10"/>
      <c r="C224" s="10"/>
      <c r="D224" s="10"/>
      <c r="E224" s="10"/>
      <c r="F224" s="10"/>
      <c r="G224" s="10"/>
      <c r="H224" s="10"/>
      <c r="I224" s="10"/>
      <c r="M224" s="483">
        <v>0.5</v>
      </c>
      <c r="N224" s="478">
        <v>2.05</v>
      </c>
      <c r="O224" s="479">
        <v>2.4</v>
      </c>
      <c r="P224" s="480">
        <v>2.75</v>
      </c>
      <c r="Q224" s="480">
        <v>3.13</v>
      </c>
      <c r="R224" s="480">
        <v>3.54</v>
      </c>
      <c r="S224" s="480">
        <v>3.97</v>
      </c>
      <c r="T224" s="480">
        <v>4.41</v>
      </c>
      <c r="U224" s="320">
        <v>4.85</v>
      </c>
      <c r="V224" s="320">
        <v>5.3</v>
      </c>
      <c r="W224" s="320">
        <v>5.74</v>
      </c>
      <c r="X224" s="480">
        <v>6.18</v>
      </c>
      <c r="Y224" s="480">
        <v>7.03</v>
      </c>
      <c r="Z224" s="481">
        <v>7.86</v>
      </c>
      <c r="AA224" s="480">
        <v>8.68</v>
      </c>
      <c r="AB224" s="320">
        <v>9.48</v>
      </c>
      <c r="AC224" s="482">
        <v>10.3</v>
      </c>
      <c r="AF224" s="405" t="s">
        <v>917</v>
      </c>
      <c r="AG224" s="406">
        <v>23.2</v>
      </c>
      <c r="AH224" s="407">
        <v>12.4</v>
      </c>
      <c r="AI224" s="408">
        <v>0.47</v>
      </c>
      <c r="AJ224" s="407">
        <v>12.1</v>
      </c>
      <c r="AK224" s="408">
        <v>0.735</v>
      </c>
      <c r="AL224" s="410">
        <v>1.33</v>
      </c>
    </row>
    <row r="225" spans="1:38" ht="12.75">
      <c r="A225" s="10"/>
      <c r="B225" s="10"/>
      <c r="C225" s="10"/>
      <c r="D225" s="10"/>
      <c r="E225" s="10"/>
      <c r="F225" s="10"/>
      <c r="G225" s="10"/>
      <c r="H225" s="10"/>
      <c r="I225" s="10"/>
      <c r="M225" s="483">
        <v>0.6</v>
      </c>
      <c r="N225" s="478">
        <v>1.94</v>
      </c>
      <c r="O225" s="479">
        <v>2.28</v>
      </c>
      <c r="P225" s="480">
        <v>2.63</v>
      </c>
      <c r="Q225" s="480">
        <v>3</v>
      </c>
      <c r="R225" s="480">
        <v>3.39</v>
      </c>
      <c r="S225" s="480">
        <v>3.82</v>
      </c>
      <c r="T225" s="480">
        <v>4.36</v>
      </c>
      <c r="U225" s="320">
        <v>4.71</v>
      </c>
      <c r="V225" s="480">
        <v>5.16</v>
      </c>
      <c r="W225" s="480">
        <v>5.61</v>
      </c>
      <c r="X225" s="480">
        <v>6.05</v>
      </c>
      <c r="Y225" s="480">
        <v>6.92</v>
      </c>
      <c r="Z225" s="481">
        <v>7.77</v>
      </c>
      <c r="AA225" s="480">
        <v>8.59</v>
      </c>
      <c r="AB225" s="480">
        <v>9.39</v>
      </c>
      <c r="AC225" s="482">
        <v>10.2</v>
      </c>
      <c r="AF225" s="405" t="s">
        <v>918</v>
      </c>
      <c r="AG225" s="406">
        <v>21.1</v>
      </c>
      <c r="AH225" s="407">
        <v>12.3</v>
      </c>
      <c r="AI225" s="408">
        <v>0.43</v>
      </c>
      <c r="AJ225" s="407">
        <v>12</v>
      </c>
      <c r="AK225" s="408">
        <v>0.67</v>
      </c>
      <c r="AL225" s="410">
        <v>1.27</v>
      </c>
    </row>
    <row r="226" spans="1:38" ht="12.75">
      <c r="A226" s="10"/>
      <c r="B226" s="10"/>
      <c r="C226" s="10"/>
      <c r="D226" s="10"/>
      <c r="E226" s="10"/>
      <c r="F226" s="10"/>
      <c r="G226" s="10"/>
      <c r="H226" s="10"/>
      <c r="I226" s="10"/>
      <c r="M226" s="483">
        <v>0.7</v>
      </c>
      <c r="N226" s="478">
        <v>1.84</v>
      </c>
      <c r="O226" s="479">
        <v>2.17</v>
      </c>
      <c r="P226" s="480">
        <v>2.52</v>
      </c>
      <c r="Q226" s="480">
        <v>2.87</v>
      </c>
      <c r="R226" s="480">
        <v>3.26</v>
      </c>
      <c r="S226" s="480">
        <v>3.68</v>
      </c>
      <c r="T226" s="480">
        <v>4.11</v>
      </c>
      <c r="U226" s="480">
        <v>4.56</v>
      </c>
      <c r="V226" s="320">
        <v>5.01</v>
      </c>
      <c r="W226" s="480">
        <v>5.47</v>
      </c>
      <c r="X226" s="480">
        <v>5.92</v>
      </c>
      <c r="Y226" s="480">
        <v>6.81</v>
      </c>
      <c r="Z226" s="481">
        <v>7.67</v>
      </c>
      <c r="AA226" s="480">
        <v>8.5</v>
      </c>
      <c r="AB226" s="480">
        <v>9.31</v>
      </c>
      <c r="AC226" s="482">
        <v>10.1</v>
      </c>
      <c r="AF226" s="405" t="s">
        <v>919</v>
      </c>
      <c r="AG226" s="406">
        <v>19.1</v>
      </c>
      <c r="AH226" s="407">
        <v>12.1</v>
      </c>
      <c r="AI226" s="408">
        <v>0.39</v>
      </c>
      <c r="AJ226" s="407">
        <v>12</v>
      </c>
      <c r="AK226" s="408">
        <v>0.605</v>
      </c>
      <c r="AL226" s="410">
        <v>1.2</v>
      </c>
    </row>
    <row r="227" spans="1:38" ht="12.75">
      <c r="A227" s="10"/>
      <c r="B227" s="10"/>
      <c r="C227" s="10"/>
      <c r="D227" s="10"/>
      <c r="E227" s="10"/>
      <c r="F227" s="10"/>
      <c r="G227" s="10"/>
      <c r="H227" s="10"/>
      <c r="I227" s="10"/>
      <c r="M227" s="483">
        <v>0.8</v>
      </c>
      <c r="N227" s="478">
        <v>1.75</v>
      </c>
      <c r="O227" s="479">
        <v>2.07</v>
      </c>
      <c r="P227" s="480">
        <v>2.41</v>
      </c>
      <c r="Q227" s="480">
        <v>2.76</v>
      </c>
      <c r="R227" s="480">
        <v>3.14</v>
      </c>
      <c r="S227" s="480">
        <v>3.54</v>
      </c>
      <c r="T227" s="320">
        <v>3.97</v>
      </c>
      <c r="U227" s="480">
        <v>4.42</v>
      </c>
      <c r="V227" s="320">
        <v>4.87</v>
      </c>
      <c r="W227" s="480">
        <v>5.33</v>
      </c>
      <c r="X227" s="480">
        <v>5.78</v>
      </c>
      <c r="Y227" s="480">
        <v>6.68</v>
      </c>
      <c r="Z227" s="481">
        <v>7.56</v>
      </c>
      <c r="AA227" s="480">
        <v>8.41</v>
      </c>
      <c r="AB227" s="480">
        <v>9.24</v>
      </c>
      <c r="AC227" s="321">
        <v>10.1</v>
      </c>
      <c r="AF227" s="405" t="s">
        <v>920</v>
      </c>
      <c r="AG227" s="406">
        <v>17</v>
      </c>
      <c r="AH227" s="407">
        <v>12.2</v>
      </c>
      <c r="AI227" s="408">
        <v>0.36</v>
      </c>
      <c r="AJ227" s="407">
        <v>10</v>
      </c>
      <c r="AK227" s="408">
        <v>0.64</v>
      </c>
      <c r="AL227" s="410">
        <v>1.24</v>
      </c>
    </row>
    <row r="228" spans="1:38" ht="12.75">
      <c r="A228" s="10"/>
      <c r="B228" s="10"/>
      <c r="C228" s="10"/>
      <c r="D228" s="10"/>
      <c r="E228" s="10"/>
      <c r="F228" s="10"/>
      <c r="G228" s="10"/>
      <c r="H228" s="10"/>
      <c r="I228" s="10"/>
      <c r="M228" s="483">
        <v>0.9</v>
      </c>
      <c r="N228" s="478">
        <v>1.67</v>
      </c>
      <c r="O228" s="479">
        <v>1.98</v>
      </c>
      <c r="P228" s="480">
        <v>2.31</v>
      </c>
      <c r="Q228" s="480">
        <v>2.65</v>
      </c>
      <c r="R228" s="480">
        <v>3.02</v>
      </c>
      <c r="S228" s="480">
        <v>3.42</v>
      </c>
      <c r="T228" s="480">
        <v>3.84</v>
      </c>
      <c r="U228" s="480">
        <v>4.27</v>
      </c>
      <c r="V228" s="480">
        <v>4.72</v>
      </c>
      <c r="W228" s="480">
        <v>5.18</v>
      </c>
      <c r="X228" s="480">
        <v>5.64</v>
      </c>
      <c r="Y228" s="480">
        <v>6.55</v>
      </c>
      <c r="Z228" s="481">
        <v>7.45</v>
      </c>
      <c r="AA228" s="320">
        <v>8.31</v>
      </c>
      <c r="AB228" s="480">
        <v>9.15</v>
      </c>
      <c r="AC228" s="321">
        <v>10</v>
      </c>
      <c r="AF228" s="405" t="s">
        <v>921</v>
      </c>
      <c r="AG228" s="406">
        <v>15.6</v>
      </c>
      <c r="AH228" s="407">
        <v>12.1</v>
      </c>
      <c r="AI228" s="408">
        <v>0.345</v>
      </c>
      <c r="AJ228" s="407">
        <v>10</v>
      </c>
      <c r="AK228" s="408">
        <v>0.575</v>
      </c>
      <c r="AL228" s="410">
        <v>1.18</v>
      </c>
    </row>
    <row r="229" spans="1:38" ht="12.75">
      <c r="A229" s="10"/>
      <c r="B229" s="10"/>
      <c r="C229" s="10"/>
      <c r="D229" s="10"/>
      <c r="E229" s="10"/>
      <c r="F229" s="10"/>
      <c r="G229" s="10"/>
      <c r="H229" s="10"/>
      <c r="I229" s="10"/>
      <c r="M229" s="487">
        <v>1</v>
      </c>
      <c r="N229" s="478">
        <v>1.59</v>
      </c>
      <c r="O229" s="479">
        <v>1.89</v>
      </c>
      <c r="P229" s="320">
        <v>2.21</v>
      </c>
      <c r="Q229" s="480">
        <v>2.55</v>
      </c>
      <c r="R229" s="480">
        <v>2.91</v>
      </c>
      <c r="S229" s="480">
        <v>3.3</v>
      </c>
      <c r="T229" s="480">
        <v>3.71</v>
      </c>
      <c r="U229" s="480">
        <v>4.14</v>
      </c>
      <c r="V229" s="480">
        <v>4.59</v>
      </c>
      <c r="W229" s="480">
        <v>5.04</v>
      </c>
      <c r="X229" s="480">
        <v>5.5</v>
      </c>
      <c r="Y229" s="480">
        <v>6.42</v>
      </c>
      <c r="Z229" s="481">
        <v>7.33</v>
      </c>
      <c r="AA229" s="480">
        <v>8.21</v>
      </c>
      <c r="AB229" s="480">
        <v>9.07</v>
      </c>
      <c r="AC229" s="482">
        <v>9.9</v>
      </c>
      <c r="AF229" s="405" t="s">
        <v>922</v>
      </c>
      <c r="AG229" s="406">
        <v>14.6</v>
      </c>
      <c r="AH229" s="407">
        <v>12.2</v>
      </c>
      <c r="AI229" s="408">
        <v>0.37</v>
      </c>
      <c r="AJ229" s="409">
        <v>8.08</v>
      </c>
      <c r="AK229" s="408">
        <v>0.64</v>
      </c>
      <c r="AL229" s="410">
        <v>1.14</v>
      </c>
    </row>
    <row r="230" spans="1:38" ht="12.75">
      <c r="A230" s="10"/>
      <c r="B230" s="10"/>
      <c r="C230" s="10"/>
      <c r="D230" s="10"/>
      <c r="E230" s="10"/>
      <c r="F230" s="10"/>
      <c r="G230" s="10"/>
      <c r="H230" s="10"/>
      <c r="I230" s="10"/>
      <c r="M230" s="487">
        <v>1.2</v>
      </c>
      <c r="N230" s="478">
        <v>1.45</v>
      </c>
      <c r="O230" s="479">
        <v>1.73</v>
      </c>
      <c r="P230" s="480">
        <v>2.04</v>
      </c>
      <c r="Q230" s="480">
        <v>2.36</v>
      </c>
      <c r="R230" s="480">
        <v>2.71</v>
      </c>
      <c r="S230" s="480">
        <v>3.08</v>
      </c>
      <c r="T230" s="480">
        <v>3.47</v>
      </c>
      <c r="U230" s="480">
        <v>3.88</v>
      </c>
      <c r="V230" s="480">
        <v>4.32</v>
      </c>
      <c r="W230" s="480">
        <v>4.77</v>
      </c>
      <c r="X230" s="480">
        <v>5.22</v>
      </c>
      <c r="Y230" s="480">
        <v>6.14</v>
      </c>
      <c r="Z230" s="481">
        <v>7.06</v>
      </c>
      <c r="AA230" s="480">
        <v>7.97</v>
      </c>
      <c r="AB230" s="480">
        <v>8.85</v>
      </c>
      <c r="AC230" s="482">
        <v>9.71</v>
      </c>
      <c r="AF230" s="405" t="s">
        <v>923</v>
      </c>
      <c r="AG230" s="406">
        <v>13.1</v>
      </c>
      <c r="AH230" s="407">
        <v>12.1</v>
      </c>
      <c r="AI230" s="408">
        <v>0.335</v>
      </c>
      <c r="AJ230" s="409">
        <v>8.05</v>
      </c>
      <c r="AK230" s="408">
        <v>0.575</v>
      </c>
      <c r="AL230" s="410">
        <v>1.08</v>
      </c>
    </row>
    <row r="231" spans="1:38" ht="12.75">
      <c r="A231" s="10"/>
      <c r="B231" s="10"/>
      <c r="C231" s="10"/>
      <c r="D231" s="10"/>
      <c r="E231" s="10"/>
      <c r="F231" s="10"/>
      <c r="G231" s="10"/>
      <c r="H231" s="10"/>
      <c r="I231" s="10"/>
      <c r="M231" s="487">
        <v>1.4</v>
      </c>
      <c r="N231" s="478">
        <v>1.33</v>
      </c>
      <c r="O231" s="479">
        <v>1.6</v>
      </c>
      <c r="P231" s="480">
        <v>1.89</v>
      </c>
      <c r="Q231" s="480">
        <v>2.19</v>
      </c>
      <c r="R231" s="480">
        <v>2.53</v>
      </c>
      <c r="S231" s="480">
        <v>2.88</v>
      </c>
      <c r="T231" s="480">
        <v>3.25</v>
      </c>
      <c r="U231" s="480">
        <v>3.65</v>
      </c>
      <c r="V231" s="480">
        <v>4.07</v>
      </c>
      <c r="W231" s="480">
        <v>4.5</v>
      </c>
      <c r="X231" s="480">
        <v>4.95</v>
      </c>
      <c r="Y231" s="480">
        <v>5.87</v>
      </c>
      <c r="Z231" s="481">
        <v>6.79</v>
      </c>
      <c r="AA231" s="480">
        <v>7.71</v>
      </c>
      <c r="AB231" s="320">
        <v>8.62</v>
      </c>
      <c r="AC231" s="482">
        <v>9.51</v>
      </c>
      <c r="AF231" s="405" t="s">
        <v>924</v>
      </c>
      <c r="AG231" s="406">
        <v>11.7</v>
      </c>
      <c r="AH231" s="407">
        <v>11.9</v>
      </c>
      <c r="AI231" s="408">
        <v>0.295</v>
      </c>
      <c r="AJ231" s="409">
        <v>8.01</v>
      </c>
      <c r="AK231" s="408">
        <v>0.515</v>
      </c>
      <c r="AL231" s="410">
        <v>1.02</v>
      </c>
    </row>
    <row r="232" spans="1:38" ht="12.75">
      <c r="A232" s="10"/>
      <c r="B232" s="10"/>
      <c r="C232" s="10"/>
      <c r="D232" s="10"/>
      <c r="E232" s="10"/>
      <c r="F232" s="10"/>
      <c r="G232" s="10"/>
      <c r="H232" s="10"/>
      <c r="I232" s="10"/>
      <c r="M232" s="487">
        <v>1.6</v>
      </c>
      <c r="N232" s="478">
        <v>1.22</v>
      </c>
      <c r="O232" s="479">
        <v>1.48</v>
      </c>
      <c r="P232" s="480">
        <v>1.75</v>
      </c>
      <c r="Q232" s="480">
        <v>2.05</v>
      </c>
      <c r="R232" s="480">
        <v>2.36</v>
      </c>
      <c r="S232" s="480">
        <v>2.7</v>
      </c>
      <c r="T232" s="480">
        <v>3.06</v>
      </c>
      <c r="U232" s="480">
        <v>3.44</v>
      </c>
      <c r="V232" s="480">
        <v>3.84</v>
      </c>
      <c r="W232" s="480">
        <v>4.26</v>
      </c>
      <c r="X232" s="480">
        <v>4.7</v>
      </c>
      <c r="Y232" s="480">
        <v>5.6</v>
      </c>
      <c r="Z232" s="481">
        <v>6.52</v>
      </c>
      <c r="AA232" s="480">
        <v>7.44</v>
      </c>
      <c r="AB232" s="480">
        <v>8.35</v>
      </c>
      <c r="AC232" s="482">
        <v>9.26</v>
      </c>
      <c r="AF232" s="405" t="s">
        <v>925</v>
      </c>
      <c r="AG232" s="406">
        <v>10.3</v>
      </c>
      <c r="AH232" s="407">
        <v>12.5</v>
      </c>
      <c r="AI232" s="408">
        <v>0.3</v>
      </c>
      <c r="AJ232" s="409">
        <v>6.56</v>
      </c>
      <c r="AK232" s="408">
        <v>0.52</v>
      </c>
      <c r="AL232" s="412">
        <v>0.82</v>
      </c>
    </row>
    <row r="233" spans="1:38" ht="12.75">
      <c r="A233" s="10"/>
      <c r="B233" s="10"/>
      <c r="C233" s="10"/>
      <c r="D233" s="10"/>
      <c r="E233" s="10"/>
      <c r="F233" s="10"/>
      <c r="G233" s="10"/>
      <c r="H233" s="10"/>
      <c r="I233" s="10"/>
      <c r="M233" s="487">
        <v>1.8</v>
      </c>
      <c r="N233" s="478">
        <v>1.13</v>
      </c>
      <c r="O233" s="324">
        <v>1.37</v>
      </c>
      <c r="P233" s="480">
        <v>1.63</v>
      </c>
      <c r="Q233" s="480">
        <v>1.91</v>
      </c>
      <c r="R233" s="480">
        <v>2.22</v>
      </c>
      <c r="S233" s="480">
        <v>2.54</v>
      </c>
      <c r="T233" s="480">
        <v>2.89</v>
      </c>
      <c r="U233" s="480">
        <v>3.25</v>
      </c>
      <c r="V233" s="480">
        <v>3.63</v>
      </c>
      <c r="W233" s="480">
        <v>4.04</v>
      </c>
      <c r="X233" s="480">
        <v>4.46</v>
      </c>
      <c r="Y233" s="480">
        <v>5.34</v>
      </c>
      <c r="Z233" s="481">
        <v>6.24</v>
      </c>
      <c r="AA233" s="480">
        <v>7.17</v>
      </c>
      <c r="AB233" s="480">
        <v>8.09</v>
      </c>
      <c r="AC233" s="321">
        <v>9.01</v>
      </c>
      <c r="AF233" s="405" t="s">
        <v>926</v>
      </c>
      <c r="AG233" s="413">
        <v>8.79</v>
      </c>
      <c r="AH233" s="407">
        <v>12.3</v>
      </c>
      <c r="AI233" s="408">
        <v>0.26</v>
      </c>
      <c r="AJ233" s="409">
        <v>6.52</v>
      </c>
      <c r="AK233" s="408">
        <v>0.44</v>
      </c>
      <c r="AL233" s="412">
        <v>0.74</v>
      </c>
    </row>
    <row r="234" spans="1:38" ht="12.75">
      <c r="A234" s="10"/>
      <c r="B234" s="10"/>
      <c r="C234" s="10"/>
      <c r="D234" s="10"/>
      <c r="E234" s="10"/>
      <c r="F234" s="10"/>
      <c r="G234" s="10"/>
      <c r="H234" s="10"/>
      <c r="I234" s="10"/>
      <c r="M234" s="487">
        <v>2</v>
      </c>
      <c r="N234" s="478">
        <v>1.05</v>
      </c>
      <c r="O234" s="488">
        <v>1.27</v>
      </c>
      <c r="P234" s="489">
        <v>1.52</v>
      </c>
      <c r="Q234" s="489">
        <v>1.79</v>
      </c>
      <c r="R234" s="489">
        <v>2.08</v>
      </c>
      <c r="S234" s="489">
        <v>2.4</v>
      </c>
      <c r="T234" s="489">
        <v>2.73</v>
      </c>
      <c r="U234" s="489">
        <v>3.07</v>
      </c>
      <c r="V234" s="489">
        <v>3.44</v>
      </c>
      <c r="W234" s="489">
        <v>3.84</v>
      </c>
      <c r="X234" s="489">
        <v>4.24</v>
      </c>
      <c r="Y234" s="489">
        <v>5.09</v>
      </c>
      <c r="Z234" s="490">
        <v>5.99</v>
      </c>
      <c r="AA234" s="489">
        <v>6.9</v>
      </c>
      <c r="AB234" s="489">
        <v>7.81</v>
      </c>
      <c r="AC234" s="491">
        <v>8.73</v>
      </c>
      <c r="AF234" s="405" t="s">
        <v>927</v>
      </c>
      <c r="AG234" s="413">
        <v>7.65</v>
      </c>
      <c r="AH234" s="407">
        <v>12.2</v>
      </c>
      <c r="AI234" s="408">
        <v>0.23</v>
      </c>
      <c r="AJ234" s="409">
        <v>6.49</v>
      </c>
      <c r="AK234" s="408">
        <v>0.38</v>
      </c>
      <c r="AL234" s="412">
        <v>0.68</v>
      </c>
    </row>
    <row r="235" spans="1:38" ht="12.75">
      <c r="A235" s="10"/>
      <c r="B235" s="10"/>
      <c r="C235" s="10"/>
      <c r="D235" s="10"/>
      <c r="E235" s="10"/>
      <c r="F235" s="10"/>
      <c r="G235" s="10"/>
      <c r="H235" s="10"/>
      <c r="I235" s="10"/>
      <c r="M235" s="487">
        <v>2.2</v>
      </c>
      <c r="N235" s="492">
        <v>0.973</v>
      </c>
      <c r="O235" s="479">
        <v>1.19</v>
      </c>
      <c r="P235" s="480">
        <v>1.43</v>
      </c>
      <c r="Q235" s="480">
        <v>1.68</v>
      </c>
      <c r="R235" s="480">
        <v>1.96</v>
      </c>
      <c r="S235" s="480">
        <v>2.26</v>
      </c>
      <c r="T235" s="480">
        <v>2.58</v>
      </c>
      <c r="U235" s="480">
        <v>2.92</v>
      </c>
      <c r="V235" s="320">
        <v>3.27</v>
      </c>
      <c r="W235" s="480">
        <v>3.65</v>
      </c>
      <c r="X235" s="320">
        <v>4.04</v>
      </c>
      <c r="Y235" s="480">
        <v>4.86</v>
      </c>
      <c r="Z235" s="480">
        <v>5.74</v>
      </c>
      <c r="AA235" s="480">
        <v>6.62</v>
      </c>
      <c r="AB235" s="480">
        <v>7.53</v>
      </c>
      <c r="AC235" s="482">
        <v>8.44</v>
      </c>
      <c r="AF235" s="405" t="s">
        <v>928</v>
      </c>
      <c r="AG235" s="413">
        <v>6.48</v>
      </c>
      <c r="AH235" s="407">
        <v>12.3</v>
      </c>
      <c r="AI235" s="408">
        <v>0.26</v>
      </c>
      <c r="AJ235" s="409">
        <v>4.03</v>
      </c>
      <c r="AK235" s="408">
        <v>0.425</v>
      </c>
      <c r="AL235" s="412">
        <v>0.725</v>
      </c>
    </row>
    <row r="236" spans="1:38" ht="12.75">
      <c r="A236" s="10"/>
      <c r="B236" s="10"/>
      <c r="C236" s="10"/>
      <c r="D236" s="10"/>
      <c r="E236" s="10"/>
      <c r="F236" s="10"/>
      <c r="G236" s="10"/>
      <c r="H236" s="10"/>
      <c r="I236" s="10"/>
      <c r="M236" s="487">
        <v>2.4</v>
      </c>
      <c r="N236" s="478">
        <v>0.911</v>
      </c>
      <c r="O236" s="493">
        <v>1.12</v>
      </c>
      <c r="P236" s="494">
        <v>1.34</v>
      </c>
      <c r="Q236" s="326">
        <v>1.59</v>
      </c>
      <c r="R236" s="494">
        <v>1.86</v>
      </c>
      <c r="S236" s="494">
        <v>2.14</v>
      </c>
      <c r="T236" s="494">
        <v>2.45</v>
      </c>
      <c r="U236" s="494">
        <v>2.77</v>
      </c>
      <c r="V236" s="495">
        <v>3.11</v>
      </c>
      <c r="W236" s="494">
        <v>3.47</v>
      </c>
      <c r="X236" s="494">
        <v>3.85</v>
      </c>
      <c r="Y236" s="495">
        <v>4.65</v>
      </c>
      <c r="Z236" s="496">
        <v>5.49</v>
      </c>
      <c r="AA236" s="494">
        <v>6.35</v>
      </c>
      <c r="AB236" s="494">
        <v>7.24</v>
      </c>
      <c r="AC236" s="497">
        <v>8.15</v>
      </c>
      <c r="AF236" s="405" t="s">
        <v>929</v>
      </c>
      <c r="AG236" s="413">
        <v>5.57</v>
      </c>
      <c r="AH236" s="407">
        <v>12.2</v>
      </c>
      <c r="AI236" s="408">
        <v>0.235</v>
      </c>
      <c r="AJ236" s="409">
        <v>4.01</v>
      </c>
      <c r="AK236" s="408">
        <v>0.35</v>
      </c>
      <c r="AL236" s="412">
        <v>0.65</v>
      </c>
    </row>
    <row r="237" spans="1:38" ht="12.75">
      <c r="A237" s="10"/>
      <c r="B237" s="10"/>
      <c r="C237" s="10"/>
      <c r="D237" s="10"/>
      <c r="E237" s="10"/>
      <c r="F237" s="10"/>
      <c r="G237" s="10"/>
      <c r="H237" s="10"/>
      <c r="I237" s="10"/>
      <c r="M237" s="487">
        <v>2.6</v>
      </c>
      <c r="N237" s="478">
        <v>0.855</v>
      </c>
      <c r="O237" s="324">
        <v>1.05</v>
      </c>
      <c r="P237" s="480">
        <v>1.27</v>
      </c>
      <c r="Q237" s="480">
        <v>1.5</v>
      </c>
      <c r="R237" s="480">
        <v>1.76</v>
      </c>
      <c r="S237" s="480">
        <v>2.03</v>
      </c>
      <c r="T237" s="480">
        <v>2.33</v>
      </c>
      <c r="U237" s="319">
        <v>2.64</v>
      </c>
      <c r="V237" s="480">
        <v>2.96</v>
      </c>
      <c r="W237" s="480">
        <v>3.31</v>
      </c>
      <c r="X237" s="480">
        <v>3.67</v>
      </c>
      <c r="Y237" s="480">
        <v>4.45</v>
      </c>
      <c r="Z237" s="485">
        <v>5.26</v>
      </c>
      <c r="AA237" s="480">
        <v>6.1</v>
      </c>
      <c r="AB237" s="480">
        <v>6.97</v>
      </c>
      <c r="AC237" s="482">
        <v>7.87</v>
      </c>
      <c r="AF237" s="405" t="s">
        <v>930</v>
      </c>
      <c r="AG237" s="413">
        <v>4.71</v>
      </c>
      <c r="AH237" s="407">
        <v>12</v>
      </c>
      <c r="AI237" s="408">
        <v>0.22</v>
      </c>
      <c r="AJ237" s="409">
        <v>3.99</v>
      </c>
      <c r="AK237" s="408">
        <v>0.265</v>
      </c>
      <c r="AL237" s="412">
        <v>0.565</v>
      </c>
    </row>
    <row r="238" spans="1:38" ht="12.75">
      <c r="A238" s="10"/>
      <c r="B238" s="10"/>
      <c r="C238" s="10"/>
      <c r="D238" s="10"/>
      <c r="E238" s="10"/>
      <c r="F238" s="10"/>
      <c r="G238" s="10"/>
      <c r="H238" s="10"/>
      <c r="I238" s="10"/>
      <c r="M238" s="487">
        <v>2.8</v>
      </c>
      <c r="N238" s="478">
        <v>0.805</v>
      </c>
      <c r="O238" s="479">
        <v>0.992</v>
      </c>
      <c r="P238" s="480">
        <v>1.2</v>
      </c>
      <c r="Q238" s="480">
        <v>1.42</v>
      </c>
      <c r="R238" s="480">
        <v>1.67</v>
      </c>
      <c r="S238" s="480">
        <v>1.93</v>
      </c>
      <c r="T238" s="480">
        <v>2.22</v>
      </c>
      <c r="U238" s="480">
        <v>2.51</v>
      </c>
      <c r="V238" s="480">
        <v>2.83</v>
      </c>
      <c r="W238" s="480">
        <v>3.16</v>
      </c>
      <c r="X238" s="480">
        <v>3.51</v>
      </c>
      <c r="Y238" s="480">
        <v>4.27</v>
      </c>
      <c r="Z238" s="481">
        <v>5.04</v>
      </c>
      <c r="AA238" s="320">
        <v>5.86</v>
      </c>
      <c r="AB238" s="480">
        <v>6.71</v>
      </c>
      <c r="AC238" s="482">
        <v>7.6</v>
      </c>
      <c r="AF238" s="405" t="s">
        <v>931</v>
      </c>
      <c r="AG238" s="413">
        <v>4.16</v>
      </c>
      <c r="AH238" s="407">
        <v>11.9</v>
      </c>
      <c r="AI238" s="408">
        <v>0.2</v>
      </c>
      <c r="AJ238" s="409">
        <v>3.97</v>
      </c>
      <c r="AK238" s="408">
        <v>0.225</v>
      </c>
      <c r="AL238" s="412">
        <v>0.525</v>
      </c>
    </row>
    <row r="239" spans="1:38" ht="12.75">
      <c r="A239" s="10"/>
      <c r="B239" s="10"/>
      <c r="C239" s="10"/>
      <c r="D239" s="10"/>
      <c r="E239" s="10"/>
      <c r="F239" s="10"/>
      <c r="G239" s="10"/>
      <c r="H239" s="10"/>
      <c r="I239" s="10"/>
      <c r="M239" s="498">
        <v>3</v>
      </c>
      <c r="N239" s="499">
        <v>0.76</v>
      </c>
      <c r="O239" s="500">
        <v>0.939</v>
      </c>
      <c r="P239" s="501">
        <v>1.13</v>
      </c>
      <c r="Q239" s="501">
        <v>1.35</v>
      </c>
      <c r="R239" s="322">
        <v>1.59</v>
      </c>
      <c r="S239" s="501">
        <v>1.84</v>
      </c>
      <c r="T239" s="501">
        <v>2.11</v>
      </c>
      <c r="U239" s="501">
        <v>2.4</v>
      </c>
      <c r="V239" s="501">
        <v>2.71</v>
      </c>
      <c r="W239" s="501">
        <v>3.03</v>
      </c>
      <c r="X239" s="501">
        <v>3.36</v>
      </c>
      <c r="Y239" s="501">
        <v>4.09</v>
      </c>
      <c r="Z239" s="502">
        <v>4.84</v>
      </c>
      <c r="AA239" s="501">
        <v>5.63</v>
      </c>
      <c r="AB239" s="501">
        <v>6.47</v>
      </c>
      <c r="AC239" s="503">
        <v>7.34</v>
      </c>
      <c r="AF239" s="405" t="s">
        <v>932</v>
      </c>
      <c r="AG239" s="406">
        <v>32.9</v>
      </c>
      <c r="AH239" s="407">
        <v>11.4</v>
      </c>
      <c r="AI239" s="408">
        <v>0.755</v>
      </c>
      <c r="AJ239" s="407">
        <v>10.4</v>
      </c>
      <c r="AK239" s="409">
        <v>1.25</v>
      </c>
      <c r="AL239" s="410">
        <v>1.75</v>
      </c>
    </row>
    <row r="240" spans="1:38" ht="12.75">
      <c r="A240" s="10"/>
      <c r="B240" s="10"/>
      <c r="C240" s="10"/>
      <c r="D240" s="10"/>
      <c r="E240" s="10"/>
      <c r="F240" s="10"/>
      <c r="G240" s="10"/>
      <c r="H240" s="10"/>
      <c r="I240" s="10"/>
      <c r="M240" s="504" t="s">
        <v>526</v>
      </c>
      <c r="N240" s="505">
        <v>0</v>
      </c>
      <c r="O240" s="325">
        <v>0.008</v>
      </c>
      <c r="P240" s="322">
        <v>0.029</v>
      </c>
      <c r="Q240" s="322">
        <v>0.056</v>
      </c>
      <c r="R240" s="322">
        <v>0.089</v>
      </c>
      <c r="S240" s="322">
        <v>0.125</v>
      </c>
      <c r="T240" s="322">
        <v>0.164</v>
      </c>
      <c r="U240" s="322">
        <v>0.204</v>
      </c>
      <c r="V240" s="322">
        <v>0.246</v>
      </c>
      <c r="W240" s="322">
        <v>0.289</v>
      </c>
      <c r="X240" s="322">
        <v>0.333</v>
      </c>
      <c r="Y240" s="322">
        <v>0.424</v>
      </c>
      <c r="Z240" s="506">
        <v>0.516</v>
      </c>
      <c r="AA240" s="322">
        <v>0.61</v>
      </c>
      <c r="AB240" s="322">
        <v>0.704</v>
      </c>
      <c r="AC240" s="323">
        <v>0.8</v>
      </c>
      <c r="AF240" s="405" t="s">
        <v>933</v>
      </c>
      <c r="AG240" s="406">
        <v>29.4</v>
      </c>
      <c r="AH240" s="407">
        <v>11.1</v>
      </c>
      <c r="AI240" s="408">
        <v>0.68</v>
      </c>
      <c r="AJ240" s="407">
        <v>10.3</v>
      </c>
      <c r="AK240" s="409">
        <v>1.12</v>
      </c>
      <c r="AL240" s="410">
        <v>1.62</v>
      </c>
    </row>
    <row r="241" spans="1:38" ht="12.75">
      <c r="A241" s="10"/>
      <c r="B241" s="10"/>
      <c r="C241" s="10"/>
      <c r="D241" s="10"/>
      <c r="E241" s="10"/>
      <c r="F241" s="10"/>
      <c r="G241" s="10"/>
      <c r="H241" s="10"/>
      <c r="I241" s="10"/>
      <c r="AF241" s="405" t="s">
        <v>934</v>
      </c>
      <c r="AG241" s="406">
        <v>25.9</v>
      </c>
      <c r="AH241" s="407">
        <v>10.8</v>
      </c>
      <c r="AI241" s="408">
        <v>0.605</v>
      </c>
      <c r="AJ241" s="407">
        <v>10.3</v>
      </c>
      <c r="AK241" s="408">
        <v>0.99</v>
      </c>
      <c r="AL241" s="410">
        <v>1.49</v>
      </c>
    </row>
    <row r="242" spans="1:38" ht="12.75">
      <c r="A242" s="10"/>
      <c r="B242" s="10"/>
      <c r="C242" s="10"/>
      <c r="D242" s="10"/>
      <c r="E242" s="10"/>
      <c r="F242" s="10"/>
      <c r="G242" s="10"/>
      <c r="H242" s="10"/>
      <c r="I242" s="10"/>
      <c r="M242" s="29" t="s">
        <v>613</v>
      </c>
      <c r="O242" s="34"/>
      <c r="AF242" s="405" t="s">
        <v>935</v>
      </c>
      <c r="AG242" s="406">
        <v>22.6</v>
      </c>
      <c r="AH242" s="407">
        <v>10.6</v>
      </c>
      <c r="AI242" s="408">
        <v>0.53</v>
      </c>
      <c r="AJ242" s="407">
        <v>10.2</v>
      </c>
      <c r="AK242" s="408">
        <v>0.87</v>
      </c>
      <c r="AL242" s="410">
        <v>1.37</v>
      </c>
    </row>
    <row r="243" spans="1:38" ht="12.75">
      <c r="A243" s="10"/>
      <c r="B243" s="10"/>
      <c r="C243" s="10"/>
      <c r="D243" s="10"/>
      <c r="E243" s="10"/>
      <c r="F243" s="10"/>
      <c r="G243" s="10"/>
      <c r="H243" s="10"/>
      <c r="I243" s="10"/>
      <c r="M243" s="33" t="s">
        <v>75</v>
      </c>
      <c r="N243" s="39">
        <f>2*$D$26*$D$22</f>
        <v>9</v>
      </c>
      <c r="O243" s="31" t="s">
        <v>243</v>
      </c>
      <c r="P243" s="48" t="s">
        <v>603</v>
      </c>
      <c r="AF243" s="405" t="s">
        <v>936</v>
      </c>
      <c r="AG243" s="406">
        <v>20</v>
      </c>
      <c r="AH243" s="407">
        <v>10.4</v>
      </c>
      <c r="AI243" s="408">
        <v>0.47</v>
      </c>
      <c r="AJ243" s="407">
        <v>10.1</v>
      </c>
      <c r="AK243" s="408">
        <v>0.77</v>
      </c>
      <c r="AL243" s="410">
        <v>1.27</v>
      </c>
    </row>
    <row r="244" spans="1:38" ht="12.75">
      <c r="A244" s="10"/>
      <c r="B244" s="10"/>
      <c r="C244" s="10"/>
      <c r="D244" s="10"/>
      <c r="E244" s="10"/>
      <c r="F244" s="10"/>
      <c r="G244" s="10"/>
      <c r="H244" s="10"/>
      <c r="I244" s="10"/>
      <c r="M244" s="33" t="s">
        <v>252</v>
      </c>
      <c r="N244" s="41">
        <f>(1/1.5)*0.6*$D$23*$N$243</f>
        <v>129.6</v>
      </c>
      <c r="O244" s="31" t="s">
        <v>237</v>
      </c>
      <c r="P244" s="29" t="s">
        <v>599</v>
      </c>
      <c r="AF244" s="405" t="s">
        <v>937</v>
      </c>
      <c r="AG244" s="406">
        <v>17.6</v>
      </c>
      <c r="AH244" s="407">
        <v>10.2</v>
      </c>
      <c r="AI244" s="408">
        <v>0.42</v>
      </c>
      <c r="AJ244" s="407">
        <v>10.1</v>
      </c>
      <c r="AK244" s="408">
        <v>0.68</v>
      </c>
      <c r="AL244" s="410">
        <v>1.18</v>
      </c>
    </row>
    <row r="245" spans="1:38" ht="12.75">
      <c r="A245" s="10"/>
      <c r="B245" s="10"/>
      <c r="C245" s="10"/>
      <c r="D245" s="10"/>
      <c r="E245" s="10"/>
      <c r="F245" s="10"/>
      <c r="G245" s="10"/>
      <c r="H245" s="10"/>
      <c r="I245" s="10"/>
      <c r="M245" s="29" t="s">
        <v>614</v>
      </c>
      <c r="N245" s="57"/>
      <c r="AF245" s="405" t="s">
        <v>938</v>
      </c>
      <c r="AG245" s="406">
        <v>15.8</v>
      </c>
      <c r="AH245" s="407">
        <v>10.1</v>
      </c>
      <c r="AI245" s="408">
        <v>0.37</v>
      </c>
      <c r="AJ245" s="407">
        <v>10</v>
      </c>
      <c r="AK245" s="408">
        <v>0.615</v>
      </c>
      <c r="AL245" s="410">
        <v>1.12</v>
      </c>
    </row>
    <row r="246" spans="1:38" ht="12.75">
      <c r="A246" s="10"/>
      <c r="B246" s="10"/>
      <c r="C246" s="10"/>
      <c r="D246" s="10"/>
      <c r="E246" s="10"/>
      <c r="F246" s="10"/>
      <c r="G246" s="10"/>
      <c r="H246" s="10"/>
      <c r="I246" s="10"/>
      <c r="M246" s="50" t="s">
        <v>253</v>
      </c>
      <c r="N246" s="43">
        <f>$N$243</f>
        <v>9</v>
      </c>
      <c r="O246" s="38" t="s">
        <v>243</v>
      </c>
      <c r="P246" s="31" t="s">
        <v>604</v>
      </c>
      <c r="AF246" s="405" t="s">
        <v>939</v>
      </c>
      <c r="AG246" s="406">
        <v>14.4</v>
      </c>
      <c r="AH246" s="407">
        <v>10</v>
      </c>
      <c r="AI246" s="408">
        <v>0.34</v>
      </c>
      <c r="AJ246" s="407">
        <v>10</v>
      </c>
      <c r="AK246" s="408">
        <v>0.56</v>
      </c>
      <c r="AL246" s="410">
        <v>1.06</v>
      </c>
    </row>
    <row r="247" spans="1:38" ht="12.75">
      <c r="A247" s="10"/>
      <c r="B247" s="10"/>
      <c r="C247" s="10"/>
      <c r="D247" s="10"/>
      <c r="E247" s="10"/>
      <c r="F247" s="10"/>
      <c r="G247" s="10"/>
      <c r="H247" s="10"/>
      <c r="I247" s="60"/>
      <c r="M247" s="33" t="s">
        <v>254</v>
      </c>
      <c r="N247" s="41">
        <f>(1/2)*0.6*$N$5*$N$246</f>
        <v>156.6</v>
      </c>
      <c r="O247" s="31" t="s">
        <v>237</v>
      </c>
      <c r="P247" s="29" t="s">
        <v>600</v>
      </c>
      <c r="AF247" s="405" t="s">
        <v>940</v>
      </c>
      <c r="AG247" s="406">
        <v>13.3</v>
      </c>
      <c r="AH247" s="407">
        <v>10.1</v>
      </c>
      <c r="AI247" s="408">
        <v>0.35</v>
      </c>
      <c r="AJ247" s="409">
        <v>8.02</v>
      </c>
      <c r="AK247" s="408">
        <v>0.62</v>
      </c>
      <c r="AL247" s="410">
        <v>1.12</v>
      </c>
    </row>
    <row r="248" spans="1:38" ht="12.75">
      <c r="A248" s="10"/>
      <c r="B248" s="10"/>
      <c r="C248" s="10"/>
      <c r="D248" s="10"/>
      <c r="E248" s="10"/>
      <c r="F248" s="10"/>
      <c r="G248" s="10"/>
      <c r="H248" s="10"/>
      <c r="I248" s="60"/>
      <c r="M248" s="48" t="s">
        <v>17</v>
      </c>
      <c r="N248" s="34"/>
      <c r="P248" s="31"/>
      <c r="AF248" s="405" t="s">
        <v>941</v>
      </c>
      <c r="AG248" s="406">
        <v>11.5</v>
      </c>
      <c r="AH248" s="409">
        <v>9.92</v>
      </c>
      <c r="AI248" s="408">
        <v>0.315</v>
      </c>
      <c r="AJ248" s="409">
        <v>7.99</v>
      </c>
      <c r="AK248" s="408">
        <v>0.53</v>
      </c>
      <c r="AL248" s="410">
        <v>1.03</v>
      </c>
    </row>
    <row r="249" spans="1:38" ht="12.75">
      <c r="A249" s="10"/>
      <c r="B249" s="10"/>
      <c r="C249" s="10"/>
      <c r="D249" s="10"/>
      <c r="E249" s="10"/>
      <c r="F249" s="10"/>
      <c r="G249" s="10"/>
      <c r="H249" s="10"/>
      <c r="I249" s="10"/>
      <c r="M249" s="33" t="s">
        <v>35</v>
      </c>
      <c r="N249" s="39">
        <f>2*$D$26*$D$22</f>
        <v>9</v>
      </c>
      <c r="O249" s="31" t="s">
        <v>243</v>
      </c>
      <c r="P249" s="48" t="s">
        <v>609</v>
      </c>
      <c r="AF249" s="405" t="s">
        <v>942</v>
      </c>
      <c r="AG249" s="413">
        <v>9.71</v>
      </c>
      <c r="AH249" s="409">
        <v>9.73</v>
      </c>
      <c r="AI249" s="408">
        <v>0.29</v>
      </c>
      <c r="AJ249" s="409">
        <v>7.96</v>
      </c>
      <c r="AK249" s="408">
        <v>0.435</v>
      </c>
      <c r="AL249" s="412">
        <v>0.935</v>
      </c>
    </row>
    <row r="250" spans="1:38" ht="12.75">
      <c r="A250" s="10"/>
      <c r="B250" s="25"/>
      <c r="C250" s="120"/>
      <c r="D250" s="25"/>
      <c r="E250" s="25"/>
      <c r="F250" s="25"/>
      <c r="G250" s="25"/>
      <c r="H250" s="25"/>
      <c r="I250" s="235"/>
      <c r="M250" s="33" t="s">
        <v>36</v>
      </c>
      <c r="N250" s="41">
        <f>(0.6*$D$23*$N$249)*IF(1-($D$16/$N$244)^2&gt;0,(1-($D$16/$N$244)^2),0.0001)</f>
        <v>175.88148148148144</v>
      </c>
      <c r="O250" s="31" t="s">
        <v>237</v>
      </c>
      <c r="P250" s="31" t="s">
        <v>109</v>
      </c>
      <c r="AF250" s="405" t="s">
        <v>943</v>
      </c>
      <c r="AG250" s="413">
        <v>8.84</v>
      </c>
      <c r="AH250" s="407">
        <v>10.5</v>
      </c>
      <c r="AI250" s="408">
        <v>0.3</v>
      </c>
      <c r="AJ250" s="409">
        <v>5.81</v>
      </c>
      <c r="AK250" s="408">
        <v>0.51</v>
      </c>
      <c r="AL250" s="412">
        <v>0.81</v>
      </c>
    </row>
    <row r="251" spans="1:38" ht="12.75">
      <c r="A251" s="10"/>
      <c r="B251" s="10"/>
      <c r="C251" s="10"/>
      <c r="D251" s="10"/>
      <c r="E251" s="10"/>
      <c r="F251" s="10"/>
      <c r="G251" s="10"/>
      <c r="H251" s="10"/>
      <c r="I251" s="10"/>
      <c r="M251" s="95" t="s">
        <v>334</v>
      </c>
      <c r="O251" s="34"/>
      <c r="R251" s="150" t="s">
        <v>471</v>
      </c>
      <c r="AF251" s="405" t="s">
        <v>944</v>
      </c>
      <c r="AG251" s="413">
        <v>7.61</v>
      </c>
      <c r="AH251" s="407">
        <v>10.3</v>
      </c>
      <c r="AI251" s="408">
        <v>0.26</v>
      </c>
      <c r="AJ251" s="409">
        <v>5.77</v>
      </c>
      <c r="AK251" s="408">
        <v>0.44</v>
      </c>
      <c r="AL251" s="412">
        <v>0.74</v>
      </c>
    </row>
    <row r="252" spans="13:38" ht="12.75">
      <c r="M252" s="29" t="s">
        <v>615</v>
      </c>
      <c r="O252" s="34"/>
      <c r="AF252" s="405" t="s">
        <v>945</v>
      </c>
      <c r="AG252" s="413">
        <v>6.49</v>
      </c>
      <c r="AH252" s="407">
        <v>10.2</v>
      </c>
      <c r="AI252" s="408">
        <v>0.24</v>
      </c>
      <c r="AJ252" s="409">
        <v>5.75</v>
      </c>
      <c r="AK252" s="408">
        <v>0.36</v>
      </c>
      <c r="AL252" s="412">
        <v>0.66</v>
      </c>
    </row>
    <row r="253" spans="13:38" ht="12.75">
      <c r="M253" s="33" t="s">
        <v>106</v>
      </c>
      <c r="N253" s="39" t="str">
        <f>IF(AND($D$29=0,$D$30=0,$D$31=0),"N.A.","N.A.")</f>
        <v>N.A.</v>
      </c>
      <c r="O253" s="34"/>
      <c r="P253" s="31" t="s">
        <v>616</v>
      </c>
      <c r="AF253" s="405" t="s">
        <v>946</v>
      </c>
      <c r="AG253" s="413">
        <v>5.62</v>
      </c>
      <c r="AH253" s="407">
        <v>10.2</v>
      </c>
      <c r="AI253" s="408">
        <v>0.25</v>
      </c>
      <c r="AJ253" s="409">
        <v>4.02</v>
      </c>
      <c r="AK253" s="408">
        <v>0.395</v>
      </c>
      <c r="AL253" s="412">
        <v>0.695</v>
      </c>
    </row>
    <row r="254" spans="13:38" ht="12.75">
      <c r="M254" s="50" t="s">
        <v>75</v>
      </c>
      <c r="N254" s="39">
        <f>IF(AND($D$29=0,$D$30=0,$D$31=0),$B$45*$B$46,"N.A.")</f>
        <v>6.39</v>
      </c>
      <c r="O254" s="38" t="s">
        <v>243</v>
      </c>
      <c r="P254" s="31" t="s">
        <v>1083</v>
      </c>
      <c r="AF254" s="405" t="s">
        <v>947</v>
      </c>
      <c r="AG254" s="413">
        <v>4.99</v>
      </c>
      <c r="AH254" s="407">
        <v>10.1</v>
      </c>
      <c r="AI254" s="408">
        <v>0.24</v>
      </c>
      <c r="AJ254" s="409">
        <v>4.01</v>
      </c>
      <c r="AK254" s="408">
        <v>0.33</v>
      </c>
      <c r="AL254" s="412">
        <v>0.63</v>
      </c>
    </row>
    <row r="255" spans="13:38" ht="12.75">
      <c r="M255" s="33" t="s">
        <v>617</v>
      </c>
      <c r="N255" s="61">
        <f>IF(AND($D$29=0,$D$30=0,$D$31=0),($B$45-2*$B$49)/$B$46,"N.A.")</f>
        <v>45.228169014084514</v>
      </c>
      <c r="O255" s="34"/>
      <c r="P255" s="29" t="s">
        <v>618</v>
      </c>
      <c r="AF255" s="405" t="s">
        <v>948</v>
      </c>
      <c r="AG255" s="413">
        <v>4.41</v>
      </c>
      <c r="AH255" s="407">
        <v>10</v>
      </c>
      <c r="AI255" s="408">
        <v>0.23</v>
      </c>
      <c r="AJ255" s="409">
        <v>4</v>
      </c>
      <c r="AK255" s="408">
        <v>0.27</v>
      </c>
      <c r="AL255" s="412">
        <v>0.57</v>
      </c>
    </row>
    <row r="256" spans="13:38" ht="12.75">
      <c r="M256" s="33" t="s">
        <v>619</v>
      </c>
      <c r="N256" s="114">
        <f>IF(AND($D$29=0,$D$30=0,$D$31=0),5,"N.A.")</f>
        <v>5</v>
      </c>
      <c r="O256" s="34"/>
      <c r="P256" s="29" t="s">
        <v>620</v>
      </c>
      <c r="AF256" s="405" t="s">
        <v>949</v>
      </c>
      <c r="AG256" s="413">
        <v>3.54</v>
      </c>
      <c r="AH256" s="409">
        <v>9.87</v>
      </c>
      <c r="AI256" s="408">
        <v>0.19</v>
      </c>
      <c r="AJ256" s="409">
        <v>3.96</v>
      </c>
      <c r="AK256" s="408">
        <v>0.21</v>
      </c>
      <c r="AL256" s="412">
        <v>0.51</v>
      </c>
    </row>
    <row r="257" spans="13:38" ht="12.75">
      <c r="M257" s="33" t="s">
        <v>621</v>
      </c>
      <c r="N257" s="41">
        <f>IF(AND($D$29=0,$D$30=0,$D$31=0),IF($N$255&lt;=2.24*SQRT(29000/$D$12),1,IF($N$255&lt;=1.1*SQRT($N$256*29000/$D$12),1,IF($N$255&gt;1.37*SQRT($N$256*29000/$D$12),(1.51*29000*$N$256)/($N$255^2*$D$12),(1.1*SQRT($N$256*29000/$D$12))/$N$255))),"N.A.")</f>
        <v>1</v>
      </c>
      <c r="O257" s="34"/>
      <c r="P257" s="29" t="s">
        <v>650</v>
      </c>
      <c r="AF257" s="405" t="s">
        <v>950</v>
      </c>
      <c r="AG257" s="406">
        <v>19.7</v>
      </c>
      <c r="AH257" s="409">
        <v>9</v>
      </c>
      <c r="AI257" s="408">
        <v>0.57</v>
      </c>
      <c r="AJ257" s="409">
        <v>8.28</v>
      </c>
      <c r="AK257" s="408">
        <v>0.935</v>
      </c>
      <c r="AL257" s="410">
        <v>1.33</v>
      </c>
    </row>
    <row r="258" spans="13:38" ht="12.75">
      <c r="M258" s="33" t="s">
        <v>252</v>
      </c>
      <c r="N258" s="41">
        <f>IF(AND($D$29=0,$D$30=0,$D$31=0),(1/1.5)*0.6*$D$12*$N$257*$N$254,"N.A.")</f>
        <v>127.8</v>
      </c>
      <c r="O258" s="31" t="s">
        <v>237</v>
      </c>
      <c r="P258" s="29" t="s">
        <v>651</v>
      </c>
      <c r="AF258" s="405" t="s">
        <v>951</v>
      </c>
      <c r="AG258" s="406">
        <v>17.1</v>
      </c>
      <c r="AH258" s="409">
        <v>8.75</v>
      </c>
      <c r="AI258" s="408">
        <v>0.51</v>
      </c>
      <c r="AJ258" s="409">
        <v>8.22</v>
      </c>
      <c r="AK258" s="408">
        <v>0.81</v>
      </c>
      <c r="AL258" s="410">
        <v>1.2</v>
      </c>
    </row>
    <row r="259" spans="13:38" ht="12.75">
      <c r="M259" s="29" t="s">
        <v>663</v>
      </c>
      <c r="N259" s="57"/>
      <c r="AF259" s="405" t="s">
        <v>952</v>
      </c>
      <c r="AG259" s="406">
        <v>14.1</v>
      </c>
      <c r="AH259" s="409">
        <v>8.5</v>
      </c>
      <c r="AI259" s="408">
        <v>0.4</v>
      </c>
      <c r="AJ259" s="409">
        <v>8.11</v>
      </c>
      <c r="AK259" s="408">
        <v>0.685</v>
      </c>
      <c r="AL259" s="410">
        <v>1.08</v>
      </c>
    </row>
    <row r="260" spans="13:38" ht="12.75">
      <c r="M260" s="50" t="s">
        <v>253</v>
      </c>
      <c r="N260" s="43" t="str">
        <f>"N.A."</f>
        <v>N.A.</v>
      </c>
      <c r="O260" s="38" t="s">
        <v>243</v>
      </c>
      <c r="P260" s="31" t="s">
        <v>1254</v>
      </c>
      <c r="AF260" s="405" t="s">
        <v>953</v>
      </c>
      <c r="AG260" s="406">
        <v>11.7</v>
      </c>
      <c r="AH260" s="409">
        <v>8.25</v>
      </c>
      <c r="AI260" s="408">
        <v>0.36</v>
      </c>
      <c r="AJ260" s="409">
        <v>8.07</v>
      </c>
      <c r="AK260" s="408">
        <v>0.56</v>
      </c>
      <c r="AL260" s="412">
        <v>0.954</v>
      </c>
    </row>
    <row r="261" spans="13:38" ht="12.75">
      <c r="M261" s="33" t="s">
        <v>254</v>
      </c>
      <c r="N261" s="41" t="str">
        <f>IF(AND($D$29=0,$D$30=0,$D$31=0),"N.A.","N.A.")</f>
        <v>N.A.</v>
      </c>
      <c r="O261" s="31" t="s">
        <v>237</v>
      </c>
      <c r="P261" s="29" t="s">
        <v>664</v>
      </c>
      <c r="AF261" s="405" t="s">
        <v>954</v>
      </c>
      <c r="AG261" s="406">
        <v>10.3</v>
      </c>
      <c r="AH261" s="409">
        <v>8.12</v>
      </c>
      <c r="AI261" s="408">
        <v>0.31</v>
      </c>
      <c r="AJ261" s="409">
        <v>8.02</v>
      </c>
      <c r="AK261" s="408">
        <v>0.495</v>
      </c>
      <c r="AL261" s="412">
        <v>0.889</v>
      </c>
    </row>
    <row r="262" spans="13:38" ht="12.75">
      <c r="M262" s="57" t="s">
        <v>34</v>
      </c>
      <c r="O262" s="34"/>
      <c r="AF262" s="405" t="s">
        <v>955</v>
      </c>
      <c r="AG262" s="413">
        <v>9.12</v>
      </c>
      <c r="AH262" s="409">
        <v>8</v>
      </c>
      <c r="AI262" s="408">
        <v>0.285</v>
      </c>
      <c r="AJ262" s="409">
        <v>8</v>
      </c>
      <c r="AK262" s="408">
        <v>0.435</v>
      </c>
      <c r="AL262" s="412">
        <v>0.829</v>
      </c>
    </row>
    <row r="263" spans="13:38" ht="12.75">
      <c r="M263" s="50" t="s">
        <v>35</v>
      </c>
      <c r="N263" s="43">
        <f>IF(AND($D$29=0,$D$30=0,$D$31=0),$B$44,"N.A.")</f>
        <v>14.7</v>
      </c>
      <c r="O263" s="38" t="s">
        <v>243</v>
      </c>
      <c r="P263" s="48" t="s">
        <v>37</v>
      </c>
      <c r="AF263" s="405" t="s">
        <v>956</v>
      </c>
      <c r="AG263" s="413">
        <v>8.24</v>
      </c>
      <c r="AH263" s="409">
        <v>8.06</v>
      </c>
      <c r="AI263" s="408">
        <v>0.285</v>
      </c>
      <c r="AJ263" s="409">
        <v>6.54</v>
      </c>
      <c r="AK263" s="408">
        <v>0.465</v>
      </c>
      <c r="AL263" s="412">
        <v>0.859</v>
      </c>
    </row>
    <row r="264" spans="13:38" ht="12.75">
      <c r="M264" s="50" t="s">
        <v>36</v>
      </c>
      <c r="N264" s="61">
        <f>IF(AND($D$29=0,$D$30=0,$D$31=0),(0.6*$D$12*$N$263)*IF(1-($D$16/$N$258)^2&gt;0,(1-($D$16/$N$258)^2),0.0001),"N.A.")</f>
        <v>397.7986951442615</v>
      </c>
      <c r="O264" s="38" t="s">
        <v>237</v>
      </c>
      <c r="P264" s="38" t="s">
        <v>110</v>
      </c>
      <c r="AF264" s="405" t="s">
        <v>957</v>
      </c>
      <c r="AG264" s="413">
        <v>7.08</v>
      </c>
      <c r="AH264" s="409">
        <v>7.93</v>
      </c>
      <c r="AI264" s="408">
        <v>0.245</v>
      </c>
      <c r="AJ264" s="409">
        <v>6.5</v>
      </c>
      <c r="AK264" s="408">
        <v>0.4</v>
      </c>
      <c r="AL264" s="412">
        <v>0.794</v>
      </c>
    </row>
    <row r="265" spans="13:38" ht="12.75">
      <c r="M265" s="57" t="s">
        <v>25</v>
      </c>
      <c r="N265" s="57"/>
      <c r="O265" s="84"/>
      <c r="P265" s="57"/>
      <c r="AF265" s="405" t="s">
        <v>958</v>
      </c>
      <c r="AG265" s="413">
        <v>6.16</v>
      </c>
      <c r="AH265" s="409">
        <v>8.28</v>
      </c>
      <c r="AI265" s="408">
        <v>0.25</v>
      </c>
      <c r="AJ265" s="409">
        <v>5.27</v>
      </c>
      <c r="AK265" s="408">
        <v>0.4</v>
      </c>
      <c r="AL265" s="412">
        <v>0.7</v>
      </c>
    </row>
    <row r="266" spans="13:38" ht="12.75">
      <c r="M266" s="50" t="s">
        <v>601</v>
      </c>
      <c r="N266" s="43" t="str">
        <f>"N.A."</f>
        <v>N.A.</v>
      </c>
      <c r="O266" s="38" t="s">
        <v>243</v>
      </c>
      <c r="P266" s="38" t="s">
        <v>665</v>
      </c>
      <c r="AF266" s="405" t="s">
        <v>959</v>
      </c>
      <c r="AG266" s="413">
        <v>5.26</v>
      </c>
      <c r="AH266" s="409">
        <v>8.14</v>
      </c>
      <c r="AI266" s="408">
        <v>0.23</v>
      </c>
      <c r="AJ266" s="409">
        <v>5.25</v>
      </c>
      <c r="AK266" s="408">
        <v>0.33</v>
      </c>
      <c r="AL266" s="412">
        <v>0.63</v>
      </c>
    </row>
    <row r="267" spans="13:38" ht="12.75">
      <c r="M267" s="50" t="s">
        <v>602</v>
      </c>
      <c r="N267" s="43" t="str">
        <f>"N.A."</f>
        <v>N.A.</v>
      </c>
      <c r="O267" s="38" t="s">
        <v>243</v>
      </c>
      <c r="P267" s="38" t="s">
        <v>666</v>
      </c>
      <c r="AF267" s="405" t="s">
        <v>960</v>
      </c>
      <c r="AG267" s="413">
        <v>4.44</v>
      </c>
      <c r="AH267" s="409">
        <v>8.11</v>
      </c>
      <c r="AI267" s="408">
        <v>0.245</v>
      </c>
      <c r="AJ267" s="409">
        <v>4.01</v>
      </c>
      <c r="AK267" s="408">
        <v>0.315</v>
      </c>
      <c r="AL267" s="412">
        <v>0.615</v>
      </c>
    </row>
    <row r="268" spans="13:38" ht="12.75">
      <c r="M268" s="50" t="s">
        <v>220</v>
      </c>
      <c r="N268" s="43" t="str">
        <f>"N.A."</f>
        <v>N.A.</v>
      </c>
      <c r="O268" s="38" t="s">
        <v>237</v>
      </c>
      <c r="P268" s="38" t="s">
        <v>26</v>
      </c>
      <c r="AF268" s="405" t="s">
        <v>961</v>
      </c>
      <c r="AG268" s="413">
        <v>3.84</v>
      </c>
      <c r="AH268" s="409">
        <v>7.99</v>
      </c>
      <c r="AI268" s="408">
        <v>0.23</v>
      </c>
      <c r="AJ268" s="409">
        <v>4</v>
      </c>
      <c r="AK268" s="408">
        <v>0.255</v>
      </c>
      <c r="AL268" s="412">
        <v>0.555</v>
      </c>
    </row>
    <row r="269" spans="13:38" ht="12.75">
      <c r="M269" s="57" t="s">
        <v>248</v>
      </c>
      <c r="N269" s="398"/>
      <c r="O269" s="35"/>
      <c r="P269" s="398"/>
      <c r="AF269" s="405" t="s">
        <v>962</v>
      </c>
      <c r="AG269" s="413">
        <v>2.96</v>
      </c>
      <c r="AH269" s="409">
        <v>7.89</v>
      </c>
      <c r="AI269" s="408">
        <v>0.17</v>
      </c>
      <c r="AJ269" s="409">
        <v>3.94</v>
      </c>
      <c r="AK269" s="408">
        <v>0.205</v>
      </c>
      <c r="AL269" s="412">
        <v>0.505</v>
      </c>
    </row>
    <row r="270" spans="13:38" ht="12.75">
      <c r="M270" s="50" t="s">
        <v>601</v>
      </c>
      <c r="N270" s="43" t="str">
        <f>"N.A."</f>
        <v>N.A.</v>
      </c>
      <c r="O270" s="38" t="s">
        <v>498</v>
      </c>
      <c r="P270" s="38" t="s">
        <v>665</v>
      </c>
      <c r="AF270" s="405" t="s">
        <v>963</v>
      </c>
      <c r="AG270" s="413">
        <v>7.34</v>
      </c>
      <c r="AH270" s="409">
        <v>6.38</v>
      </c>
      <c r="AI270" s="408">
        <v>0.32</v>
      </c>
      <c r="AJ270" s="409">
        <v>6.08</v>
      </c>
      <c r="AK270" s="408">
        <v>0.455</v>
      </c>
      <c r="AL270" s="412">
        <v>0.705</v>
      </c>
    </row>
    <row r="271" spans="13:38" ht="12.75">
      <c r="M271" s="50" t="s">
        <v>602</v>
      </c>
      <c r="N271" s="43" t="str">
        <f>"N.A."</f>
        <v>N.A.</v>
      </c>
      <c r="O271" s="38" t="s">
        <v>243</v>
      </c>
      <c r="P271" s="38" t="s">
        <v>666</v>
      </c>
      <c r="AF271" s="405" t="s">
        <v>964</v>
      </c>
      <c r="AG271" s="413">
        <v>5.87</v>
      </c>
      <c r="AH271" s="409">
        <v>6.2</v>
      </c>
      <c r="AI271" s="408">
        <v>0.26</v>
      </c>
      <c r="AJ271" s="409">
        <v>6.02</v>
      </c>
      <c r="AK271" s="408">
        <v>0.365</v>
      </c>
      <c r="AL271" s="412">
        <v>0.615</v>
      </c>
    </row>
    <row r="272" spans="13:38" ht="12.75">
      <c r="M272" s="50" t="s">
        <v>426</v>
      </c>
      <c r="N272" s="43" t="str">
        <f>"N.A."</f>
        <v>N.A.</v>
      </c>
      <c r="O272" s="38" t="s">
        <v>237</v>
      </c>
      <c r="P272" s="38" t="s">
        <v>249</v>
      </c>
      <c r="AF272" s="405" t="s">
        <v>965</v>
      </c>
      <c r="AG272" s="413">
        <v>4.43</v>
      </c>
      <c r="AH272" s="409">
        <v>5.99</v>
      </c>
      <c r="AI272" s="408">
        <v>0.23</v>
      </c>
      <c r="AJ272" s="409">
        <v>5.99</v>
      </c>
      <c r="AK272" s="408">
        <v>0.26</v>
      </c>
      <c r="AL272" s="412">
        <v>0.51</v>
      </c>
    </row>
    <row r="273" spans="13:38" ht="12.75">
      <c r="M273" s="57" t="s">
        <v>218</v>
      </c>
      <c r="N273" s="398"/>
      <c r="O273" s="35"/>
      <c r="P273" s="398"/>
      <c r="Q273" s="111"/>
      <c r="AF273" s="405" t="s">
        <v>966</v>
      </c>
      <c r="AG273" s="413">
        <v>4.74</v>
      </c>
      <c r="AH273" s="409">
        <v>6.28</v>
      </c>
      <c r="AI273" s="408">
        <v>0.26</v>
      </c>
      <c r="AJ273" s="409">
        <v>4.03</v>
      </c>
      <c r="AK273" s="408">
        <v>0.405</v>
      </c>
      <c r="AL273" s="412">
        <v>0.655</v>
      </c>
    </row>
    <row r="274" spans="13:38" ht="12.75">
      <c r="M274" s="50" t="s">
        <v>601</v>
      </c>
      <c r="N274" s="43">
        <f>IF(AND($D$29=0,$D$30=0,$D$31=0),2*(($D$21-$D$28))*$B$46,"N.A.")</f>
        <v>1.775</v>
      </c>
      <c r="O274" s="38" t="s">
        <v>498</v>
      </c>
      <c r="P274" s="29" t="s">
        <v>516</v>
      </c>
      <c r="AF274" s="405" t="s">
        <v>967</v>
      </c>
      <c r="AG274" s="413">
        <v>3.55</v>
      </c>
      <c r="AH274" s="409">
        <v>6.03</v>
      </c>
      <c r="AI274" s="408">
        <v>0.23</v>
      </c>
      <c r="AJ274" s="409">
        <v>4</v>
      </c>
      <c r="AK274" s="408">
        <v>0.28</v>
      </c>
      <c r="AL274" s="412">
        <v>0.53</v>
      </c>
    </row>
    <row r="275" spans="13:38" ht="12.75">
      <c r="M275" s="50" t="s">
        <v>602</v>
      </c>
      <c r="N275" s="43">
        <f>IF(AND($D$29=0,$D$30=0,$D$31=0),$D$26*$B$46,"N.A.")</f>
        <v>4.26</v>
      </c>
      <c r="O275" s="38" t="s">
        <v>243</v>
      </c>
      <c r="P275" s="31" t="s">
        <v>605</v>
      </c>
      <c r="Q275" s="111"/>
      <c r="AF275" s="405" t="s">
        <v>968</v>
      </c>
      <c r="AG275" s="413">
        <v>2.68</v>
      </c>
      <c r="AH275" s="409">
        <v>5.9</v>
      </c>
      <c r="AI275" s="408">
        <v>0.17</v>
      </c>
      <c r="AJ275" s="409">
        <v>3.94</v>
      </c>
      <c r="AK275" s="408">
        <v>0.215</v>
      </c>
      <c r="AL275" s="412">
        <v>0.465</v>
      </c>
    </row>
    <row r="276" spans="13:38" ht="12.75">
      <c r="M276" s="50" t="s">
        <v>426</v>
      </c>
      <c r="N276" s="41">
        <f>IF($N$275="N.A.","N.A.",0.3*$D$12*$N$274+0.5*$N$6*$N$275)</f>
        <v>165.075</v>
      </c>
      <c r="O276" s="38" t="s">
        <v>237</v>
      </c>
      <c r="P276" s="31" t="s">
        <v>515</v>
      </c>
      <c r="Q276" s="111"/>
      <c r="AF276" s="405" t="s">
        <v>969</v>
      </c>
      <c r="AG276" s="413">
        <v>2.52</v>
      </c>
      <c r="AH276" s="409">
        <v>5.83</v>
      </c>
      <c r="AI276" s="408">
        <v>0.17</v>
      </c>
      <c r="AJ276" s="409">
        <v>3.94</v>
      </c>
      <c r="AK276" s="408">
        <v>0.195</v>
      </c>
      <c r="AL276" s="412">
        <v>0.445</v>
      </c>
    </row>
    <row r="277" spans="13:38" ht="12.75">
      <c r="M277" s="83" t="s">
        <v>667</v>
      </c>
      <c r="O277" s="34"/>
      <c r="AF277" s="405" t="s">
        <v>970</v>
      </c>
      <c r="AG277" s="413">
        <v>5.56</v>
      </c>
      <c r="AH277" s="409">
        <v>5.15</v>
      </c>
      <c r="AI277" s="408">
        <v>0.27</v>
      </c>
      <c r="AJ277" s="409">
        <v>5.03</v>
      </c>
      <c r="AK277" s="408">
        <v>0.43</v>
      </c>
      <c r="AL277" s="412">
        <v>0.73</v>
      </c>
    </row>
    <row r="278" spans="13:38" ht="12.75">
      <c r="M278" s="83" t="s">
        <v>668</v>
      </c>
      <c r="O278" s="34"/>
      <c r="AF278" s="405" t="s">
        <v>971</v>
      </c>
      <c r="AG278" s="413">
        <v>4.71</v>
      </c>
      <c r="AH278" s="409">
        <v>5.01</v>
      </c>
      <c r="AI278" s="408">
        <v>0.24</v>
      </c>
      <c r="AJ278" s="409">
        <v>5</v>
      </c>
      <c r="AK278" s="408">
        <v>0.36</v>
      </c>
      <c r="AL278" s="412">
        <v>0.66</v>
      </c>
    </row>
    <row r="279" spans="13:38" ht="12.75">
      <c r="M279" s="95" t="s">
        <v>326</v>
      </c>
      <c r="O279" s="34"/>
      <c r="R279" s="150" t="s">
        <v>472</v>
      </c>
      <c r="AF279" s="414" t="s">
        <v>972</v>
      </c>
      <c r="AG279" s="415">
        <v>3.83</v>
      </c>
      <c r="AH279" s="416">
        <v>4.16</v>
      </c>
      <c r="AI279" s="417">
        <v>0.28</v>
      </c>
      <c r="AJ279" s="416">
        <v>4.06</v>
      </c>
      <c r="AK279" s="417">
        <v>0.345</v>
      </c>
      <c r="AL279" s="418">
        <v>0.595</v>
      </c>
    </row>
    <row r="280" spans="13:38" ht="12.75">
      <c r="M280" s="29" t="s">
        <v>669</v>
      </c>
      <c r="O280" s="34"/>
      <c r="AF280" s="419" t="s">
        <v>973</v>
      </c>
      <c r="AG280" s="420">
        <v>3.63</v>
      </c>
      <c r="AH280" s="421">
        <v>12.5</v>
      </c>
      <c r="AI280" s="422">
        <v>0.155</v>
      </c>
      <c r="AJ280" s="423">
        <v>3.75</v>
      </c>
      <c r="AK280" s="422">
        <v>0.228</v>
      </c>
      <c r="AL280" s="424">
        <v>0.563</v>
      </c>
    </row>
    <row r="281" spans="13:38" ht="12.75">
      <c r="M281" s="33" t="s">
        <v>106</v>
      </c>
      <c r="N281" s="43" t="str">
        <f>IF(AND($D$29&gt;0,$D$30&gt;0,$D$30&lt;=0.5*$B$45,$D$31=0),$B$45-$D$30,IF(AND($D$29&gt;0,$D$30&gt;0,$D$31=0,$D$30&gt;0.5*$B$45),"ERROR","N.A."))</f>
        <v>N.A.</v>
      </c>
      <c r="O281" s="31" t="s">
        <v>268</v>
      </c>
      <c r="P281" s="38" t="s">
        <v>265</v>
      </c>
      <c r="AF281" s="405" t="s">
        <v>974</v>
      </c>
      <c r="AG281" s="413">
        <v>3.4</v>
      </c>
      <c r="AH281" s="407">
        <v>12.5</v>
      </c>
      <c r="AI281" s="408">
        <v>0.155</v>
      </c>
      <c r="AJ281" s="409">
        <v>3.5</v>
      </c>
      <c r="AK281" s="408">
        <v>0.211</v>
      </c>
      <c r="AL281" s="425">
        <v>0.563</v>
      </c>
    </row>
    <row r="282" spans="13:38" ht="12.75">
      <c r="M282" s="33" t="s">
        <v>75</v>
      </c>
      <c r="N282" s="84" t="str">
        <f>IF(AND($D$29&gt;0,$D$30&gt;0,$D$30&lt;=0.5*$B$45,$D$31=0),$N$281*$B$46,IF(AND($D$29&gt;0,$D$30&gt;0,$D$31=0,$D$30&gt;0.5*$B$45),"ERROR","N.A."))</f>
        <v>N.A.</v>
      </c>
      <c r="O282" s="38" t="s">
        <v>243</v>
      </c>
      <c r="P282" s="38" t="s">
        <v>1097</v>
      </c>
      <c r="AF282" s="405" t="s">
        <v>975</v>
      </c>
      <c r="AG282" s="413">
        <v>3.47</v>
      </c>
      <c r="AH282" s="407">
        <v>12</v>
      </c>
      <c r="AI282" s="408">
        <v>0.177</v>
      </c>
      <c r="AJ282" s="409">
        <v>3.07</v>
      </c>
      <c r="AK282" s="408">
        <v>0.225</v>
      </c>
      <c r="AL282" s="425">
        <v>0.563</v>
      </c>
    </row>
    <row r="283" spans="13:38" ht="12.75">
      <c r="M283" s="33" t="s">
        <v>617</v>
      </c>
      <c r="N283" s="61" t="str">
        <f>IF(AND($D$29&gt;0,$D$30&gt;0,$D$30&lt;=0.5*$B$45,$D$31=0),($N$281-$B$49)/$B$46,IF(AND($D$29&gt;0,$D$30&gt;0,$D$31=0,$D$30&gt;0.5*$B$45),"ERROR","N.A."))</f>
        <v>N.A.</v>
      </c>
      <c r="O283" s="34"/>
      <c r="P283" s="29" t="s">
        <v>670</v>
      </c>
      <c r="AF283" s="405" t="s">
        <v>976</v>
      </c>
      <c r="AG283" s="413">
        <v>3.18</v>
      </c>
      <c r="AH283" s="407">
        <v>12</v>
      </c>
      <c r="AI283" s="408">
        <v>0.16</v>
      </c>
      <c r="AJ283" s="409">
        <v>3.07</v>
      </c>
      <c r="AK283" s="408">
        <v>0.21</v>
      </c>
      <c r="AL283" s="425">
        <v>0.563</v>
      </c>
    </row>
    <row r="284" spans="13:38" ht="12.75">
      <c r="M284" s="33" t="s">
        <v>619</v>
      </c>
      <c r="N284" s="114" t="str">
        <f>IF(AND($D$29&gt;0,$D$30&gt;0,$D$30&lt;=0.5*$B$45,$D$31=0),5,IF(AND($D$29&gt;0,$D$30&gt;0,$D$31=0,$D$30&gt;0.5*$B$45),"ERROR","N.A."))</f>
        <v>N.A.</v>
      </c>
      <c r="O284" s="34"/>
      <c r="P284" s="29" t="s">
        <v>620</v>
      </c>
      <c r="AF284" s="405" t="s">
        <v>977</v>
      </c>
      <c r="AG284" s="413">
        <v>2.95</v>
      </c>
      <c r="AH284" s="407">
        <v>12</v>
      </c>
      <c r="AI284" s="408">
        <v>0.149</v>
      </c>
      <c r="AJ284" s="409">
        <v>3.25</v>
      </c>
      <c r="AK284" s="408">
        <v>0.18</v>
      </c>
      <c r="AL284" s="425">
        <v>0.5</v>
      </c>
    </row>
    <row r="285" spans="13:38" ht="12.75">
      <c r="M285" s="33" t="s">
        <v>621</v>
      </c>
      <c r="N285" s="41" t="str">
        <f>IF(AND($D$29&gt;0,$D$30&gt;0,$D$30&lt;=0.5*$B$45,$D$31=0),IF($N$283&lt;=2.24*SQRT(29000/$D$12),1,IF($N$283&lt;=1.1*SQRT($N$284*29000/$D$12),1,IF($N$283&gt;1.37*SQRT($N$284*29000/$D$12),(1.51*29000*$N$284)/($N$283^2*$D$12),(1.1*SQRT($N$284*29000/$D$12))/$N$283))),IF(AND($D$29&gt;0,$D$30&gt;0,$D$31=0,$D$30&gt;0.5*$B$45),"ERROR","N.A."))</f>
        <v>N.A.</v>
      </c>
      <c r="O285" s="34"/>
      <c r="P285" s="29" t="s">
        <v>650</v>
      </c>
      <c r="AF285" s="405" t="s">
        <v>978</v>
      </c>
      <c r="AG285" s="413">
        <v>2.65</v>
      </c>
      <c r="AH285" s="407">
        <v>10</v>
      </c>
      <c r="AI285" s="408">
        <v>0.157</v>
      </c>
      <c r="AJ285" s="409">
        <v>2.69</v>
      </c>
      <c r="AK285" s="408">
        <v>0.206</v>
      </c>
      <c r="AL285" s="425">
        <v>0.563</v>
      </c>
    </row>
    <row r="286" spans="13:38" ht="12.75">
      <c r="M286" s="33" t="s">
        <v>252</v>
      </c>
      <c r="N286" s="41" t="str">
        <f>IF(AND($D$29&gt;0,$D$30&gt;0,$D$30&lt;=0.5*$B$45,$D$31=0),(1/1.5)*0.6*$D$12*$N$285*$N$282,IF(AND($D$29&gt;0,$D$30&gt;0,$D$31=0,$D$30&gt;0.5*$B$45),"ERROR","N.A."))</f>
        <v>N.A.</v>
      </c>
      <c r="O286" s="31" t="s">
        <v>237</v>
      </c>
      <c r="P286" s="29" t="s">
        <v>671</v>
      </c>
      <c r="AF286" s="405" t="s">
        <v>979</v>
      </c>
      <c r="AG286" s="413">
        <v>2.37</v>
      </c>
      <c r="AH286" s="407">
        <v>10</v>
      </c>
      <c r="AI286" s="408">
        <v>0.141</v>
      </c>
      <c r="AJ286" s="409">
        <v>2.69</v>
      </c>
      <c r="AK286" s="408">
        <v>0.182</v>
      </c>
      <c r="AL286" s="425">
        <v>0.563</v>
      </c>
    </row>
    <row r="287" spans="13:38" ht="12.75">
      <c r="M287" s="29" t="s">
        <v>672</v>
      </c>
      <c r="AF287" s="405" t="s">
        <v>980</v>
      </c>
      <c r="AG287" s="413">
        <v>2.22</v>
      </c>
      <c r="AH287" s="407">
        <v>10</v>
      </c>
      <c r="AI287" s="408">
        <v>0.13</v>
      </c>
      <c r="AJ287" s="409">
        <v>2.69</v>
      </c>
      <c r="AK287" s="408">
        <v>0.173</v>
      </c>
      <c r="AL287" s="425">
        <v>0.438</v>
      </c>
    </row>
    <row r="288" spans="13:38" ht="12.75">
      <c r="M288" s="50" t="s">
        <v>253</v>
      </c>
      <c r="N288" s="43" t="str">
        <f>$N$282</f>
        <v>N.A.</v>
      </c>
      <c r="O288" s="38" t="s">
        <v>243</v>
      </c>
      <c r="P288" s="31" t="s">
        <v>544</v>
      </c>
      <c r="AF288" s="405" t="s">
        <v>981</v>
      </c>
      <c r="AG288" s="413">
        <v>1.92</v>
      </c>
      <c r="AH288" s="409">
        <v>8</v>
      </c>
      <c r="AI288" s="408">
        <v>0.135</v>
      </c>
      <c r="AJ288" s="409">
        <v>2.28</v>
      </c>
      <c r="AK288" s="408">
        <v>0.189</v>
      </c>
      <c r="AL288" s="425">
        <v>0.563</v>
      </c>
    </row>
    <row r="289" spans="13:38" ht="12.75">
      <c r="M289" s="33" t="s">
        <v>254</v>
      </c>
      <c r="N289" s="41" t="str">
        <f>IF(AND($D$29&gt;0,$D$30&gt;0,$D$30&lt;=0.5*$B$45,$D$31=0),(1/2)*0.6*$N$6*$N$288,IF(AND($D$29&gt;0,$D$30&gt;0,$D$31=0,$D$30&gt;0.5*$B$45),"ERROR","N.A."))</f>
        <v>N.A.</v>
      </c>
      <c r="O289" s="31" t="s">
        <v>237</v>
      </c>
      <c r="P289" s="29" t="s">
        <v>664</v>
      </c>
      <c r="AF289" s="405" t="s">
        <v>982</v>
      </c>
      <c r="AG289" s="413">
        <v>1.82</v>
      </c>
      <c r="AH289" s="409">
        <v>8</v>
      </c>
      <c r="AI289" s="408">
        <v>0.129</v>
      </c>
      <c r="AJ289" s="409">
        <v>2.28</v>
      </c>
      <c r="AK289" s="408">
        <v>0.177</v>
      </c>
      <c r="AL289" s="425">
        <v>0.438</v>
      </c>
    </row>
    <row r="290" spans="13:38" ht="12.75">
      <c r="M290" s="57" t="s">
        <v>414</v>
      </c>
      <c r="O290" s="34"/>
      <c r="AF290" s="405" t="s">
        <v>983</v>
      </c>
      <c r="AG290" s="413">
        <v>1.29</v>
      </c>
      <c r="AH290" s="409">
        <v>6</v>
      </c>
      <c r="AI290" s="408">
        <v>0.114</v>
      </c>
      <c r="AJ290" s="409">
        <v>1.84</v>
      </c>
      <c r="AK290" s="408">
        <v>0.171</v>
      </c>
      <c r="AL290" s="425">
        <v>0.375</v>
      </c>
    </row>
    <row r="291" spans="13:38" ht="12.75">
      <c r="M291" s="50" t="s">
        <v>35</v>
      </c>
      <c r="N291" s="43" t="str">
        <f>IF(AND($D$29&gt;0,$D$30&gt;0,$D$30&lt;=0.5*$B$45,$D$31=0),$B$44-($B$47*$B$48+($D$30-$B$48)*$B$46),IF(AND($D$29&gt;0,$D$30&gt;0,$D$31=0,$D$30&gt;0.5*$B$45),"ERROR","N.A."))</f>
        <v>N.A.</v>
      </c>
      <c r="O291" s="38" t="s">
        <v>243</v>
      </c>
      <c r="P291" s="48" t="s">
        <v>250</v>
      </c>
      <c r="AF291" s="405" t="s">
        <v>984</v>
      </c>
      <c r="AG291" s="413">
        <v>1.09</v>
      </c>
      <c r="AH291" s="409">
        <v>5.92</v>
      </c>
      <c r="AI291" s="426">
        <v>0.098</v>
      </c>
      <c r="AJ291" s="409">
        <v>2</v>
      </c>
      <c r="AK291" s="408">
        <v>0.129</v>
      </c>
      <c r="AL291" s="425">
        <v>0.313</v>
      </c>
    </row>
    <row r="292" spans="13:38" ht="12.75">
      <c r="M292" s="50" t="s">
        <v>36</v>
      </c>
      <c r="N292" s="61" t="str">
        <f>IF(AND($D$29&gt;0,$D$30&gt;0,$D$30&lt;=0.5*$B$45,$D$31=0),(0.6*$D$12*$N$291)*IF(1-($D$16/$N$286)^2&gt;0,(1-($D$16/$N$286)^2),0.0001),IF(AND($D$29&gt;0,$D$30&gt;0,$D$31=0,$D$30&gt;0.5*$B$45),"ERROR","N.A."))</f>
        <v>N.A.</v>
      </c>
      <c r="O292" s="38" t="s">
        <v>237</v>
      </c>
      <c r="P292" s="38" t="s">
        <v>110</v>
      </c>
      <c r="Q292" s="57"/>
      <c r="AF292" s="405" t="s">
        <v>985</v>
      </c>
      <c r="AG292" s="413">
        <v>5.56</v>
      </c>
      <c r="AH292" s="409">
        <v>5</v>
      </c>
      <c r="AI292" s="408">
        <v>0.316</v>
      </c>
      <c r="AJ292" s="409">
        <v>5</v>
      </c>
      <c r="AK292" s="408">
        <v>0.416</v>
      </c>
      <c r="AL292" s="425">
        <v>0.813</v>
      </c>
    </row>
    <row r="293" spans="13:38" ht="12.75">
      <c r="M293" s="29" t="s">
        <v>52</v>
      </c>
      <c r="O293" s="34"/>
      <c r="AF293" s="405" t="s">
        <v>986</v>
      </c>
      <c r="AG293" s="413">
        <v>1.75</v>
      </c>
      <c r="AH293" s="409">
        <v>3.8</v>
      </c>
      <c r="AI293" s="408">
        <v>0.13</v>
      </c>
      <c r="AJ293" s="409">
        <v>3.8</v>
      </c>
      <c r="AK293" s="408">
        <v>0.16</v>
      </c>
      <c r="AL293" s="425">
        <v>0.5</v>
      </c>
    </row>
    <row r="294" spans="13:38" ht="12.75">
      <c r="M294" s="33" t="s">
        <v>601</v>
      </c>
      <c r="N294" s="43" t="str">
        <f>IF(AND($D$29&gt;0,$D$30&gt;0,$D$30&lt;=0.5*$B$45,$D$31=0),(($D$27-$D$30)+$D$26)*$B$46,IF(AND($D$29&gt;0,$D$30&gt;0,$D$31=0,$D$30&gt;0.5*$B$45),"ERROR","N.A."))</f>
        <v>N.A.</v>
      </c>
      <c r="O294" s="31" t="s">
        <v>243</v>
      </c>
      <c r="P294" s="38" t="s">
        <v>606</v>
      </c>
      <c r="AF294" s="405" t="s">
        <v>987</v>
      </c>
      <c r="AG294" s="413">
        <v>1.27</v>
      </c>
      <c r="AH294" s="409">
        <v>4</v>
      </c>
      <c r="AI294" s="408">
        <v>0.115</v>
      </c>
      <c r="AJ294" s="409">
        <v>2.25</v>
      </c>
      <c r="AK294" s="408">
        <v>0.17</v>
      </c>
      <c r="AL294" s="425">
        <v>0.563</v>
      </c>
    </row>
    <row r="295" spans="13:38" ht="12.75">
      <c r="M295" s="33" t="s">
        <v>602</v>
      </c>
      <c r="N295" s="43" t="str">
        <f>IF(AND($D$29&gt;0,$D$30&gt;0,$D$30&lt;=0.5*$B$45,$D$31=0),($D$21-$D$28)*$B$46,IF(AND($D$29&gt;0,$D$30&gt;0,$D$31=0,$D$30&gt;0.5*$B$45),"ERROR","N.A."))</f>
        <v>N.A.</v>
      </c>
      <c r="O295" s="31" t="s">
        <v>243</v>
      </c>
      <c r="P295" s="29" t="s">
        <v>546</v>
      </c>
      <c r="AF295" s="405" t="s">
        <v>988</v>
      </c>
      <c r="AG295" s="413">
        <v>1.01</v>
      </c>
      <c r="AH295" s="409">
        <v>4</v>
      </c>
      <c r="AI295" s="426">
        <v>0.092</v>
      </c>
      <c r="AJ295" s="409">
        <v>2.25</v>
      </c>
      <c r="AK295" s="408">
        <v>0.13</v>
      </c>
      <c r="AL295" s="425">
        <v>0.5</v>
      </c>
    </row>
    <row r="296" spans="13:38" ht="12.75">
      <c r="M296" s="33" t="s">
        <v>220</v>
      </c>
      <c r="N296" s="41" t="str">
        <f>IF(AND($D$29&gt;0,$D$30&gt;0,$D$30&lt;=0.5*$B$45,$D$31=0),0.3*$D$12*$N$294+0.5*$N$6*$N$295,IF(AND($D$29&gt;0,$D$30&gt;0,$D$31=0,$D$30&gt;0.5*$B$45),"ERROR","N.A."))</f>
        <v>N.A.</v>
      </c>
      <c r="O296" s="31" t="s">
        <v>237</v>
      </c>
      <c r="P296" s="31" t="s">
        <v>545</v>
      </c>
      <c r="AF296" s="405" t="s">
        <v>989</v>
      </c>
      <c r="AG296" s="413">
        <v>1.01</v>
      </c>
      <c r="AH296" s="409">
        <v>4</v>
      </c>
      <c r="AI296" s="426">
        <v>0.092</v>
      </c>
      <c r="AJ296" s="409">
        <v>2.25</v>
      </c>
      <c r="AK296" s="408">
        <v>0.13</v>
      </c>
      <c r="AL296" s="425">
        <v>0.5</v>
      </c>
    </row>
    <row r="297" spans="13:38" ht="12.75">
      <c r="M297" s="57" t="s">
        <v>504</v>
      </c>
      <c r="O297" s="34"/>
      <c r="AF297" s="414" t="s">
        <v>990</v>
      </c>
      <c r="AG297" s="427">
        <v>0.914</v>
      </c>
      <c r="AH297" s="416">
        <v>3</v>
      </c>
      <c r="AI297" s="428">
        <v>0.09</v>
      </c>
      <c r="AJ297" s="416">
        <v>2.25</v>
      </c>
      <c r="AK297" s="417">
        <v>0.13</v>
      </c>
      <c r="AL297" s="429">
        <v>0.5</v>
      </c>
    </row>
    <row r="298" spans="13:38" ht="12.75">
      <c r="M298" s="50" t="s">
        <v>601</v>
      </c>
      <c r="N298" s="43" t="str">
        <f>IF(AND($D$29&gt;0,$D$30&gt;0,$D$30&lt;=0.5*$B$45,$D$31=0),($D$21-$D$28)*$B$46,IF(AND($D$29&gt;0,$D$30&gt;0,$D$31=0,$D$30&gt;0.5*$B$45),"ERROR","N.A."))</f>
        <v>N.A.</v>
      </c>
      <c r="O298" s="38" t="s">
        <v>498</v>
      </c>
      <c r="P298" s="29" t="s">
        <v>547</v>
      </c>
      <c r="AF298" s="419" t="s">
        <v>991</v>
      </c>
      <c r="AG298" s="430">
        <v>35.5</v>
      </c>
      <c r="AH298" s="421">
        <v>24.5</v>
      </c>
      <c r="AI298" s="422">
        <v>0.8</v>
      </c>
      <c r="AJ298" s="423">
        <v>8.05</v>
      </c>
      <c r="AK298" s="423">
        <v>1.09</v>
      </c>
      <c r="AL298" s="431">
        <v>2</v>
      </c>
    </row>
    <row r="299" spans="13:38" ht="12.75">
      <c r="M299" s="50" t="s">
        <v>602</v>
      </c>
      <c r="N299" s="43" t="str">
        <f>IF(AND($D$29&gt;0,$D$30&gt;0,$D$30&lt;=0.5*$B$45,$D$31=0),(($D$27-$D$30)+$D$26)*$B$46,IF(AND($D$29&gt;0,$D$30&gt;0,$D$31=0,$D$30&gt;0.5*$B$45),"ERROR","N.A."))</f>
        <v>N.A.</v>
      </c>
      <c r="O299" s="38" t="s">
        <v>243</v>
      </c>
      <c r="P299" s="38" t="s">
        <v>607</v>
      </c>
      <c r="Q299" s="57"/>
      <c r="AF299" s="405" t="s">
        <v>992</v>
      </c>
      <c r="AG299" s="406">
        <v>31.1</v>
      </c>
      <c r="AH299" s="407">
        <v>24.5</v>
      </c>
      <c r="AI299" s="408">
        <v>0.62</v>
      </c>
      <c r="AJ299" s="409">
        <v>7.87</v>
      </c>
      <c r="AK299" s="409">
        <v>1.09</v>
      </c>
      <c r="AL299" s="432">
        <v>2</v>
      </c>
    </row>
    <row r="300" spans="13:38" ht="12.75">
      <c r="M300" s="33" t="s">
        <v>426</v>
      </c>
      <c r="N300" s="41" t="str">
        <f>IF(AND($D$29&gt;0,$D$30&gt;0,$D$30&lt;=0.5*$B$45,$D$31=0),(0.3*$D$12*$N$298+0.5*$N$6*$N$299)*(1-($D$16/$N$296)^2),IF(AND($D$29&gt;0,$D$30&gt;0,$D$31=0,$D$30&gt;0.5*$B$45),"ERROR","N.A."))</f>
        <v>N.A.</v>
      </c>
      <c r="O300" s="31" t="s">
        <v>237</v>
      </c>
      <c r="P300" s="31" t="s">
        <v>548</v>
      </c>
      <c r="Q300" s="57"/>
      <c r="R300" s="57"/>
      <c r="AF300" s="405" t="s">
        <v>993</v>
      </c>
      <c r="AG300" s="406">
        <v>29.3</v>
      </c>
      <c r="AH300" s="407">
        <v>24</v>
      </c>
      <c r="AI300" s="408">
        <v>0.745</v>
      </c>
      <c r="AJ300" s="409">
        <v>7.25</v>
      </c>
      <c r="AK300" s="408">
        <v>0.87</v>
      </c>
      <c r="AL300" s="432">
        <v>1.75</v>
      </c>
    </row>
    <row r="301" spans="13:38" ht="12.75">
      <c r="M301" s="57" t="s">
        <v>24</v>
      </c>
      <c r="O301" s="34"/>
      <c r="AF301" s="405" t="s">
        <v>994</v>
      </c>
      <c r="AG301" s="406">
        <v>26.5</v>
      </c>
      <c r="AH301" s="407">
        <v>24</v>
      </c>
      <c r="AI301" s="408">
        <v>0.625</v>
      </c>
      <c r="AJ301" s="409">
        <v>7.13</v>
      </c>
      <c r="AK301" s="408">
        <v>0.87</v>
      </c>
      <c r="AL301" s="432">
        <v>1.75</v>
      </c>
    </row>
    <row r="302" spans="13:38" ht="12.75">
      <c r="M302" s="50" t="s">
        <v>601</v>
      </c>
      <c r="N302" s="43" t="str">
        <f>IF(AND($D$29&gt;0,$D$30&gt;0,$D$30&lt;=0.5*$B$45,$D$31=0),2*($D$21-$D$28)*$B$46,IF(AND($D$29&gt;0,$D$30&gt;0,$D$31=0,$D$30&gt;0.5*$B$45),"ERROR","N.A."))</f>
        <v>N.A.</v>
      </c>
      <c r="O302" s="38" t="s">
        <v>498</v>
      </c>
      <c r="P302" s="29" t="s">
        <v>516</v>
      </c>
      <c r="AF302" s="405" t="s">
        <v>995</v>
      </c>
      <c r="AG302" s="406">
        <v>23.5</v>
      </c>
      <c r="AH302" s="407">
        <v>24</v>
      </c>
      <c r="AI302" s="408">
        <v>0.5</v>
      </c>
      <c r="AJ302" s="409">
        <v>7</v>
      </c>
      <c r="AK302" s="408">
        <v>0.87</v>
      </c>
      <c r="AL302" s="432">
        <v>1.75</v>
      </c>
    </row>
    <row r="303" spans="13:38" ht="12.75">
      <c r="M303" s="50" t="s">
        <v>602</v>
      </c>
      <c r="N303" s="43" t="str">
        <f>IF(AND($D$29&gt;0,$D$30&gt;0,$D$30&lt;=0.5*$B$45,$D$31=0),$D$26*$B$46,IF(AND($D$29&gt;0,$D$30&gt;0,$D$31=0,$D$30&gt;0.5*$B$45),"ERROR","N.A."))</f>
        <v>N.A.</v>
      </c>
      <c r="O303" s="38" t="s">
        <v>243</v>
      </c>
      <c r="P303" s="31" t="s">
        <v>605</v>
      </c>
      <c r="Q303" s="111"/>
      <c r="AF303" s="405" t="s">
        <v>996</v>
      </c>
      <c r="AG303" s="406">
        <v>28.2</v>
      </c>
      <c r="AH303" s="407">
        <v>20.3</v>
      </c>
      <c r="AI303" s="408">
        <v>0.8</v>
      </c>
      <c r="AJ303" s="409">
        <v>7.2</v>
      </c>
      <c r="AK303" s="408">
        <v>0.92</v>
      </c>
      <c r="AL303" s="432">
        <v>1.75</v>
      </c>
    </row>
    <row r="304" spans="13:38" ht="12.75">
      <c r="M304" s="50" t="s">
        <v>426</v>
      </c>
      <c r="N304" s="41" t="str">
        <f>IF(AND($D$29&gt;0,$D$30&gt;0,$D$30&lt;=0.5*$B$45,$D$31=0),IF($N$303&gt;"N.A.","N.A.",0.3*$D$12*$N$302+0.5*$N$6*$N$303),IF(AND($D$29&gt;0,$D$30&gt;0,$D$31=0,$D$30&gt;0.5*$B$45),"ERROR","N.A."))</f>
        <v>N.A.</v>
      </c>
      <c r="O304" s="38" t="s">
        <v>237</v>
      </c>
      <c r="P304" s="31" t="s">
        <v>515</v>
      </c>
      <c r="Q304" s="111"/>
      <c r="AF304" s="405" t="s">
        <v>997</v>
      </c>
      <c r="AG304" s="406">
        <v>25.3</v>
      </c>
      <c r="AH304" s="407">
        <v>20.3</v>
      </c>
      <c r="AI304" s="408">
        <v>0.66</v>
      </c>
      <c r="AJ304" s="409">
        <v>7.06</v>
      </c>
      <c r="AK304" s="408">
        <v>0.92</v>
      </c>
      <c r="AL304" s="432">
        <v>1.75</v>
      </c>
    </row>
    <row r="305" spans="13:38" ht="12.75">
      <c r="M305" s="57" t="s">
        <v>673</v>
      </c>
      <c r="O305" s="34"/>
      <c r="AF305" s="405" t="s">
        <v>998</v>
      </c>
      <c r="AG305" s="406">
        <v>22</v>
      </c>
      <c r="AH305" s="407">
        <v>20</v>
      </c>
      <c r="AI305" s="408">
        <v>0.635</v>
      </c>
      <c r="AJ305" s="409">
        <v>6.39</v>
      </c>
      <c r="AK305" s="408">
        <v>0.795</v>
      </c>
      <c r="AL305" s="432">
        <v>1.63</v>
      </c>
    </row>
    <row r="306" spans="13:38" ht="12.75">
      <c r="M306" s="33" t="s">
        <v>106</v>
      </c>
      <c r="N306" s="43" t="str">
        <f>IF(AND($D$29&gt;0,$D$30&gt;0,$D$30&lt;=0.5*$B$45,$D$31=0),$N$281,IF(AND($D$29&gt;0,$D$30&gt;0,$D$31=0,$D$30&gt;0.5*$B$45),"ERROR","N.A."))</f>
        <v>N.A.</v>
      </c>
      <c r="O306" s="31" t="s">
        <v>268</v>
      </c>
      <c r="P306" s="38" t="s">
        <v>265</v>
      </c>
      <c r="Q306" s="57"/>
      <c r="AF306" s="405" t="s">
        <v>999</v>
      </c>
      <c r="AG306" s="406">
        <v>19.4</v>
      </c>
      <c r="AH306" s="407">
        <v>20</v>
      </c>
      <c r="AI306" s="408">
        <v>0.505</v>
      </c>
      <c r="AJ306" s="409">
        <v>6.26</v>
      </c>
      <c r="AK306" s="408">
        <v>0.795</v>
      </c>
      <c r="AL306" s="432">
        <v>1.63</v>
      </c>
    </row>
    <row r="307" spans="13:38" ht="12.75">
      <c r="M307" s="33" t="s">
        <v>325</v>
      </c>
      <c r="N307" s="43" t="str">
        <f>IF(AND($D$29&gt;0,$D$30&gt;0,$D$30&lt;=0.5*$B$45,$D$31=0),$D$29+$D$28,IF(AND($D$29&gt;0,$D$30&gt;0,$D$31=0,$D$30&gt;0.5*$B$45),"ERROR","N.A."))</f>
        <v>N.A.</v>
      </c>
      <c r="O307" s="31" t="s">
        <v>268</v>
      </c>
      <c r="P307" s="38" t="s">
        <v>6</v>
      </c>
      <c r="Q307" s="57"/>
      <c r="AF307" s="405" t="s">
        <v>1000</v>
      </c>
      <c r="AG307" s="406">
        <v>20.5</v>
      </c>
      <c r="AH307" s="407">
        <v>18</v>
      </c>
      <c r="AI307" s="408">
        <v>0.711</v>
      </c>
      <c r="AJ307" s="409">
        <v>6.25</v>
      </c>
      <c r="AK307" s="408">
        <v>0.691</v>
      </c>
      <c r="AL307" s="432">
        <v>1.5</v>
      </c>
    </row>
    <row r="308" spans="13:38" ht="12.75">
      <c r="M308" s="33" t="s">
        <v>1131</v>
      </c>
      <c r="N308" s="43" t="str">
        <f>IF(AND($D$29&gt;0,$D$30&gt;0,$D$30&lt;=0.5*$B$45,$D$31=0),($B$47*$B$48^2/2+($N$306-$B$48)*$B$46*($B$48+($N$306-$B$48)/2))/(($N$306-$B$48)*$B$46+$B$47*$B$48),IF(AND($D$29&gt;0,$D$30&gt;0,$D$31=0,$D$30&gt;0.5*$B$45),"ERROR","N.A."))</f>
        <v>N.A.</v>
      </c>
      <c r="O308" s="31" t="s">
        <v>268</v>
      </c>
      <c r="P308" s="38" t="s">
        <v>266</v>
      </c>
      <c r="Q308" s="57"/>
      <c r="AF308" s="405" t="s">
        <v>1001</v>
      </c>
      <c r="AG308" s="406">
        <v>16</v>
      </c>
      <c r="AH308" s="407">
        <v>18</v>
      </c>
      <c r="AI308" s="408">
        <v>0.461</v>
      </c>
      <c r="AJ308" s="409">
        <v>6</v>
      </c>
      <c r="AK308" s="408">
        <v>0.691</v>
      </c>
      <c r="AL308" s="432">
        <v>1.5</v>
      </c>
    </row>
    <row r="309" spans="13:38" ht="12.75">
      <c r="M309" s="33" t="s">
        <v>424</v>
      </c>
      <c r="N309" s="61" t="str">
        <f>IF(AND($D$29&gt;0,$D$30&gt;0,$D$30&lt;=0.5*$B$45,$D$31=0),$B$47*$B$48^3/12+$B$47*$B$48*($N$308-$B$48/2)^2+$B$46*($N$306-$B$48)^3/12+($N$306-$B$48)*$B$46*($B$48+($N$306-$B$48)/2-$N$308)^2,IF(AND($D$29&gt;0,$D$30&gt;0,$D$31=0,$D$30&gt;0.5*$B$45),"ERROR","N.A."))</f>
        <v>N.A.</v>
      </c>
      <c r="O309" s="31" t="s">
        <v>499</v>
      </c>
      <c r="P309" s="38" t="s">
        <v>54</v>
      </c>
      <c r="Q309" s="57"/>
      <c r="AF309" s="405" t="s">
        <v>1002</v>
      </c>
      <c r="AG309" s="406">
        <v>14.7</v>
      </c>
      <c r="AH309" s="407">
        <v>15</v>
      </c>
      <c r="AI309" s="408">
        <v>0.55</v>
      </c>
      <c r="AJ309" s="409">
        <v>5.64</v>
      </c>
      <c r="AK309" s="408">
        <v>0.622</v>
      </c>
      <c r="AL309" s="432">
        <v>1.38</v>
      </c>
    </row>
    <row r="310" spans="13:38" ht="12.75">
      <c r="M310" s="33" t="s">
        <v>191</v>
      </c>
      <c r="N310" s="61" t="str">
        <f>IF(AND($D$29&gt;0,$D$30&gt;0,$D$30&lt;=0.5*$B$45,$D$31=0),$N$309/($N$306-$N$308),IF(AND($D$29&gt;0,$D$30&gt;0,$D$31=0,$D$30&gt;0.5*$B$45),"ERROR","N.A."))</f>
        <v>N.A.</v>
      </c>
      <c r="O310" s="31" t="s">
        <v>498</v>
      </c>
      <c r="P310" s="57" t="s">
        <v>318</v>
      </c>
      <c r="Q310" s="57"/>
      <c r="AF310" s="405" t="s">
        <v>1003</v>
      </c>
      <c r="AG310" s="406">
        <v>12.6</v>
      </c>
      <c r="AH310" s="407">
        <v>15</v>
      </c>
      <c r="AI310" s="408">
        <v>0.411</v>
      </c>
      <c r="AJ310" s="409">
        <v>5.5</v>
      </c>
      <c r="AK310" s="408">
        <v>0.622</v>
      </c>
      <c r="AL310" s="432">
        <v>1.38</v>
      </c>
    </row>
    <row r="311" spans="13:38" ht="12.75">
      <c r="M311" s="33" t="s">
        <v>107</v>
      </c>
      <c r="N311" s="61" t="str">
        <f>IF(AND($D$29&gt;0,$D$30&gt;0,$D$30&lt;=0.5*$B$45,$D$31=0),(1/2)*$N$6*IF(1-$D$17/(0.6*$D$12*$N$291)&gt;0,(1-$D$17/(0.6*$D$12*$N$291)),0.0001),IF(AND($D$29&gt;0,$D$30&gt;0,$D$31=0,$D$30&gt;0.5*$B$45),"ERROR","N.A."))</f>
        <v>N.A.</v>
      </c>
      <c r="O311" s="38" t="s">
        <v>245</v>
      </c>
      <c r="P311" s="38" t="s">
        <v>1255</v>
      </c>
      <c r="U311" s="57"/>
      <c r="AF311" s="405" t="s">
        <v>1004</v>
      </c>
      <c r="AG311" s="406">
        <v>14.6</v>
      </c>
      <c r="AH311" s="407">
        <v>12</v>
      </c>
      <c r="AI311" s="408">
        <v>0.687</v>
      </c>
      <c r="AJ311" s="409">
        <v>5.48</v>
      </c>
      <c r="AK311" s="408">
        <v>0.659</v>
      </c>
      <c r="AL311" s="432">
        <v>1.44</v>
      </c>
    </row>
    <row r="312" spans="13:38" ht="12.75">
      <c r="M312" s="33" t="s">
        <v>104</v>
      </c>
      <c r="N312" s="61" t="str">
        <f>IF(AND($D$29&gt;0,$D$30&gt;0,$D$29&lt;=$B$45/2,$D$31=0),$N$311*$N$310/$N$307,IF(AND($D$29&gt;0,$D$30&gt;0,$D$31=0,$D$30&gt;0.5*$B$45),"ERROR","N.A."))</f>
        <v>N.A.</v>
      </c>
      <c r="O312" s="31" t="s">
        <v>237</v>
      </c>
      <c r="P312" s="38" t="s">
        <v>502</v>
      </c>
      <c r="U312" s="50"/>
      <c r="AF312" s="405" t="s">
        <v>1005</v>
      </c>
      <c r="AG312" s="406">
        <v>11.9</v>
      </c>
      <c r="AH312" s="407">
        <v>12</v>
      </c>
      <c r="AI312" s="408">
        <v>0.462</v>
      </c>
      <c r="AJ312" s="409">
        <v>5.25</v>
      </c>
      <c r="AK312" s="408">
        <v>0.659</v>
      </c>
      <c r="AL312" s="432">
        <v>1.44</v>
      </c>
    </row>
    <row r="313" spans="13:38" ht="12.75">
      <c r="M313" s="57" t="s">
        <v>674</v>
      </c>
      <c r="O313" s="34"/>
      <c r="U313" s="50"/>
      <c r="AF313" s="405" t="s">
        <v>1006</v>
      </c>
      <c r="AG313" s="406">
        <v>10.2</v>
      </c>
      <c r="AH313" s="407">
        <v>12</v>
      </c>
      <c r="AI313" s="408">
        <v>0.428</v>
      </c>
      <c r="AJ313" s="409">
        <v>5.08</v>
      </c>
      <c r="AK313" s="408">
        <v>0.544</v>
      </c>
      <c r="AL313" s="432">
        <v>1.19</v>
      </c>
    </row>
    <row r="314" spans="13:38" ht="12.75">
      <c r="M314" s="33" t="s">
        <v>8</v>
      </c>
      <c r="N314" s="43" t="str">
        <f>IF(AND($D$29&gt;0,$D$30&gt;0,$D$30&lt;=0.5*$B$45,$D$31=0),$D$29/$B$45,IF(AND($D$29&gt;0,$D$30&gt;0,$D$31=0,$D$30&gt;0.5*$B$45),"ERROR","N.A."))</f>
        <v>N.A.</v>
      </c>
      <c r="O314" s="31"/>
      <c r="P314" s="38" t="s">
        <v>11</v>
      </c>
      <c r="Q314" s="57"/>
      <c r="U314" s="50"/>
      <c r="AF314" s="405" t="s">
        <v>1007</v>
      </c>
      <c r="AG314" s="413">
        <v>9.31</v>
      </c>
      <c r="AH314" s="407">
        <v>12</v>
      </c>
      <c r="AI314" s="408">
        <v>0.35</v>
      </c>
      <c r="AJ314" s="409">
        <v>5</v>
      </c>
      <c r="AK314" s="408">
        <v>0.544</v>
      </c>
      <c r="AL314" s="432">
        <v>1.19</v>
      </c>
    </row>
    <row r="315" spans="13:38" ht="12.75">
      <c r="M315" s="33" t="s">
        <v>351</v>
      </c>
      <c r="N315" s="43" t="str">
        <f>IF(AND($D$29&gt;0,$D$30&gt;0,$D$30&lt;=0.5*$B$45,$D$31=0),IF($N$314&lt;=1,2*$N$314,1+$N$314),IF(AND($D$29&gt;0,$D$30&gt;0,$D$31=0,$D$30&gt;0.5*$B$45),"ERROR","N.A."))</f>
        <v>N.A.</v>
      </c>
      <c r="O315" s="31"/>
      <c r="P315" s="38" t="s">
        <v>12</v>
      </c>
      <c r="Q315" s="57"/>
      <c r="U315" s="57"/>
      <c r="AF315" s="405" t="s">
        <v>1008</v>
      </c>
      <c r="AG315" s="406">
        <v>10.3</v>
      </c>
      <c r="AH315" s="407">
        <v>10</v>
      </c>
      <c r="AI315" s="408">
        <v>0.594</v>
      </c>
      <c r="AJ315" s="409">
        <v>4.94</v>
      </c>
      <c r="AK315" s="408">
        <v>0.491</v>
      </c>
      <c r="AL315" s="432">
        <v>1.13</v>
      </c>
    </row>
    <row r="316" spans="13:38" ht="12.75">
      <c r="M316" s="33" t="s">
        <v>7</v>
      </c>
      <c r="N316" s="43" t="str">
        <f>IF(AND($D$29&gt;0,$D$30&gt;0,$D$30&lt;=0.5*$B$45,$D$31=0),$D$29/$N$306,IF(AND($D$29&gt;0,$D$30&gt;0,$D$31=0,$D$30&gt;0.5*$B$45),"ERROR","N.A."))</f>
        <v>N.A.</v>
      </c>
      <c r="O316" s="31"/>
      <c r="P316" s="38" t="s">
        <v>9</v>
      </c>
      <c r="Q316" s="57"/>
      <c r="U316" s="50"/>
      <c r="AF316" s="405" t="s">
        <v>1009</v>
      </c>
      <c r="AG316" s="413">
        <v>7.45</v>
      </c>
      <c r="AH316" s="407">
        <v>10</v>
      </c>
      <c r="AI316" s="408">
        <v>0.311</v>
      </c>
      <c r="AJ316" s="409">
        <v>4.66</v>
      </c>
      <c r="AK316" s="408">
        <v>0.491</v>
      </c>
      <c r="AL316" s="432">
        <v>1.13</v>
      </c>
    </row>
    <row r="317" spans="13:38" ht="12.75">
      <c r="M317" s="33" t="s">
        <v>460</v>
      </c>
      <c r="N317" s="43" t="str">
        <f>IF(AND($D$29&gt;0,$D$30&gt;0,$D$30&lt;=0.5*$B$45,$D$31=0),IF($N$316&lt;=1,2.2*($N$306/$D$29)^1.65,2.2*($N$306/$D$29)),IF(AND($D$29&gt;0,$D$30&gt;0,$D$31=0,$D$30&gt;0.5*$B$45),"ERROR","N.A."))</f>
        <v>N.A.</v>
      </c>
      <c r="O317" s="31"/>
      <c r="P317" s="38" t="s">
        <v>10</v>
      </c>
      <c r="Q317" s="57"/>
      <c r="U317" s="50"/>
      <c r="AF317" s="405" t="s">
        <v>1010</v>
      </c>
      <c r="AG317" s="413">
        <v>6.76</v>
      </c>
      <c r="AH317" s="409">
        <v>8</v>
      </c>
      <c r="AI317" s="408">
        <v>0.441</v>
      </c>
      <c r="AJ317" s="409">
        <v>4.17</v>
      </c>
      <c r="AK317" s="408">
        <v>0.425</v>
      </c>
      <c r="AL317" s="432">
        <v>1</v>
      </c>
    </row>
    <row r="318" spans="13:38" ht="12.75">
      <c r="M318" s="33" t="s">
        <v>107</v>
      </c>
      <c r="N318" s="61" t="str">
        <f>IF(AND($D$29&gt;0,$D$30&gt;0,$D$30&lt;=0.5*$B$45,$D$31=0),(1/1.67)*MIN(26210*$N$315*$N$317*($B$46/$N$281)^2,$D$12)*IF(1-$D$17/(0.6*$D$12*$N$291)&gt;0,(1-$D$17/(0.6*$D$12*$N$291)),0.0001),IF(AND($D$29&gt;0,$D$30&gt;0,$D$31=0,$D$30&gt;0.5*$B$45),"ERROR","N.A."))</f>
        <v>N.A.</v>
      </c>
      <c r="O318" s="38" t="s">
        <v>245</v>
      </c>
      <c r="P318" s="38" t="s">
        <v>675</v>
      </c>
      <c r="U318" s="50"/>
      <c r="AF318" s="405" t="s">
        <v>1011</v>
      </c>
      <c r="AG318" s="413">
        <v>5.4</v>
      </c>
      <c r="AH318" s="409">
        <v>8</v>
      </c>
      <c r="AI318" s="408">
        <v>0.271</v>
      </c>
      <c r="AJ318" s="409">
        <v>4</v>
      </c>
      <c r="AK318" s="408">
        <v>0.425</v>
      </c>
      <c r="AL318" s="432">
        <v>1</v>
      </c>
    </row>
    <row r="319" spans="13:38" ht="12.75">
      <c r="M319" s="33" t="s">
        <v>104</v>
      </c>
      <c r="N319" s="61" t="str">
        <f>IF(AND($D$29&gt;0,$D$30&gt;0,$D$30&lt;=0.5*$B$45,$D$31=0),$N$318*$N$310/$N$307,IF(AND($D$29&gt;0,$D$30&gt;0,$D$31=0,$D$30&gt;0.5*$B$45),"ERROR","N.A."))</f>
        <v>N.A.</v>
      </c>
      <c r="O319" s="31" t="s">
        <v>237</v>
      </c>
      <c r="P319" s="38" t="s">
        <v>502</v>
      </c>
      <c r="U319" s="57"/>
      <c r="AF319" s="405" t="s">
        <v>1012</v>
      </c>
      <c r="AG319" s="413">
        <v>5.06</v>
      </c>
      <c r="AH319" s="409">
        <v>6</v>
      </c>
      <c r="AI319" s="408">
        <v>0.465</v>
      </c>
      <c r="AJ319" s="409">
        <v>3.57</v>
      </c>
      <c r="AK319" s="408">
        <v>0.359</v>
      </c>
      <c r="AL319" s="425">
        <v>0.813</v>
      </c>
    </row>
    <row r="320" spans="13:38" ht="12.75">
      <c r="M320" s="95" t="s">
        <v>242</v>
      </c>
      <c r="O320" s="34"/>
      <c r="R320" s="150" t="s">
        <v>473</v>
      </c>
      <c r="U320" s="50"/>
      <c r="AF320" s="405" t="s">
        <v>1013</v>
      </c>
      <c r="AG320" s="413">
        <v>3.66</v>
      </c>
      <c r="AH320" s="409">
        <v>6</v>
      </c>
      <c r="AI320" s="408">
        <v>0.232</v>
      </c>
      <c r="AJ320" s="409">
        <v>3.33</v>
      </c>
      <c r="AK320" s="408">
        <v>0.359</v>
      </c>
      <c r="AL320" s="425">
        <v>0.813</v>
      </c>
    </row>
    <row r="321" spans="13:38" ht="12.75">
      <c r="M321" s="29" t="s">
        <v>676</v>
      </c>
      <c r="O321" s="34"/>
      <c r="U321" s="50"/>
      <c r="AF321" s="405" t="s">
        <v>1014</v>
      </c>
      <c r="AG321" s="413">
        <v>2.93</v>
      </c>
      <c r="AH321" s="409">
        <v>5</v>
      </c>
      <c r="AI321" s="408">
        <v>0.214</v>
      </c>
      <c r="AJ321" s="409">
        <v>3</v>
      </c>
      <c r="AK321" s="408">
        <v>0.326</v>
      </c>
      <c r="AL321" s="425">
        <v>0.75</v>
      </c>
    </row>
    <row r="322" spans="13:38" ht="12.75">
      <c r="M322" s="33" t="s">
        <v>106</v>
      </c>
      <c r="N322" s="43" t="str">
        <f>IF(AND($D$29&gt;0,$D$30&gt;0,$D$31&gt;0),$B$45-$D$30-$D$31,"N.A.")</f>
        <v>N.A.</v>
      </c>
      <c r="O322" s="31" t="s">
        <v>268</v>
      </c>
      <c r="P322" s="38" t="s">
        <v>677</v>
      </c>
      <c r="U322" s="50"/>
      <c r="AF322" s="405" t="s">
        <v>1015</v>
      </c>
      <c r="AG322" s="413">
        <v>2.79</v>
      </c>
      <c r="AH322" s="409">
        <v>4</v>
      </c>
      <c r="AI322" s="408">
        <v>0.326</v>
      </c>
      <c r="AJ322" s="409">
        <v>2.8</v>
      </c>
      <c r="AK322" s="408">
        <v>0.293</v>
      </c>
      <c r="AL322" s="425">
        <v>0.75</v>
      </c>
    </row>
    <row r="323" spans="13:38" ht="12.75">
      <c r="M323" s="33" t="s">
        <v>75</v>
      </c>
      <c r="N323" s="84" t="str">
        <f>IF(AND($D$29&gt;0,$D$30&gt;0,$D$31&gt;0),$N$322*$B$46,"N.A.")</f>
        <v>N.A.</v>
      </c>
      <c r="O323" s="38" t="s">
        <v>243</v>
      </c>
      <c r="P323" s="38" t="s">
        <v>1097</v>
      </c>
      <c r="AF323" s="405" t="s">
        <v>1016</v>
      </c>
      <c r="AG323" s="413">
        <v>2.26</v>
      </c>
      <c r="AH323" s="409">
        <v>4</v>
      </c>
      <c r="AI323" s="408">
        <v>0.193</v>
      </c>
      <c r="AJ323" s="409">
        <v>2.66</v>
      </c>
      <c r="AK323" s="408">
        <v>0.293</v>
      </c>
      <c r="AL323" s="425">
        <v>0.75</v>
      </c>
    </row>
    <row r="324" spans="13:38" ht="12.75">
      <c r="M324" s="33" t="s">
        <v>617</v>
      </c>
      <c r="N324" s="61" t="str">
        <f>IF(AND($D$29&gt;0,$D$30&gt;0,$D$31&gt;0),$N$322/$B$46,"N.A.")</f>
        <v>N.A.</v>
      </c>
      <c r="O324" s="34"/>
      <c r="P324" s="29" t="s">
        <v>678</v>
      </c>
      <c r="AF324" s="405" t="s">
        <v>1017</v>
      </c>
      <c r="AG324" s="413">
        <v>2.2</v>
      </c>
      <c r="AH324" s="409">
        <v>3</v>
      </c>
      <c r="AI324" s="408">
        <v>0.349</v>
      </c>
      <c r="AJ324" s="409">
        <v>2.51</v>
      </c>
      <c r="AK324" s="408">
        <v>0.26</v>
      </c>
      <c r="AL324" s="425">
        <v>0.625</v>
      </c>
    </row>
    <row r="325" spans="13:38" ht="12.75">
      <c r="M325" s="33" t="s">
        <v>619</v>
      </c>
      <c r="N325" s="114" t="str">
        <f>IF(AND($D$29&gt;0,$D$30&gt;0,$D$31&gt;0),5,"N.A.")</f>
        <v>N.A.</v>
      </c>
      <c r="O325" s="34"/>
      <c r="P325" s="29" t="s">
        <v>620</v>
      </c>
      <c r="AF325" s="414" t="s">
        <v>1018</v>
      </c>
      <c r="AG325" s="415">
        <v>1.66</v>
      </c>
      <c r="AH325" s="416">
        <v>3</v>
      </c>
      <c r="AI325" s="417">
        <v>0.17</v>
      </c>
      <c r="AJ325" s="416">
        <v>2.33</v>
      </c>
      <c r="AK325" s="417">
        <v>0.26</v>
      </c>
      <c r="AL325" s="429">
        <v>0.625</v>
      </c>
    </row>
    <row r="326" spans="13:38" ht="12.75">
      <c r="M326" s="33" t="s">
        <v>621</v>
      </c>
      <c r="N326" s="41" t="str">
        <f>IF(AND($D$29&gt;0,$D$30&gt;0,$D$31&gt;0),IF($N$324&lt;=2.24*SQRT(29000/$D$12),1,IF($N$324&lt;=1.1*SQRT($N$325*29000/$D$12),1,IF($N$324&gt;1.37*SQRT($N$325*29000/$D$12),(1.51*29000*$N$325)/($N$324^2*$D$12),(1.1*SQRT($N$325*29000/$D$12))/$N$324))),"N.A.")</f>
        <v>N.A.</v>
      </c>
      <c r="O326" s="34"/>
      <c r="P326" s="29" t="s">
        <v>650</v>
      </c>
      <c r="AF326" s="419" t="s">
        <v>1019</v>
      </c>
      <c r="AG326" s="430">
        <v>34.4</v>
      </c>
      <c r="AH326" s="421">
        <v>14.2</v>
      </c>
      <c r="AI326" s="422">
        <v>0.805</v>
      </c>
      <c r="AJ326" s="421">
        <v>14.9</v>
      </c>
      <c r="AK326" s="422">
        <v>0.805</v>
      </c>
      <c r="AL326" s="431">
        <v>1.5</v>
      </c>
    </row>
    <row r="327" spans="13:38" ht="12.75">
      <c r="M327" s="33" t="s">
        <v>252</v>
      </c>
      <c r="N327" s="41" t="str">
        <f>IF(AND($D$29&gt;0,$D$30&gt;0,$D$31&gt;0),(1/1.5)*0.6*$D$12*$N$326*$N$323,"N.A.")</f>
        <v>N.A.</v>
      </c>
      <c r="O327" s="31" t="s">
        <v>237</v>
      </c>
      <c r="P327" s="29" t="s">
        <v>671</v>
      </c>
      <c r="AF327" s="405" t="s">
        <v>1020</v>
      </c>
      <c r="AG327" s="406">
        <v>30</v>
      </c>
      <c r="AH327" s="407">
        <v>14</v>
      </c>
      <c r="AI327" s="408">
        <v>0.705</v>
      </c>
      <c r="AJ327" s="407">
        <v>14.8</v>
      </c>
      <c r="AK327" s="408">
        <v>0.705</v>
      </c>
      <c r="AL327" s="432">
        <v>1.38</v>
      </c>
    </row>
    <row r="328" spans="13:38" ht="12.75">
      <c r="M328" s="29" t="s">
        <v>679</v>
      </c>
      <c r="O328" s="34"/>
      <c r="AF328" s="405" t="s">
        <v>1021</v>
      </c>
      <c r="AG328" s="406">
        <v>26.1</v>
      </c>
      <c r="AH328" s="407">
        <v>13.8</v>
      </c>
      <c r="AI328" s="408">
        <v>0.615</v>
      </c>
      <c r="AJ328" s="407">
        <v>14.7</v>
      </c>
      <c r="AK328" s="408">
        <v>0.615</v>
      </c>
      <c r="AL328" s="432">
        <v>1.31</v>
      </c>
    </row>
    <row r="329" spans="13:38" ht="12.75">
      <c r="M329" s="50" t="s">
        <v>253</v>
      </c>
      <c r="N329" s="43" t="str">
        <f>$N$323</f>
        <v>N.A.</v>
      </c>
      <c r="O329" s="38" t="s">
        <v>243</v>
      </c>
      <c r="P329" s="38" t="s">
        <v>544</v>
      </c>
      <c r="AF329" s="405" t="s">
        <v>1022</v>
      </c>
      <c r="AG329" s="406">
        <v>21.4</v>
      </c>
      <c r="AH329" s="407">
        <v>13.6</v>
      </c>
      <c r="AI329" s="408">
        <v>0.505</v>
      </c>
      <c r="AJ329" s="407">
        <v>14.6</v>
      </c>
      <c r="AK329" s="408">
        <v>0.505</v>
      </c>
      <c r="AL329" s="432">
        <v>1.19</v>
      </c>
    </row>
    <row r="330" spans="13:38" ht="12.75">
      <c r="M330" s="33" t="s">
        <v>254</v>
      </c>
      <c r="N330" s="41" t="str">
        <f>IF(AND($D$29&gt;0,$D$30&gt;0,$D$31&gt;0),(1/2)*0.6*$N$6*$N$329,"N.A.")</f>
        <v>N.A.</v>
      </c>
      <c r="O330" s="31" t="s">
        <v>237</v>
      </c>
      <c r="P330" s="29" t="s">
        <v>664</v>
      </c>
      <c r="U330" s="50"/>
      <c r="AF330" s="405" t="s">
        <v>1023</v>
      </c>
      <c r="AG330" s="406">
        <v>24.6</v>
      </c>
      <c r="AH330" s="407">
        <v>12.3</v>
      </c>
      <c r="AI330" s="408">
        <v>0.685</v>
      </c>
      <c r="AJ330" s="407">
        <v>12.3</v>
      </c>
      <c r="AK330" s="408">
        <v>0.685</v>
      </c>
      <c r="AL330" s="432">
        <v>1.38</v>
      </c>
    </row>
    <row r="331" spans="13:38" ht="12.75">
      <c r="M331" s="57" t="s">
        <v>1034</v>
      </c>
      <c r="O331" s="34"/>
      <c r="U331" s="33"/>
      <c r="AF331" s="405" t="s">
        <v>1024</v>
      </c>
      <c r="AG331" s="406">
        <v>21.8</v>
      </c>
      <c r="AH331" s="407">
        <v>12.1</v>
      </c>
      <c r="AI331" s="408">
        <v>0.605</v>
      </c>
      <c r="AJ331" s="407">
        <v>12.2</v>
      </c>
      <c r="AK331" s="408">
        <v>0.61</v>
      </c>
      <c r="AL331" s="432">
        <v>1.31</v>
      </c>
    </row>
    <row r="332" spans="13:38" ht="12.75">
      <c r="M332" s="50" t="s">
        <v>35</v>
      </c>
      <c r="N332" s="43" t="str">
        <f>IF(AND($D$29&gt;0,$D$30&gt;0,$D$31&gt;0),$N$322*$B$46,"N.A.")</f>
        <v>N.A.</v>
      </c>
      <c r="O332" s="38" t="s">
        <v>243</v>
      </c>
      <c r="P332" s="38" t="s">
        <v>503</v>
      </c>
      <c r="AF332" s="405" t="s">
        <v>1025</v>
      </c>
      <c r="AG332" s="406">
        <v>18.4</v>
      </c>
      <c r="AH332" s="407">
        <v>11.9</v>
      </c>
      <c r="AI332" s="408">
        <v>0.515</v>
      </c>
      <c r="AJ332" s="407">
        <v>12.1</v>
      </c>
      <c r="AK332" s="408">
        <v>0.515</v>
      </c>
      <c r="AL332" s="432">
        <v>1.25</v>
      </c>
    </row>
    <row r="333" spans="13:38" ht="12.75">
      <c r="M333" s="50" t="s">
        <v>36</v>
      </c>
      <c r="N333" s="61" t="str">
        <f>IF(AND($D$29&gt;0,$D$30&gt;0,$D$31&gt;0),(0.6*$D$12*$N$332)*IF(1-($D$16/$N$327)^2&gt;0,(1-($D$16/$N$327)^2),0.0001),"N.A.")</f>
        <v>N.A.</v>
      </c>
      <c r="O333" s="38" t="s">
        <v>237</v>
      </c>
      <c r="P333" s="38" t="s">
        <v>110</v>
      </c>
      <c r="Q333" s="57"/>
      <c r="AF333" s="405" t="s">
        <v>1026</v>
      </c>
      <c r="AG333" s="406">
        <v>15.5</v>
      </c>
      <c r="AH333" s="407">
        <v>11.8</v>
      </c>
      <c r="AI333" s="408">
        <v>0.435</v>
      </c>
      <c r="AJ333" s="407">
        <v>12</v>
      </c>
      <c r="AK333" s="408">
        <v>0.435</v>
      </c>
      <c r="AL333" s="432">
        <v>1.13</v>
      </c>
    </row>
    <row r="334" spans="13:38" ht="12.75">
      <c r="M334" s="29" t="s">
        <v>108</v>
      </c>
      <c r="O334" s="34"/>
      <c r="AF334" s="405" t="s">
        <v>1027</v>
      </c>
      <c r="AG334" s="406">
        <v>16.8</v>
      </c>
      <c r="AH334" s="407">
        <v>10</v>
      </c>
      <c r="AI334" s="408">
        <v>0.565</v>
      </c>
      <c r="AJ334" s="407">
        <v>10.2</v>
      </c>
      <c r="AK334" s="408">
        <v>0.565</v>
      </c>
      <c r="AL334" s="432">
        <v>1.25</v>
      </c>
    </row>
    <row r="335" spans="13:38" ht="12.75">
      <c r="M335" s="33" t="s">
        <v>601</v>
      </c>
      <c r="N335" s="43" t="str">
        <f>IF(AND($D$29&gt;0,$D$30&gt;0,$D$31&gt;0),(($D$27-$D$30)+$D$26)*$B$46,"N.A.")</f>
        <v>N.A.</v>
      </c>
      <c r="O335" s="31" t="s">
        <v>243</v>
      </c>
      <c r="P335" s="38" t="s">
        <v>606</v>
      </c>
      <c r="AF335" s="405" t="s">
        <v>1028</v>
      </c>
      <c r="AG335" s="406">
        <v>12.4</v>
      </c>
      <c r="AH335" s="409">
        <v>9.7</v>
      </c>
      <c r="AI335" s="408">
        <v>0.415</v>
      </c>
      <c r="AJ335" s="407">
        <v>10.1</v>
      </c>
      <c r="AK335" s="408">
        <v>0.42</v>
      </c>
      <c r="AL335" s="432">
        <v>1.13</v>
      </c>
    </row>
    <row r="336" spans="13:38" ht="12.75">
      <c r="M336" s="33" t="s">
        <v>602</v>
      </c>
      <c r="N336" s="43" t="str">
        <f>IF(AND($D$29&gt;0,$D$30&gt;0,$D$31&gt;0),($D$21-$D$28)*$B$46,"N.A.")</f>
        <v>N.A.</v>
      </c>
      <c r="O336" s="31" t="s">
        <v>243</v>
      </c>
      <c r="P336" s="29" t="s">
        <v>546</v>
      </c>
      <c r="AF336" s="414" t="s">
        <v>1029</v>
      </c>
      <c r="AG336" s="433">
        <v>10.6</v>
      </c>
      <c r="AH336" s="416">
        <v>8.02</v>
      </c>
      <c r="AI336" s="417">
        <v>0.445</v>
      </c>
      <c r="AJ336" s="416">
        <v>8.16</v>
      </c>
      <c r="AK336" s="417">
        <v>0.445</v>
      </c>
      <c r="AL336" s="434">
        <v>1.13</v>
      </c>
    </row>
    <row r="337" spans="13:38" ht="12.75">
      <c r="M337" s="33" t="s">
        <v>220</v>
      </c>
      <c r="N337" s="41" t="str">
        <f>IF(AND($D$29&gt;0,$D$30&gt;0,$D$31&gt;0),0.3*$D$12*$N$335+0.5*$N$6*$N$336,"N.A.")</f>
        <v>N.A.</v>
      </c>
      <c r="O337" s="31" t="s">
        <v>237</v>
      </c>
      <c r="P337" s="31" t="s">
        <v>545</v>
      </c>
      <c r="AF337" s="419" t="s">
        <v>1181</v>
      </c>
      <c r="AG337" s="430">
        <v>14.7</v>
      </c>
      <c r="AH337" s="421">
        <v>15</v>
      </c>
      <c r="AI337" s="422">
        <v>0.716</v>
      </c>
      <c r="AJ337" s="421">
        <v>3.72</v>
      </c>
      <c r="AK337" s="422">
        <v>0.65</v>
      </c>
      <c r="AL337" s="431">
        <v>1.44</v>
      </c>
    </row>
    <row r="338" spans="13:38" ht="12.75">
      <c r="M338" s="57" t="s">
        <v>505</v>
      </c>
      <c r="O338" s="34"/>
      <c r="U338" s="57"/>
      <c r="AF338" s="405" t="s">
        <v>1182</v>
      </c>
      <c r="AG338" s="406">
        <v>11.8</v>
      </c>
      <c r="AH338" s="407">
        <v>15</v>
      </c>
      <c r="AI338" s="408">
        <v>0.52</v>
      </c>
      <c r="AJ338" s="407">
        <v>3.52</v>
      </c>
      <c r="AK338" s="408">
        <v>0.65</v>
      </c>
      <c r="AL338" s="432">
        <v>1.44</v>
      </c>
    </row>
    <row r="339" spans="13:38" ht="12.75">
      <c r="M339" s="50" t="s">
        <v>601</v>
      </c>
      <c r="N339" s="43" t="str">
        <f>IF(AND($D$29&gt;0,$D$30&gt;0,$D$31&gt;0),($D$21-$D$28)*$B$46,"N.A.")</f>
        <v>N.A.</v>
      </c>
      <c r="O339" s="38" t="s">
        <v>498</v>
      </c>
      <c r="P339" s="29" t="s">
        <v>547</v>
      </c>
      <c r="AF339" s="405" t="s">
        <v>1183</v>
      </c>
      <c r="AG339" s="406">
        <v>10</v>
      </c>
      <c r="AH339" s="407">
        <v>15</v>
      </c>
      <c r="AI339" s="408">
        <v>0.4</v>
      </c>
      <c r="AJ339" s="407">
        <v>3.4</v>
      </c>
      <c r="AK339" s="408">
        <v>0.65</v>
      </c>
      <c r="AL339" s="432">
        <v>1.44</v>
      </c>
    </row>
    <row r="340" spans="13:38" ht="12.75">
      <c r="M340" s="50" t="s">
        <v>602</v>
      </c>
      <c r="N340" s="43" t="str">
        <f>IF(AND($D$29&gt;0,$D$30&gt;0,$D$31&gt;0),(($D$27-$D$30)+$D$26)*$B$46,"N.A.")</f>
        <v>N.A.</v>
      </c>
      <c r="O340" s="38" t="s">
        <v>243</v>
      </c>
      <c r="P340" s="38" t="s">
        <v>608</v>
      </c>
      <c r="Q340" s="57"/>
      <c r="AF340" s="405" t="s">
        <v>1184</v>
      </c>
      <c r="AG340" s="406">
        <v>8.81</v>
      </c>
      <c r="AH340" s="407">
        <v>12</v>
      </c>
      <c r="AI340" s="408">
        <v>0.51</v>
      </c>
      <c r="AJ340" s="407">
        <v>3.17</v>
      </c>
      <c r="AK340" s="408">
        <v>0.501</v>
      </c>
      <c r="AL340" s="432">
        <v>1.13</v>
      </c>
    </row>
    <row r="341" spans="13:38" ht="12.75">
      <c r="M341" s="33" t="s">
        <v>426</v>
      </c>
      <c r="N341" s="41" t="str">
        <f>IF(AND($D$29&gt;0,$D$30&gt;0,$D$31&gt;0),(0.3*$D$12*$N$339+0.5*$N$6*$N$340)*(1-($D$16/$N$337)^2),"N.A.")</f>
        <v>N.A.</v>
      </c>
      <c r="O341" s="31" t="s">
        <v>237</v>
      </c>
      <c r="P341" s="31" t="s">
        <v>548</v>
      </c>
      <c r="Q341" s="57"/>
      <c r="R341" s="57"/>
      <c r="V341" s="57"/>
      <c r="W341" s="84"/>
      <c r="X341" s="57"/>
      <c r="AF341" s="405" t="s">
        <v>1185</v>
      </c>
      <c r="AG341" s="406">
        <v>7.34</v>
      </c>
      <c r="AH341" s="407">
        <v>12</v>
      </c>
      <c r="AI341" s="408">
        <v>0.387</v>
      </c>
      <c r="AJ341" s="407">
        <v>3.05</v>
      </c>
      <c r="AK341" s="408">
        <v>0.501</v>
      </c>
      <c r="AL341" s="432">
        <v>1.13</v>
      </c>
    </row>
    <row r="342" spans="13:38" ht="12.75">
      <c r="M342" s="57" t="s">
        <v>1081</v>
      </c>
      <c r="O342" s="34"/>
      <c r="V342" s="43"/>
      <c r="W342" s="38"/>
      <c r="X342" s="38"/>
      <c r="AF342" s="405" t="s">
        <v>1186</v>
      </c>
      <c r="AG342" s="406">
        <v>6.08</v>
      </c>
      <c r="AH342" s="407">
        <v>12</v>
      </c>
      <c r="AI342" s="408">
        <v>0.282</v>
      </c>
      <c r="AJ342" s="407">
        <v>2.94</v>
      </c>
      <c r="AK342" s="408">
        <v>0.501</v>
      </c>
      <c r="AL342" s="432">
        <v>1.13</v>
      </c>
    </row>
    <row r="343" spans="13:38" ht="12.75">
      <c r="M343" s="50" t="s">
        <v>601</v>
      </c>
      <c r="N343" s="43" t="str">
        <f>IF(AND($D$29&gt;0,$D$30&gt;0,$D$31&gt;0),2*($D$21-$D$28)*$B$46,"N.A.")</f>
        <v>N.A.</v>
      </c>
      <c r="O343" s="38" t="s">
        <v>498</v>
      </c>
      <c r="P343" s="29" t="s">
        <v>549</v>
      </c>
      <c r="V343" s="43"/>
      <c r="W343" s="38"/>
      <c r="X343" s="38"/>
      <c r="AF343" s="405" t="s">
        <v>1187</v>
      </c>
      <c r="AG343" s="406">
        <v>8.81</v>
      </c>
      <c r="AH343" s="407">
        <v>10</v>
      </c>
      <c r="AI343" s="408">
        <v>0.673</v>
      </c>
      <c r="AJ343" s="407">
        <v>3.03</v>
      </c>
      <c r="AK343" s="408">
        <v>0.436</v>
      </c>
      <c r="AL343" s="432">
        <v>1</v>
      </c>
    </row>
    <row r="344" spans="13:38" ht="12.75">
      <c r="M344" s="50" t="s">
        <v>602</v>
      </c>
      <c r="N344" s="43" t="str">
        <f>IF(AND($D$29&gt;0,$D$30&gt;0,$D$31&gt;0),$D$26*$B$46,"N.A.")</f>
        <v>N.A.</v>
      </c>
      <c r="O344" s="38" t="s">
        <v>243</v>
      </c>
      <c r="P344" s="31" t="s">
        <v>605</v>
      </c>
      <c r="Q344" s="111"/>
      <c r="V344" s="43"/>
      <c r="W344" s="38"/>
      <c r="X344" s="38"/>
      <c r="AF344" s="405" t="s">
        <v>1188</v>
      </c>
      <c r="AG344" s="406">
        <v>7.34</v>
      </c>
      <c r="AH344" s="407">
        <v>10</v>
      </c>
      <c r="AI344" s="408">
        <v>0.526</v>
      </c>
      <c r="AJ344" s="407">
        <v>2.89</v>
      </c>
      <c r="AK344" s="408">
        <v>0.436</v>
      </c>
      <c r="AL344" s="432">
        <v>1</v>
      </c>
    </row>
    <row r="345" spans="13:38" ht="12.75">
      <c r="M345" s="50" t="s">
        <v>426</v>
      </c>
      <c r="N345" s="41" t="str">
        <f>IF(AND($D$29&gt;0,$D$30&gt;0,$D$31&gt;0),IF($N$344&gt;"N.A.","N.A.",0.3*$D$12*$N$343+0.5*$N$6*$N$344),"N.A.")</f>
        <v>N.A.</v>
      </c>
      <c r="O345" s="38" t="s">
        <v>237</v>
      </c>
      <c r="P345" s="31" t="s">
        <v>515</v>
      </c>
      <c r="Q345" s="111"/>
      <c r="V345" s="57"/>
      <c r="W345" s="84"/>
      <c r="X345" s="57"/>
      <c r="AF345" s="405" t="s">
        <v>1189</v>
      </c>
      <c r="AG345" s="406">
        <v>5.87</v>
      </c>
      <c r="AH345" s="407">
        <v>10</v>
      </c>
      <c r="AI345" s="408">
        <v>0.379</v>
      </c>
      <c r="AJ345" s="407">
        <v>2.74</v>
      </c>
      <c r="AK345" s="408">
        <v>0.436</v>
      </c>
      <c r="AL345" s="432">
        <v>1</v>
      </c>
    </row>
    <row r="346" spans="13:38" ht="12.75">
      <c r="M346" s="57" t="s">
        <v>680</v>
      </c>
      <c r="O346" s="34"/>
      <c r="V346" s="43"/>
      <c r="W346" s="38"/>
      <c r="X346" s="38"/>
      <c r="AF346" s="405" t="s">
        <v>1190</v>
      </c>
      <c r="AG346" s="406">
        <v>4.48</v>
      </c>
      <c r="AH346" s="407">
        <v>10</v>
      </c>
      <c r="AI346" s="408">
        <v>0.24</v>
      </c>
      <c r="AJ346" s="407">
        <v>2.6</v>
      </c>
      <c r="AK346" s="408">
        <v>0.436</v>
      </c>
      <c r="AL346" s="432">
        <v>1</v>
      </c>
    </row>
    <row r="347" spans="13:38" ht="12.75">
      <c r="M347" s="33" t="s">
        <v>106</v>
      </c>
      <c r="N347" s="43" t="str">
        <f>IF(AND($D$29&gt;0,$D$30&gt;0,$D$31&gt;0),$N$322,"N.A.")</f>
        <v>N.A.</v>
      </c>
      <c r="O347" s="31" t="s">
        <v>268</v>
      </c>
      <c r="P347" s="38" t="s">
        <v>677</v>
      </c>
      <c r="Q347" s="57"/>
      <c r="V347" s="43"/>
      <c r="W347" s="38"/>
      <c r="X347" s="38"/>
      <c r="AF347" s="405" t="s">
        <v>1191</v>
      </c>
      <c r="AG347" s="406">
        <v>5.87</v>
      </c>
      <c r="AH347" s="407">
        <v>9</v>
      </c>
      <c r="AI347" s="408">
        <v>0.448</v>
      </c>
      <c r="AJ347" s="407">
        <v>2.65</v>
      </c>
      <c r="AK347" s="408">
        <v>0.413</v>
      </c>
      <c r="AL347" s="432">
        <v>1</v>
      </c>
    </row>
    <row r="348" spans="13:38" ht="12.75">
      <c r="M348" s="33" t="s">
        <v>325</v>
      </c>
      <c r="N348" s="43" t="str">
        <f>IF(AND($D$29&gt;0,$D$30&gt;0,$D$31&gt;0),$D$29+$D$28,"N.A.")</f>
        <v>N.A.</v>
      </c>
      <c r="O348" s="31" t="s">
        <v>268</v>
      </c>
      <c r="P348" s="38" t="s">
        <v>6</v>
      </c>
      <c r="Q348" s="57"/>
      <c r="V348" s="43"/>
      <c r="W348" s="38"/>
      <c r="X348" s="38"/>
      <c r="AF348" s="405" t="s">
        <v>1192</v>
      </c>
      <c r="AG348" s="406">
        <v>4.41</v>
      </c>
      <c r="AH348" s="407">
        <v>9</v>
      </c>
      <c r="AI348" s="408">
        <v>0.285</v>
      </c>
      <c r="AJ348" s="407">
        <v>2.49</v>
      </c>
      <c r="AK348" s="408">
        <v>0.413</v>
      </c>
      <c r="AL348" s="432">
        <v>1</v>
      </c>
    </row>
    <row r="349" spans="13:38" ht="12.75">
      <c r="M349" s="33" t="s">
        <v>1131</v>
      </c>
      <c r="N349" s="43" t="str">
        <f>IF(AND($D$29&gt;0,$D$30&gt;0,$D$31&gt;0),$N$347/2,"N.A.")</f>
        <v>N.A.</v>
      </c>
      <c r="O349" s="31" t="s">
        <v>268</v>
      </c>
      <c r="P349" s="72" t="s">
        <v>316</v>
      </c>
      <c r="Q349" s="57"/>
      <c r="W349" s="34"/>
      <c r="AF349" s="405" t="s">
        <v>1193</v>
      </c>
      <c r="AG349" s="406">
        <v>3.94</v>
      </c>
      <c r="AH349" s="407">
        <v>9</v>
      </c>
      <c r="AI349" s="408">
        <v>0.233</v>
      </c>
      <c r="AJ349" s="407">
        <v>2.43</v>
      </c>
      <c r="AK349" s="408">
        <v>0.413</v>
      </c>
      <c r="AL349" s="432">
        <v>1</v>
      </c>
    </row>
    <row r="350" spans="13:38" ht="12.75">
      <c r="M350" s="33" t="s">
        <v>424</v>
      </c>
      <c r="N350" s="61" t="str">
        <f>IF(AND($D$29&gt;0,$D$30&gt;0,$D$31&gt;0),$B$46*$N$347^3/12,"N.A.")</f>
        <v>N.A.</v>
      </c>
      <c r="O350" s="31" t="s">
        <v>499</v>
      </c>
      <c r="P350" s="38" t="s">
        <v>317</v>
      </c>
      <c r="Q350" s="57"/>
      <c r="V350" s="39"/>
      <c r="W350" s="38"/>
      <c r="X350" s="31"/>
      <c r="AF350" s="405" t="s">
        <v>1194</v>
      </c>
      <c r="AG350" s="406">
        <v>5.51</v>
      </c>
      <c r="AH350" s="407">
        <v>8</v>
      </c>
      <c r="AI350" s="408">
        <v>0.487</v>
      </c>
      <c r="AJ350" s="407">
        <v>2.53</v>
      </c>
      <c r="AK350" s="408">
        <v>0.39</v>
      </c>
      <c r="AL350" s="432">
        <v>0.938</v>
      </c>
    </row>
    <row r="351" spans="13:38" ht="12.75">
      <c r="M351" s="33" t="s">
        <v>191</v>
      </c>
      <c r="N351" s="61" t="str">
        <f>IF(AND($D$29&gt;0,$D$30&gt;0,$D$31&gt;0),$N$350/($N$347-$N$349),"N.A.")</f>
        <v>N.A.</v>
      </c>
      <c r="O351" s="31" t="s">
        <v>498</v>
      </c>
      <c r="P351" s="57" t="s">
        <v>318</v>
      </c>
      <c r="Q351" s="57"/>
      <c r="V351" s="43"/>
      <c r="W351" s="38"/>
      <c r="X351" s="38"/>
      <c r="AF351" s="405" t="s">
        <v>1195</v>
      </c>
      <c r="AG351" s="406">
        <v>4.04</v>
      </c>
      <c r="AH351" s="407">
        <v>8</v>
      </c>
      <c r="AI351" s="408">
        <v>0.303</v>
      </c>
      <c r="AJ351" s="407">
        <v>2.34</v>
      </c>
      <c r="AK351" s="408">
        <v>0.39</v>
      </c>
      <c r="AL351" s="432">
        <v>0.938</v>
      </c>
    </row>
    <row r="352" spans="13:38" ht="12.75">
      <c r="M352" s="33" t="s">
        <v>107</v>
      </c>
      <c r="N352" s="61" t="str">
        <f>IF(AND($D$29&gt;0,$D$30&gt;0,$D$31&gt;0),(1/2)*$N$6*IF(1-$D$17/(0.6*$D$12*$N$332)&gt;0,(1-$D$17/(0.6*$D$12*$N$332)),0.0001),"N.A.")</f>
        <v>N.A.</v>
      </c>
      <c r="O352" s="38" t="s">
        <v>245</v>
      </c>
      <c r="P352" s="38" t="s">
        <v>1255</v>
      </c>
      <c r="V352" s="61"/>
      <c r="W352" s="38"/>
      <c r="X352" s="38"/>
      <c r="AF352" s="405" t="s">
        <v>1196</v>
      </c>
      <c r="AG352" s="406">
        <v>3.37</v>
      </c>
      <c r="AH352" s="407">
        <v>8</v>
      </c>
      <c r="AI352" s="408">
        <v>0.22</v>
      </c>
      <c r="AJ352" s="407">
        <v>2.26</v>
      </c>
      <c r="AK352" s="408">
        <v>0.39</v>
      </c>
      <c r="AL352" s="432">
        <v>0.938</v>
      </c>
    </row>
    <row r="353" spans="13:38" ht="12.75">
      <c r="M353" s="33" t="s">
        <v>104</v>
      </c>
      <c r="N353" s="61" t="str">
        <f>IF(AND($D$29&gt;0,$D$30&gt;0,$D$31&gt;0),$N$352*$N$351/$N$348,"N.A.")</f>
        <v>N.A.</v>
      </c>
      <c r="O353" s="31" t="s">
        <v>237</v>
      </c>
      <c r="P353" s="38" t="s">
        <v>502</v>
      </c>
      <c r="AF353" s="405" t="s">
        <v>1197</v>
      </c>
      <c r="AG353" s="406">
        <v>4.33</v>
      </c>
      <c r="AH353" s="407">
        <v>7</v>
      </c>
      <c r="AI353" s="408">
        <v>0.419</v>
      </c>
      <c r="AJ353" s="407">
        <v>2.3</v>
      </c>
      <c r="AK353" s="408">
        <v>0.366</v>
      </c>
      <c r="AL353" s="432">
        <v>0.875</v>
      </c>
    </row>
    <row r="354" spans="13:38" ht="12.75">
      <c r="M354" s="57" t="s">
        <v>681</v>
      </c>
      <c r="O354" s="34"/>
      <c r="AF354" s="405" t="s">
        <v>1198</v>
      </c>
      <c r="AG354" s="406">
        <v>3.6</v>
      </c>
      <c r="AH354" s="407">
        <v>7</v>
      </c>
      <c r="AI354" s="408">
        <v>0.314</v>
      </c>
      <c r="AJ354" s="407">
        <v>2.19</v>
      </c>
      <c r="AK354" s="408">
        <v>0.366</v>
      </c>
      <c r="AL354" s="432">
        <v>0.875</v>
      </c>
    </row>
    <row r="355" spans="13:38" ht="12.75">
      <c r="M355" s="50" t="s">
        <v>682</v>
      </c>
      <c r="N355" s="43" t="str">
        <f>IF(AND($D$29&gt;0,$D$30&gt;0,$D$31&gt;0),IF(AND($D$30&lt;=0.2*$B$45,$D$30=$D$31),3.5-7.5*$D$30/$B$45,"N.A."),"N.A.")</f>
        <v>N.A.</v>
      </c>
      <c r="O355" s="34"/>
      <c r="P355" s="38" t="s">
        <v>683</v>
      </c>
      <c r="AF355" s="405" t="s">
        <v>1199</v>
      </c>
      <c r="AG355" s="406">
        <v>2.87</v>
      </c>
      <c r="AH355" s="407">
        <v>7</v>
      </c>
      <c r="AI355" s="408">
        <v>0.21</v>
      </c>
      <c r="AJ355" s="407">
        <v>2.09</v>
      </c>
      <c r="AK355" s="408">
        <v>0.366</v>
      </c>
      <c r="AL355" s="432">
        <v>0.875</v>
      </c>
    </row>
    <row r="356" spans="13:38" ht="12.75">
      <c r="M356" s="50" t="s">
        <v>684</v>
      </c>
      <c r="N356" s="43" t="str">
        <f>IF(AND($D$29&gt;0,$D$30&gt;0,$D$31&gt;0),IF($D$30&gt;0.2*$B$45,($N$347*SQRT($D$12))/(10*$B$46*SQRT(475+280*($N$347/$D$29)^2)),"N.A."),"N.A.")</f>
        <v>N.A.</v>
      </c>
      <c r="O356" s="34"/>
      <c r="P356" s="29" t="s">
        <v>685</v>
      </c>
      <c r="AF356" s="405" t="s">
        <v>1200</v>
      </c>
      <c r="AG356" s="406">
        <v>3.81</v>
      </c>
      <c r="AH356" s="407">
        <v>6</v>
      </c>
      <c r="AI356" s="408">
        <v>0.437</v>
      </c>
      <c r="AJ356" s="407">
        <v>2.16</v>
      </c>
      <c r="AK356" s="408">
        <v>0.343</v>
      </c>
      <c r="AL356" s="432">
        <v>0.813</v>
      </c>
    </row>
    <row r="357" spans="13:38" ht="12.75">
      <c r="M357" s="50" t="s">
        <v>686</v>
      </c>
      <c r="N357" s="43" t="str">
        <f>IF(AND($D$29&gt;0,$D$30&gt;0,$D$31&gt;0),IF($N$356="N.A.","N.A.",IF($N$356&lt;=0.7,1,IF($N$356&gt;1.41,1.3/($N$356^2),1.34-0.486*$N$356))),"N.A.")</f>
        <v>N.A.</v>
      </c>
      <c r="O357" s="34"/>
      <c r="P357" s="29" t="s">
        <v>687</v>
      </c>
      <c r="AF357" s="405" t="s">
        <v>1201</v>
      </c>
      <c r="AG357" s="406">
        <v>3.08</v>
      </c>
      <c r="AH357" s="407">
        <v>6</v>
      </c>
      <c r="AI357" s="408">
        <v>0.314</v>
      </c>
      <c r="AJ357" s="407">
        <v>2.03</v>
      </c>
      <c r="AK357" s="408">
        <v>0.343</v>
      </c>
      <c r="AL357" s="432">
        <v>0.813</v>
      </c>
    </row>
    <row r="358" spans="13:38" ht="12.75">
      <c r="M358" s="50" t="s">
        <v>688</v>
      </c>
      <c r="N358" s="61" t="str">
        <f>IF(AND($D$29&gt;0,$D$30&gt;0,$D$31&gt;0),IF($N$356="N.A.",(1/1.67)*IF(1-$D$17/(0.6*$D$12*$N$332)&gt;0,(1-$D$17/(0.6*$D$12*$N$332)),0.0001)*MIN($D$12,(0.62*PI()*29000*($B$46^2)*$N$355)/($N$347*$D$29)),(1/1.67)*$N$357*$D$12*IF(1-$D$17/(0.6*$D$12*$N$332)&gt;0,(1-$D$17/(0.6*$D$12*$N$332)),0.0001)),"N.A.")</f>
        <v>N.A.</v>
      </c>
      <c r="O358" s="38" t="s">
        <v>245</v>
      </c>
      <c r="P358" s="29" t="str">
        <f>IF($N$356="N.A.","Fbc = (1/1.67)*(1-P/(0.60*Fy*Atg))*min{ [0.62*pi*29000*tw^2*fd] / (c*ho), Fy}","(1/1.67)*Fy*Q*(1-P/(0.60*Fy*Atg))")</f>
        <v>Fbc = (1/1.67)*(1-P/(0.60*Fy*Atg))*min{ [0.62*pi*29000*tw^2*fd] / (c*ho), Fy}</v>
      </c>
      <c r="AF358" s="405" t="s">
        <v>1202</v>
      </c>
      <c r="AG358" s="406">
        <v>2.39</v>
      </c>
      <c r="AH358" s="407">
        <v>6</v>
      </c>
      <c r="AI358" s="408">
        <v>0.2</v>
      </c>
      <c r="AJ358" s="407">
        <v>1.92</v>
      </c>
      <c r="AK358" s="408">
        <v>0.343</v>
      </c>
      <c r="AL358" s="432">
        <v>0.813</v>
      </c>
    </row>
    <row r="359" spans="13:38" ht="12.75">
      <c r="M359" s="33" t="s">
        <v>104</v>
      </c>
      <c r="N359" s="61" t="str">
        <f>IF(AND($D$29&gt;0,$D$30&gt;0,$D$31&gt;0),$N$358*$N$351/$N$348,"N.A.")</f>
        <v>N.A.</v>
      </c>
      <c r="O359" s="31" t="s">
        <v>237</v>
      </c>
      <c r="P359" s="38" t="s">
        <v>502</v>
      </c>
      <c r="AF359" s="405" t="s">
        <v>1203</v>
      </c>
      <c r="AG359" s="406">
        <v>2.64</v>
      </c>
      <c r="AH359" s="407">
        <v>5</v>
      </c>
      <c r="AI359" s="408">
        <v>0.325</v>
      </c>
      <c r="AJ359" s="407">
        <v>1.89</v>
      </c>
      <c r="AK359" s="408">
        <v>0.32</v>
      </c>
      <c r="AL359" s="432">
        <v>0.75</v>
      </c>
    </row>
    <row r="360" spans="13:38" ht="12.75">
      <c r="M360" s="160" t="s">
        <v>184</v>
      </c>
      <c r="O360" s="34"/>
      <c r="V360" s="43"/>
      <c r="AF360" s="405" t="s">
        <v>1204</v>
      </c>
      <c r="AG360" s="406">
        <v>1.97</v>
      </c>
      <c r="AH360" s="407">
        <v>5</v>
      </c>
      <c r="AI360" s="408">
        <v>0.19</v>
      </c>
      <c r="AJ360" s="407">
        <v>1.75</v>
      </c>
      <c r="AK360" s="408">
        <v>0.32</v>
      </c>
      <c r="AL360" s="432">
        <v>0.75</v>
      </c>
    </row>
    <row r="361" spans="13:38" ht="12.75">
      <c r="M361" s="38" t="s">
        <v>644</v>
      </c>
      <c r="V361" s="41"/>
      <c r="AF361" s="405" t="s">
        <v>1205</v>
      </c>
      <c r="AG361" s="406">
        <v>2.13</v>
      </c>
      <c r="AH361" s="407">
        <v>4</v>
      </c>
      <c r="AI361" s="408">
        <v>0.321</v>
      </c>
      <c r="AJ361" s="407">
        <v>1.72</v>
      </c>
      <c r="AK361" s="408">
        <v>0.296</v>
      </c>
      <c r="AL361" s="432">
        <v>0.75</v>
      </c>
    </row>
    <row r="362" spans="13:38" ht="12.75">
      <c r="M362" s="74" t="s">
        <v>51</v>
      </c>
      <c r="N362" s="43">
        <f>$N$10</f>
        <v>7.125016348901795</v>
      </c>
      <c r="O362" s="31" t="s">
        <v>269</v>
      </c>
      <c r="P362" s="115" t="s">
        <v>53</v>
      </c>
      <c r="Q362" s="365"/>
      <c r="AF362" s="405" t="s">
        <v>1206</v>
      </c>
      <c r="AG362" s="406">
        <v>1.58</v>
      </c>
      <c r="AH362" s="407">
        <v>4</v>
      </c>
      <c r="AI362" s="408">
        <v>0.184</v>
      </c>
      <c r="AJ362" s="407">
        <v>1.58</v>
      </c>
      <c r="AK362" s="408">
        <v>0.296</v>
      </c>
      <c r="AL362" s="432">
        <v>0.75</v>
      </c>
    </row>
    <row r="363" spans="13:38" ht="12.75">
      <c r="M363" s="33" t="s">
        <v>427</v>
      </c>
      <c r="N363" s="61">
        <f>$N$11</f>
        <v>82.77323612608444</v>
      </c>
      <c r="O363" s="38" t="s">
        <v>237</v>
      </c>
      <c r="P363" s="48" t="s">
        <v>642</v>
      </c>
      <c r="Q363" s="9"/>
      <c r="R363" s="9"/>
      <c r="AF363" s="405" t="s">
        <v>1207</v>
      </c>
      <c r="AG363" s="406">
        <v>1.38</v>
      </c>
      <c r="AH363" s="407">
        <v>4</v>
      </c>
      <c r="AI363" s="408">
        <v>0.125</v>
      </c>
      <c r="AJ363" s="407">
        <v>1.58</v>
      </c>
      <c r="AK363" s="408">
        <v>0.296</v>
      </c>
      <c r="AL363" s="432">
        <v>0.75</v>
      </c>
    </row>
    <row r="364" spans="13:38" ht="12.75">
      <c r="M364" s="33" t="s">
        <v>625</v>
      </c>
      <c r="N364" s="43">
        <f>3.09*16*$D$25/$N$7</f>
        <v>0.23769230769230767</v>
      </c>
      <c r="O364" s="29" t="s">
        <v>268</v>
      </c>
      <c r="P364" s="29" t="s">
        <v>647</v>
      </c>
      <c r="W364" s="38"/>
      <c r="AF364" s="405" t="s">
        <v>1208</v>
      </c>
      <c r="AG364" s="406">
        <v>1.76</v>
      </c>
      <c r="AH364" s="407">
        <v>3</v>
      </c>
      <c r="AI364" s="408">
        <v>0.356</v>
      </c>
      <c r="AJ364" s="407">
        <v>1.6</v>
      </c>
      <c r="AK364" s="408">
        <v>0.273</v>
      </c>
      <c r="AL364" s="432">
        <v>0.688</v>
      </c>
    </row>
    <row r="365" spans="13:38" ht="12.75">
      <c r="M365" s="33" t="s">
        <v>648</v>
      </c>
      <c r="N365" s="34" t="str">
        <f>IF($N$364&gt;$D$46,"Yes","No")</f>
        <v>No</v>
      </c>
      <c r="P365" s="29" t="s">
        <v>649</v>
      </c>
      <c r="W365" s="31"/>
      <c r="AF365" s="405" t="s">
        <v>1209</v>
      </c>
      <c r="AG365" s="406">
        <v>1.47</v>
      </c>
      <c r="AH365" s="407">
        <v>3</v>
      </c>
      <c r="AI365" s="408">
        <v>0.258</v>
      </c>
      <c r="AJ365" s="407">
        <v>1.5</v>
      </c>
      <c r="AK365" s="408">
        <v>0.273</v>
      </c>
      <c r="AL365" s="432">
        <v>0.688</v>
      </c>
    </row>
    <row r="366" spans="13:38" ht="12.75">
      <c r="M366" s="33" t="s">
        <v>624</v>
      </c>
      <c r="N366" s="61">
        <f>IF($N$365="No",$N$11,$N$11*$D$46/$N$364)</f>
        <v>82.77323612608444</v>
      </c>
      <c r="O366" s="31" t="s">
        <v>237</v>
      </c>
      <c r="P366" s="155" t="str">
        <f>IF($N$365="No","Rwr' = Rwr, tmin &lt; twg, no reduction in strength is needed","Rwr' = Rwr*twg/tmin")</f>
        <v>Rwr' = Rwr, tmin &lt; twg, no reduction in strength is needed</v>
      </c>
      <c r="Q366" s="38"/>
      <c r="AF366" s="405" t="s">
        <v>1210</v>
      </c>
      <c r="AG366" s="406">
        <v>1.2</v>
      </c>
      <c r="AH366" s="407">
        <v>3</v>
      </c>
      <c r="AI366" s="408">
        <v>0.17</v>
      </c>
      <c r="AJ366" s="407">
        <v>1.41</v>
      </c>
      <c r="AK366" s="408">
        <v>0.273</v>
      </c>
      <c r="AL366" s="432">
        <v>0.688</v>
      </c>
    </row>
    <row r="367" spans="13:38" ht="12.75">
      <c r="M367" s="33" t="s">
        <v>428</v>
      </c>
      <c r="N367" s="41">
        <f>$N$366*COS($N$362*PI()/180)</f>
        <v>82.13405099191012</v>
      </c>
      <c r="O367" s="31" t="s">
        <v>237</v>
      </c>
      <c r="P367" s="92" t="s">
        <v>635</v>
      </c>
      <c r="R367" s="9"/>
      <c r="AF367" s="414" t="s">
        <v>1211</v>
      </c>
      <c r="AG367" s="433">
        <v>1.09</v>
      </c>
      <c r="AH367" s="416">
        <v>3</v>
      </c>
      <c r="AI367" s="417">
        <v>0.132</v>
      </c>
      <c r="AJ367" s="416">
        <v>1.37</v>
      </c>
      <c r="AK367" s="417">
        <v>0.273</v>
      </c>
      <c r="AL367" s="434">
        <v>0.688</v>
      </c>
    </row>
    <row r="368" spans="13:38" ht="12.75">
      <c r="M368" s="33" t="s">
        <v>429</v>
      </c>
      <c r="N368" s="61">
        <f>$N$366*SIN($N$362*PI()/180)</f>
        <v>10.26675637398876</v>
      </c>
      <c r="O368" s="31" t="s">
        <v>237</v>
      </c>
      <c r="P368" s="92" t="s">
        <v>636</v>
      </c>
      <c r="V368" s="106"/>
      <c r="AF368" s="405" t="s">
        <v>1212</v>
      </c>
      <c r="AG368" s="406">
        <v>17.1</v>
      </c>
      <c r="AH368" s="407">
        <v>18</v>
      </c>
      <c r="AI368" s="408">
        <v>0.7</v>
      </c>
      <c r="AJ368" s="407">
        <v>4.2</v>
      </c>
      <c r="AK368" s="408">
        <v>0.625</v>
      </c>
      <c r="AL368" s="432">
        <v>1.44</v>
      </c>
    </row>
    <row r="369" spans="13:38" ht="12.75">
      <c r="M369" s="29" t="s">
        <v>185</v>
      </c>
      <c r="O369" s="34"/>
      <c r="P369" s="48" t="s">
        <v>571</v>
      </c>
      <c r="AF369" s="405" t="s">
        <v>1213</v>
      </c>
      <c r="AG369" s="406">
        <v>15.3</v>
      </c>
      <c r="AH369" s="407">
        <v>18</v>
      </c>
      <c r="AI369" s="408">
        <v>0.6</v>
      </c>
      <c r="AJ369" s="407">
        <v>4.1</v>
      </c>
      <c r="AK369" s="408">
        <v>0.625</v>
      </c>
      <c r="AL369" s="432">
        <v>1.44</v>
      </c>
    </row>
    <row r="370" spans="13:38" ht="12.75">
      <c r="M370" s="33" t="s">
        <v>188</v>
      </c>
      <c r="N370" s="71" t="str">
        <f>IF($D$17&gt;0,IF($D$34="Yes",$D$46+$D$32*($D$33/$D$13),"N.A."),"N.A.")</f>
        <v>N.A.</v>
      </c>
      <c r="O370" s="31" t="s">
        <v>268</v>
      </c>
      <c r="P370" s="31" t="s">
        <v>189</v>
      </c>
      <c r="AF370" s="405" t="s">
        <v>1214</v>
      </c>
      <c r="AG370" s="406">
        <v>13.5</v>
      </c>
      <c r="AH370" s="407">
        <v>18</v>
      </c>
      <c r="AI370" s="408">
        <v>0.5</v>
      </c>
      <c r="AJ370" s="407">
        <v>4</v>
      </c>
      <c r="AK370" s="408">
        <v>0.625</v>
      </c>
      <c r="AL370" s="432">
        <v>1.44</v>
      </c>
    </row>
    <row r="371" spans="13:38" ht="12.75">
      <c r="M371" s="33" t="s">
        <v>554</v>
      </c>
      <c r="N371" s="71" t="str">
        <f>IF($D$17&gt;0,IF($D$34="Yes",0.25*$D$13*$N$370^2,"N.A."),"N.A.")</f>
        <v>N.A.</v>
      </c>
      <c r="O371" s="31" t="s">
        <v>237</v>
      </c>
      <c r="P371" s="29" t="s">
        <v>575</v>
      </c>
      <c r="AF371" s="405" t="s">
        <v>1215</v>
      </c>
      <c r="AG371" s="406">
        <v>12.6</v>
      </c>
      <c r="AH371" s="407">
        <v>18</v>
      </c>
      <c r="AI371" s="408">
        <v>0.45</v>
      </c>
      <c r="AJ371" s="407">
        <v>3.95</v>
      </c>
      <c r="AK371" s="408">
        <v>0.625</v>
      </c>
      <c r="AL371" s="432">
        <v>1.44</v>
      </c>
    </row>
    <row r="372" spans="13:38" ht="12.75">
      <c r="M372" s="33" t="s">
        <v>572</v>
      </c>
      <c r="N372" s="71" t="str">
        <f>IF($D$17&gt;0,IF($D$34="Yes",$D$45-2*$D$49,"N.A."),"N.A.")</f>
        <v>N.A.</v>
      </c>
      <c r="O372" s="31" t="s">
        <v>268</v>
      </c>
      <c r="P372" s="29" t="s">
        <v>583</v>
      </c>
      <c r="W372" s="106"/>
      <c r="AF372" s="405" t="s">
        <v>1216</v>
      </c>
      <c r="AG372" s="406">
        <v>14.7</v>
      </c>
      <c r="AH372" s="407">
        <v>13</v>
      </c>
      <c r="AI372" s="408">
        <v>0.787</v>
      </c>
      <c r="AJ372" s="407">
        <v>4.41</v>
      </c>
      <c r="AK372" s="408">
        <v>0.61</v>
      </c>
      <c r="AL372" s="432">
        <v>1.44</v>
      </c>
    </row>
    <row r="373" spans="13:38" ht="12.75">
      <c r="M373" s="50" t="s">
        <v>1032</v>
      </c>
      <c r="N373" s="71" t="str">
        <f>IF($D$17&gt;0,IF($D$34="Yes",$D$27-$D$49,"N.A."),"N.A.")</f>
        <v>N.A.</v>
      </c>
      <c r="O373" s="31" t="s">
        <v>268</v>
      </c>
      <c r="P373" s="31" t="s">
        <v>573</v>
      </c>
      <c r="W373" s="38"/>
      <c r="AF373" s="405" t="s">
        <v>1217</v>
      </c>
      <c r="AG373" s="406">
        <v>11.8</v>
      </c>
      <c r="AH373" s="407">
        <v>13</v>
      </c>
      <c r="AI373" s="408">
        <v>0.56</v>
      </c>
      <c r="AJ373" s="407">
        <v>4.19</v>
      </c>
      <c r="AK373" s="408">
        <v>0.61</v>
      </c>
      <c r="AL373" s="432">
        <v>1.44</v>
      </c>
    </row>
    <row r="374" spans="13:38" ht="12.75">
      <c r="M374" s="50" t="s">
        <v>1031</v>
      </c>
      <c r="N374" s="71" t="str">
        <f>IF($D$17&gt;0,IF($D$34="Yes",$N$372-($N$373+$N$375),"N.A."),"N.A.")</f>
        <v>N.A.</v>
      </c>
      <c r="O374" s="31" t="s">
        <v>268</v>
      </c>
      <c r="P374" s="31" t="s">
        <v>574</v>
      </c>
      <c r="W374" s="38"/>
      <c r="X374" s="31"/>
      <c r="AF374" s="405" t="s">
        <v>1218</v>
      </c>
      <c r="AG374" s="406">
        <v>10.3</v>
      </c>
      <c r="AH374" s="407">
        <v>13</v>
      </c>
      <c r="AI374" s="408">
        <v>0.447</v>
      </c>
      <c r="AJ374" s="407">
        <v>4.07</v>
      </c>
      <c r="AK374" s="408">
        <v>0.61</v>
      </c>
      <c r="AL374" s="432">
        <v>1.44</v>
      </c>
    </row>
    <row r="375" spans="13:38" ht="12.75">
      <c r="M375" s="50" t="s">
        <v>568</v>
      </c>
      <c r="N375" s="71" t="str">
        <f>IF($D$17&gt;0,IF($D$34="Yes",$D$26,"N.A."),"N.A.")</f>
        <v>N.A.</v>
      </c>
      <c r="O375" s="31" t="s">
        <v>268</v>
      </c>
      <c r="P375" s="31" t="s">
        <v>610</v>
      </c>
      <c r="X375" s="31"/>
      <c r="AF375" s="405" t="s">
        <v>1219</v>
      </c>
      <c r="AG375" s="406">
        <v>9.35</v>
      </c>
      <c r="AH375" s="407">
        <v>13</v>
      </c>
      <c r="AI375" s="408">
        <v>0.375</v>
      </c>
      <c r="AJ375" s="407">
        <v>4</v>
      </c>
      <c r="AK375" s="408">
        <v>0.61</v>
      </c>
      <c r="AL375" s="432">
        <v>1.44</v>
      </c>
    </row>
    <row r="376" spans="13:38" ht="12.75">
      <c r="M376" s="33" t="s">
        <v>401</v>
      </c>
      <c r="N376" s="71" t="str">
        <f>IF($D$17&gt;0,IF($D$34="Yes",5.5,"N.A."),"N.A.")</f>
        <v>N.A.</v>
      </c>
      <c r="O376" s="31" t="s">
        <v>268</v>
      </c>
      <c r="P376" s="31" t="s">
        <v>514</v>
      </c>
      <c r="X376" s="38"/>
      <c r="AF376" s="405" t="s">
        <v>1220</v>
      </c>
      <c r="AG376" s="406">
        <v>14.7</v>
      </c>
      <c r="AH376" s="407">
        <v>12</v>
      </c>
      <c r="AI376" s="408">
        <v>0.835</v>
      </c>
      <c r="AJ376" s="407">
        <v>4.14</v>
      </c>
      <c r="AK376" s="408">
        <v>0.7</v>
      </c>
      <c r="AL376" s="432">
        <v>1.31</v>
      </c>
    </row>
    <row r="377" spans="13:38" ht="12.75">
      <c r="M377" s="74" t="s">
        <v>563</v>
      </c>
      <c r="N377" s="41" t="str">
        <f>IF($D$17&gt;0,IF($D$34="Yes",0.9,"N.A."),"N.A.")</f>
        <v>N.A.</v>
      </c>
      <c r="O377" s="31"/>
      <c r="P377" s="75" t="s">
        <v>564</v>
      </c>
      <c r="R377" s="75"/>
      <c r="AF377" s="405" t="s">
        <v>1221</v>
      </c>
      <c r="AG377" s="406">
        <v>13.2</v>
      </c>
      <c r="AH377" s="407">
        <v>12</v>
      </c>
      <c r="AI377" s="408">
        <v>0.71</v>
      </c>
      <c r="AJ377" s="407">
        <v>4.01</v>
      </c>
      <c r="AK377" s="408">
        <v>0.7</v>
      </c>
      <c r="AL377" s="432">
        <v>1.31</v>
      </c>
    </row>
    <row r="378" spans="13:38" ht="12.75">
      <c r="M378" s="74" t="s">
        <v>565</v>
      </c>
      <c r="N378" s="41" t="str">
        <f>IF($D$17&gt;0,IF($D$34="Yes",$N$377*2*$N$371*(((2*SQRT(2*$N$372*$N$373*$N$374/($N$373+$N$374))+$N$376/2)*($N$373+$N$374))/($N$373*$N$374)),"N.A."),"N.A.")</f>
        <v>N.A.</v>
      </c>
      <c r="O378" s="31" t="s">
        <v>237</v>
      </c>
      <c r="P378" s="75" t="s">
        <v>582</v>
      </c>
      <c r="X378" s="31"/>
      <c r="AF378" s="405" t="s">
        <v>1222</v>
      </c>
      <c r="AG378" s="406">
        <v>11.8</v>
      </c>
      <c r="AH378" s="407">
        <v>12</v>
      </c>
      <c r="AI378" s="408">
        <v>0.59</v>
      </c>
      <c r="AJ378" s="407">
        <v>3.89</v>
      </c>
      <c r="AK378" s="408">
        <v>0.7</v>
      </c>
      <c r="AL378" s="432">
        <v>1.31</v>
      </c>
    </row>
    <row r="379" spans="13:38" ht="12.75">
      <c r="M379" s="50" t="s">
        <v>557</v>
      </c>
      <c r="N379" s="61" t="str">
        <f>IF($D$17&gt;0,IF($D$34="Yes",$N$378/1.5,"N.A."),"N.A.")</f>
        <v>N.A.</v>
      </c>
      <c r="O379" s="31" t="s">
        <v>237</v>
      </c>
      <c r="P379" s="38" t="s">
        <v>567</v>
      </c>
      <c r="X379" s="38"/>
      <c r="AF379" s="405" t="s">
        <v>1223</v>
      </c>
      <c r="AG379" s="406">
        <v>10.3</v>
      </c>
      <c r="AH379" s="407">
        <v>12</v>
      </c>
      <c r="AI379" s="408">
        <v>0.465</v>
      </c>
      <c r="AJ379" s="407">
        <v>3.77</v>
      </c>
      <c r="AK379" s="408">
        <v>0.7</v>
      </c>
      <c r="AL379" s="432">
        <v>1.31</v>
      </c>
    </row>
    <row r="380" spans="13:38" ht="12.75">
      <c r="M380" s="57" t="s">
        <v>186</v>
      </c>
      <c r="N380" s="57"/>
      <c r="O380" s="57"/>
      <c r="P380" s="38"/>
      <c r="X380" s="38"/>
      <c r="AF380" s="405" t="s">
        <v>1224</v>
      </c>
      <c r="AG380" s="406">
        <v>9.12</v>
      </c>
      <c r="AH380" s="407">
        <v>12</v>
      </c>
      <c r="AI380" s="408">
        <v>0.37</v>
      </c>
      <c r="AJ380" s="407">
        <v>3.67</v>
      </c>
      <c r="AK380" s="408">
        <v>0.7</v>
      </c>
      <c r="AL380" s="432">
        <v>1.31</v>
      </c>
    </row>
    <row r="381" spans="13:38" ht="12.75">
      <c r="M381" s="33" t="s">
        <v>188</v>
      </c>
      <c r="N381" s="71" t="str">
        <f>IF($D$17&gt;0,IF($D$34="Yes",$D$46+$D$32*($D$33/$D$13),"N.A."),"N.A.")</f>
        <v>N.A.</v>
      </c>
      <c r="O381" s="31" t="s">
        <v>268</v>
      </c>
      <c r="P381" s="31" t="s">
        <v>189</v>
      </c>
      <c r="AF381" s="405" t="s">
        <v>1225</v>
      </c>
      <c r="AG381" s="406">
        <v>3.1</v>
      </c>
      <c r="AH381" s="407">
        <v>12</v>
      </c>
      <c r="AI381" s="408">
        <v>0.19</v>
      </c>
      <c r="AJ381" s="407">
        <v>1.5</v>
      </c>
      <c r="AK381" s="408">
        <v>0.309</v>
      </c>
      <c r="AL381" s="432">
        <v>0.75</v>
      </c>
    </row>
    <row r="382" spans="13:38" ht="12.75">
      <c r="M382" s="50" t="s">
        <v>487</v>
      </c>
      <c r="N382" s="61" t="str">
        <f>IF($D$17&gt;0,IF($D$34="Yes",MAX($N$401,$N$403,$N$405,$N$407,$N$409,$N$411,$N$413,$N$415,$N$417,$N$419,$N$421,$N$423),"N.A."),"N.A.")</f>
        <v>N.A.</v>
      </c>
      <c r="O382" s="31" t="s">
        <v>237</v>
      </c>
      <c r="P382" s="57">
        <f>LOOKUP($N$382,$N$401:$N$423,$P$401:$P$423)</f>
      </c>
      <c r="AF382" s="405" t="s">
        <v>1226</v>
      </c>
      <c r="AG382" s="406">
        <v>12.1</v>
      </c>
      <c r="AH382" s="407">
        <v>10</v>
      </c>
      <c r="AI382" s="408">
        <v>0.796</v>
      </c>
      <c r="AJ382" s="407">
        <v>4.32</v>
      </c>
      <c r="AK382" s="408">
        <v>0.575</v>
      </c>
      <c r="AL382" s="432">
        <v>1.31</v>
      </c>
    </row>
    <row r="383" spans="13:38" ht="12.75">
      <c r="M383" s="50" t="s">
        <v>232</v>
      </c>
      <c r="N383" s="61" t="str">
        <f>IF($D$17&gt;0,IF($D$34="Yes",$N$382/($N$381*(5.5-0.875)),"N.A."),"N.A.")</f>
        <v>N.A.</v>
      </c>
      <c r="O383" s="38" t="s">
        <v>245</v>
      </c>
      <c r="P383" s="38" t="s">
        <v>488</v>
      </c>
      <c r="AF383" s="405" t="s">
        <v>1227</v>
      </c>
      <c r="AG383" s="406">
        <v>9.87</v>
      </c>
      <c r="AH383" s="407">
        <v>10</v>
      </c>
      <c r="AI383" s="408">
        <v>0.575</v>
      </c>
      <c r="AJ383" s="407">
        <v>4.1</v>
      </c>
      <c r="AK383" s="408">
        <v>0.575</v>
      </c>
      <c r="AL383" s="432">
        <v>1.31</v>
      </c>
    </row>
    <row r="384" spans="13:38" ht="12.75">
      <c r="M384" s="50" t="s">
        <v>247</v>
      </c>
      <c r="N384" s="61" t="str">
        <f>IF($D$17&gt;0,IF($D$34="Yes",0.4*$D$13,"N.A."),"N.A.")</f>
        <v>N.A.</v>
      </c>
      <c r="O384" s="38" t="s">
        <v>245</v>
      </c>
      <c r="P384" s="38" t="s">
        <v>315</v>
      </c>
      <c r="T384" s="127"/>
      <c r="AF384" s="405" t="s">
        <v>1228</v>
      </c>
      <c r="AG384" s="406">
        <v>8.37</v>
      </c>
      <c r="AH384" s="407">
        <v>10</v>
      </c>
      <c r="AI384" s="408">
        <v>0.425</v>
      </c>
      <c r="AJ384" s="407">
        <v>3.95</v>
      </c>
      <c r="AK384" s="408">
        <v>0.575</v>
      </c>
      <c r="AL384" s="432">
        <v>1.31</v>
      </c>
    </row>
    <row r="385" spans="13:38" ht="12.75">
      <c r="M385" s="29" t="s">
        <v>187</v>
      </c>
      <c r="O385" s="57"/>
      <c r="P385" s="31"/>
      <c r="T385" s="127"/>
      <c r="AF385" s="405" t="s">
        <v>1229</v>
      </c>
      <c r="AG385" s="406">
        <v>7.35</v>
      </c>
      <c r="AH385" s="407">
        <v>10</v>
      </c>
      <c r="AI385" s="408">
        <v>0.38</v>
      </c>
      <c r="AJ385" s="407">
        <v>3.41</v>
      </c>
      <c r="AK385" s="408">
        <v>0.575</v>
      </c>
      <c r="AL385" s="432">
        <v>1.31</v>
      </c>
    </row>
    <row r="386" spans="13:38" ht="12.75">
      <c r="M386" s="33" t="s">
        <v>129</v>
      </c>
      <c r="N386" s="61" t="str">
        <f>IF($D$17&gt;0,IF($D$34="Yes",IF($D$32&gt;0,2*$D$26,"N.A."),"N.A."),"N.A.")</f>
        <v>N.A.</v>
      </c>
      <c r="O386" s="38" t="s">
        <v>268</v>
      </c>
      <c r="P386" s="38" t="s">
        <v>611</v>
      </c>
      <c r="T386" s="127"/>
      <c r="AF386" s="405" t="s">
        <v>1230</v>
      </c>
      <c r="AG386" s="406">
        <v>6.45</v>
      </c>
      <c r="AH386" s="407">
        <v>10</v>
      </c>
      <c r="AI386" s="408">
        <v>0.29</v>
      </c>
      <c r="AJ386" s="407">
        <v>3.32</v>
      </c>
      <c r="AK386" s="408">
        <v>0.575</v>
      </c>
      <c r="AL386" s="432">
        <v>1.31</v>
      </c>
    </row>
    <row r="387" spans="13:38" ht="12.75">
      <c r="M387" s="33" t="s">
        <v>119</v>
      </c>
      <c r="N387" s="43" t="str">
        <f>IF($D$17&gt;0,IF($D$34="Yes",IF($D$32&gt;0,$D$17/$N$386,"N.A."),"N.A."),"N.A.")</f>
        <v>N.A.</v>
      </c>
      <c r="O387" s="38" t="s">
        <v>120</v>
      </c>
      <c r="P387" s="38" t="s">
        <v>162</v>
      </c>
      <c r="T387" s="127"/>
      <c r="AF387" s="405" t="s">
        <v>1231</v>
      </c>
      <c r="AG387" s="406">
        <v>2.46</v>
      </c>
      <c r="AH387" s="407">
        <v>10</v>
      </c>
      <c r="AI387" s="408">
        <v>0.17</v>
      </c>
      <c r="AJ387" s="407">
        <v>1.5</v>
      </c>
      <c r="AK387" s="408">
        <v>0.28</v>
      </c>
      <c r="AL387" s="432">
        <v>0.75</v>
      </c>
    </row>
    <row r="388" spans="13:38" ht="12.75">
      <c r="M388" s="74" t="s">
        <v>40</v>
      </c>
      <c r="N388" s="43" t="str">
        <f>IF($D$17&gt;0,IF($D$34="Yes",IF($D$32&gt;0,$N$387/((SQRT(2)/2)*0.3*70),"N.A."),"N.A."),"N.A.")</f>
        <v>N.A.</v>
      </c>
      <c r="O388" s="38" t="s">
        <v>393</v>
      </c>
      <c r="P388" s="75" t="s">
        <v>41</v>
      </c>
      <c r="AF388" s="405" t="s">
        <v>1232</v>
      </c>
      <c r="AG388" s="406">
        <v>1.95</v>
      </c>
      <c r="AH388" s="407">
        <v>10</v>
      </c>
      <c r="AI388" s="408">
        <v>0.152</v>
      </c>
      <c r="AJ388" s="407">
        <v>1.17</v>
      </c>
      <c r="AK388" s="408">
        <v>0.202</v>
      </c>
      <c r="AL388" s="432">
        <v>0.563</v>
      </c>
    </row>
    <row r="389" spans="13:38" ht="12.75">
      <c r="M389" s="74" t="s">
        <v>255</v>
      </c>
      <c r="N389" s="43" t="str">
        <f>IF($D$17&gt;0,IF($D$34="Yes",IF($D$32&gt;0,MIN(0.4*$D$33*$D$32/((SQRT(2)/2)*0.3*70),0.4*$D$13*$D$48/((SQRT(2)/2)*0.3*70)),"N.A."),"N.A."),"N.A.")</f>
        <v>N.A.</v>
      </c>
      <c r="O389" s="38" t="s">
        <v>393</v>
      </c>
      <c r="P389" s="75" t="s">
        <v>255</v>
      </c>
      <c r="Q389" s="38" t="str">
        <f>IF(0.4*$D$33*$D$32/((SQRT(2)/2)*0.3*70)&lt;=0.4*$D$13*$D$48/((SQRT(2)/2)*0.3*70),"0.40*Fyd*td/((SQRT(2)/2)*0.30*70)","0.40*Fyg*tfg/((SQRT(2)/2)*0.30*70)")</f>
        <v>0.40*Fyd*td/((SQRT(2)/2)*0.30*70)</v>
      </c>
      <c r="AF389" s="405" t="s">
        <v>1233</v>
      </c>
      <c r="AG389" s="406">
        <v>7.47</v>
      </c>
      <c r="AH389" s="407">
        <v>9</v>
      </c>
      <c r="AI389" s="408">
        <v>0.45</v>
      </c>
      <c r="AJ389" s="407">
        <v>3.5</v>
      </c>
      <c r="AK389" s="408">
        <v>0.55</v>
      </c>
      <c r="AL389" s="432">
        <v>1.25</v>
      </c>
    </row>
    <row r="390" spans="12:38" ht="12.75">
      <c r="L390" s="370" t="s">
        <v>569</v>
      </c>
      <c r="M390" s="365" t="s">
        <v>185</v>
      </c>
      <c r="N390" s="365"/>
      <c r="O390" s="365"/>
      <c r="P390" s="367"/>
      <c r="V390" s="31"/>
      <c r="AD390" s="9"/>
      <c r="AF390" s="405" t="s">
        <v>1234</v>
      </c>
      <c r="AG390" s="406">
        <v>7.02</v>
      </c>
      <c r="AH390" s="407">
        <v>9</v>
      </c>
      <c r="AI390" s="408">
        <v>0.4</v>
      </c>
      <c r="AJ390" s="407">
        <v>3.45</v>
      </c>
      <c r="AK390" s="408">
        <v>0.55</v>
      </c>
      <c r="AL390" s="432">
        <v>1.25</v>
      </c>
    </row>
    <row r="391" spans="13:38" ht="12.75">
      <c r="M391" s="33" t="s">
        <v>346</v>
      </c>
      <c r="N391" s="575">
        <f>1+FLOOR(($D$26-3)/3,1)</f>
        <v>4</v>
      </c>
      <c r="P391" s="29" t="s">
        <v>561</v>
      </c>
      <c r="T391" s="575"/>
      <c r="AF391" s="405" t="s">
        <v>1235</v>
      </c>
      <c r="AG391" s="406">
        <v>6.7</v>
      </c>
      <c r="AH391" s="407">
        <v>8</v>
      </c>
      <c r="AI391" s="408">
        <v>0.427</v>
      </c>
      <c r="AJ391" s="407">
        <v>3.5</v>
      </c>
      <c r="AK391" s="408">
        <v>0.525</v>
      </c>
      <c r="AL391" s="432">
        <v>1.19</v>
      </c>
    </row>
    <row r="392" spans="12:38" ht="12.75">
      <c r="L392" s="575"/>
      <c r="M392" s="33" t="s">
        <v>612</v>
      </c>
      <c r="N392" s="575">
        <v>3</v>
      </c>
      <c r="O392" s="38" t="s">
        <v>268</v>
      </c>
      <c r="AF392" s="405" t="s">
        <v>1236</v>
      </c>
      <c r="AG392" s="406">
        <v>6.28</v>
      </c>
      <c r="AH392" s="407">
        <v>8</v>
      </c>
      <c r="AI392" s="408">
        <v>0.375</v>
      </c>
      <c r="AJ392" s="407">
        <v>3.45</v>
      </c>
      <c r="AK392" s="408">
        <v>0.525</v>
      </c>
      <c r="AL392" s="432">
        <v>1.19</v>
      </c>
    </row>
    <row r="393" spans="13:38" ht="12.75">
      <c r="M393" s="364" t="s">
        <v>188</v>
      </c>
      <c r="N393" s="363" t="str">
        <f>IF($D$17&gt;0,IF($D$34="Yes",$D$46+$D$32*($D$33/$D$13),"N.A."),"N.A.")</f>
        <v>N.A.</v>
      </c>
      <c r="O393" s="367" t="s">
        <v>268</v>
      </c>
      <c r="P393" s="367" t="s">
        <v>189</v>
      </c>
      <c r="V393" s="31"/>
      <c r="AD393" s="9"/>
      <c r="AF393" s="405" t="s">
        <v>1237</v>
      </c>
      <c r="AG393" s="406">
        <v>5.88</v>
      </c>
      <c r="AH393" s="407">
        <v>8</v>
      </c>
      <c r="AI393" s="408">
        <v>0.4</v>
      </c>
      <c r="AJ393" s="407">
        <v>3.03</v>
      </c>
      <c r="AK393" s="408">
        <v>0.5</v>
      </c>
      <c r="AL393" s="432">
        <v>1.13</v>
      </c>
    </row>
    <row r="394" spans="13:38" ht="12.75">
      <c r="M394" s="364" t="s">
        <v>158</v>
      </c>
      <c r="N394" s="360" t="str">
        <f>IF($D$17&gt;0,IF($D$34="Yes",MAX($N$402,$N$404,$N$406,$N$408,$N$410,$N$412,$N$414,$N$416,$N$418,$N$420,$N$422,$N$424),"N.A."),"N.A.")</f>
        <v>N.A.</v>
      </c>
      <c r="O394" s="367" t="s">
        <v>117</v>
      </c>
      <c r="P394" s="365">
        <f>LOOKUP($N$394,$N$402:$N$424,$P$402:$P$424)</f>
      </c>
      <c r="V394" s="31"/>
      <c r="AD394" s="9"/>
      <c r="AE394" s="127"/>
      <c r="AF394" s="405" t="s">
        <v>1238</v>
      </c>
      <c r="AG394" s="406">
        <v>5.5</v>
      </c>
      <c r="AH394" s="407">
        <v>8</v>
      </c>
      <c r="AI394" s="408">
        <v>0.353</v>
      </c>
      <c r="AJ394" s="407">
        <v>2.98</v>
      </c>
      <c r="AK394" s="408">
        <v>0.5</v>
      </c>
      <c r="AL394" s="432">
        <v>1.13</v>
      </c>
    </row>
    <row r="395" spans="13:38" ht="12.75">
      <c r="M395" s="364" t="s">
        <v>124</v>
      </c>
      <c r="N395" s="360" t="str">
        <f>IF($D$17&gt;0,IF($D$34="Yes",$N$394/((5.5-0.875)*$N$393^2/6),"N.A."),"N.A.")</f>
        <v>N.A.</v>
      </c>
      <c r="O395" s="367" t="s">
        <v>245</v>
      </c>
      <c r="P395" s="365" t="s">
        <v>489</v>
      </c>
      <c r="V395" s="31"/>
      <c r="AF395" s="405" t="s">
        <v>1239</v>
      </c>
      <c r="AG395" s="406">
        <v>2.5</v>
      </c>
      <c r="AH395" s="407">
        <v>8</v>
      </c>
      <c r="AI395" s="408">
        <v>0.179</v>
      </c>
      <c r="AJ395" s="407">
        <v>1.87</v>
      </c>
      <c r="AK395" s="408">
        <v>0.311</v>
      </c>
      <c r="AL395" s="432">
        <v>0.813</v>
      </c>
    </row>
    <row r="396" spans="13:38" ht="12.75">
      <c r="M396" s="364" t="s">
        <v>159</v>
      </c>
      <c r="N396" s="360" t="str">
        <f>IF($D$17&gt;0,IF($D$34="Yes",0.75*$D$13,"N.A."),"N.A.")</f>
        <v>N.A.</v>
      </c>
      <c r="O396" s="367" t="s">
        <v>245</v>
      </c>
      <c r="P396" s="367" t="s">
        <v>190</v>
      </c>
      <c r="V396" s="31"/>
      <c r="AF396" s="405" t="s">
        <v>1240</v>
      </c>
      <c r="AG396" s="406">
        <v>6.67</v>
      </c>
      <c r="AH396" s="407">
        <v>7</v>
      </c>
      <c r="AI396" s="408">
        <v>0.503</v>
      </c>
      <c r="AJ396" s="407">
        <v>3.6</v>
      </c>
      <c r="AK396" s="408">
        <v>0.5</v>
      </c>
      <c r="AL396" s="432">
        <v>1.13</v>
      </c>
    </row>
    <row r="397" spans="12:38" ht="12.75">
      <c r="L397" s="365"/>
      <c r="M397" s="29" t="s">
        <v>576</v>
      </c>
      <c r="N397" s="365"/>
      <c r="O397" s="366"/>
      <c r="P397" s="365"/>
      <c r="Q397" s="365"/>
      <c r="R397" s="365"/>
      <c r="S397" s="365"/>
      <c r="T397" s="365"/>
      <c r="U397" s="365"/>
      <c r="V397" s="367"/>
      <c r="W397" s="365"/>
      <c r="X397" s="365"/>
      <c r="Y397" s="365"/>
      <c r="Z397" s="365"/>
      <c r="AA397" s="365"/>
      <c r="AB397" s="367"/>
      <c r="AC397" s="365"/>
      <c r="AD397" s="365"/>
      <c r="AE397" s="127"/>
      <c r="AF397" s="405" t="s">
        <v>1241</v>
      </c>
      <c r="AG397" s="406">
        <v>5.61</v>
      </c>
      <c r="AH397" s="407">
        <v>7</v>
      </c>
      <c r="AI397" s="408">
        <v>0.352</v>
      </c>
      <c r="AJ397" s="407">
        <v>3.45</v>
      </c>
      <c r="AK397" s="408">
        <v>0.5</v>
      </c>
      <c r="AL397" s="432">
        <v>1.13</v>
      </c>
    </row>
    <row r="398" spans="12:38" ht="12.75">
      <c r="L398" s="365"/>
      <c r="M398" s="33" t="s">
        <v>1032</v>
      </c>
      <c r="N398" s="71">
        <f>$D$27-$D$49</f>
        <v>2.315</v>
      </c>
      <c r="O398" s="31" t="s">
        <v>268</v>
      </c>
      <c r="P398" s="31" t="s">
        <v>163</v>
      </c>
      <c r="S398" s="365"/>
      <c r="T398" s="367"/>
      <c r="U398" s="365"/>
      <c r="V398" s="367"/>
      <c r="W398" s="365"/>
      <c r="X398" s="365"/>
      <c r="Y398" s="365"/>
      <c r="Z398" s="365"/>
      <c r="AA398" s="365"/>
      <c r="AB398" s="367"/>
      <c r="AC398" s="365"/>
      <c r="AD398" s="365"/>
      <c r="AE398" s="127"/>
      <c r="AF398" s="405" t="s">
        <v>1242</v>
      </c>
      <c r="AG398" s="406">
        <v>5.29</v>
      </c>
      <c r="AH398" s="407">
        <v>6</v>
      </c>
      <c r="AI398" s="408">
        <v>0.379</v>
      </c>
      <c r="AJ398" s="407">
        <v>3.5</v>
      </c>
      <c r="AK398" s="408">
        <v>0.475</v>
      </c>
      <c r="AL398" s="432">
        <v>1.06</v>
      </c>
    </row>
    <row r="399" spans="12:38" ht="12.75">
      <c r="L399" s="365"/>
      <c r="M399" s="33" t="s">
        <v>27</v>
      </c>
      <c r="N399" s="39">
        <f>$D$45-2*$D$49</f>
        <v>11.379999999999999</v>
      </c>
      <c r="O399" s="31" t="s">
        <v>268</v>
      </c>
      <c r="P399" s="31" t="s">
        <v>1035</v>
      </c>
      <c r="S399" s="365"/>
      <c r="T399" s="365"/>
      <c r="U399" s="368" t="s">
        <v>47</v>
      </c>
      <c r="V399" s="369"/>
      <c r="W399" s="369"/>
      <c r="X399" s="369"/>
      <c r="Y399" s="369"/>
      <c r="Z399" s="369"/>
      <c r="AA399" s="369"/>
      <c r="AB399" s="369"/>
      <c r="AC399" s="369"/>
      <c r="AD399" s="369"/>
      <c r="AE399" s="127"/>
      <c r="AF399" s="405" t="s">
        <v>1243</v>
      </c>
      <c r="AG399" s="406">
        <v>4.49</v>
      </c>
      <c r="AH399" s="407">
        <v>6</v>
      </c>
      <c r="AI399" s="408">
        <v>0.34</v>
      </c>
      <c r="AJ399" s="407">
        <v>3.5</v>
      </c>
      <c r="AK399" s="408">
        <v>0.385</v>
      </c>
      <c r="AL399" s="432">
        <v>0.875</v>
      </c>
    </row>
    <row r="400" spans="12:38" ht="12.75">
      <c r="L400" s="365"/>
      <c r="M400" s="33" t="s">
        <v>496</v>
      </c>
      <c r="N400" s="41">
        <f>$D$17/(2*$N$391)</f>
        <v>0.625</v>
      </c>
      <c r="O400" s="31" t="s">
        <v>244</v>
      </c>
      <c r="P400" s="31" t="s">
        <v>493</v>
      </c>
      <c r="S400" s="365"/>
      <c r="T400" s="366">
        <v>1</v>
      </c>
      <c r="U400" s="366">
        <v>2</v>
      </c>
      <c r="V400" s="366">
        <v>3</v>
      </c>
      <c r="W400" s="366">
        <v>4</v>
      </c>
      <c r="X400" s="366">
        <v>5</v>
      </c>
      <c r="Y400" s="366">
        <v>6</v>
      </c>
      <c r="Z400" s="366">
        <v>7</v>
      </c>
      <c r="AA400" s="366">
        <v>8</v>
      </c>
      <c r="AB400" s="366">
        <v>9</v>
      </c>
      <c r="AC400" s="366">
        <v>10</v>
      </c>
      <c r="AD400" s="366">
        <v>11</v>
      </c>
      <c r="AE400" s="366">
        <v>12</v>
      </c>
      <c r="AF400" s="405" t="s">
        <v>1244</v>
      </c>
      <c r="AG400" s="406">
        <v>4.79</v>
      </c>
      <c r="AH400" s="407">
        <v>6</v>
      </c>
      <c r="AI400" s="408">
        <v>0.375</v>
      </c>
      <c r="AJ400" s="407">
        <v>3</v>
      </c>
      <c r="AK400" s="408">
        <v>0.475</v>
      </c>
      <c r="AL400" s="432">
        <v>1.06</v>
      </c>
    </row>
    <row r="401" spans="12:38" ht="12.75">
      <c r="L401" s="33">
        <v>1</v>
      </c>
      <c r="M401" s="33" t="s">
        <v>487</v>
      </c>
      <c r="N401" s="41" t="str">
        <f>IF($N$391=1,1*$N$400-$N$400*(1*$N$398+0*$N$392)/$N$399,"N.A.")</f>
        <v>N.A.</v>
      </c>
      <c r="O401" s="31" t="s">
        <v>237</v>
      </c>
      <c r="P401" s="31">
        <f>IF($N$391=1,"Rw = 1*Pb-Pb*(1*a+0*S)/T","")</f>
      </c>
      <c r="S401" s="366">
        <v>1</v>
      </c>
      <c r="T401" s="367" t="s">
        <v>497</v>
      </c>
      <c r="U401" s="365"/>
      <c r="V401" s="365"/>
      <c r="W401" s="365"/>
      <c r="X401" s="365"/>
      <c r="Y401" s="365"/>
      <c r="Z401" s="365"/>
      <c r="AA401" s="365"/>
      <c r="AB401" s="365"/>
      <c r="AC401" s="365"/>
      <c r="AD401" s="365"/>
      <c r="AE401" s="365"/>
      <c r="AF401" s="405" t="s">
        <v>1245</v>
      </c>
      <c r="AG401" s="406">
        <v>4.44</v>
      </c>
      <c r="AH401" s="407">
        <v>6</v>
      </c>
      <c r="AI401" s="408">
        <v>0.316</v>
      </c>
      <c r="AJ401" s="407">
        <v>2.94</v>
      </c>
      <c r="AK401" s="408">
        <v>0.475</v>
      </c>
      <c r="AL401" s="432">
        <v>1.06</v>
      </c>
    </row>
    <row r="402" spans="12:38" ht="12.75">
      <c r="L402" s="364">
        <v>1</v>
      </c>
      <c r="M402" s="364" t="s">
        <v>158</v>
      </c>
      <c r="N402" s="360" t="str">
        <f>IF($N$391=1,$N$401*$N$398,"N.A.")</f>
        <v>N.A.</v>
      </c>
      <c r="O402" s="367" t="s">
        <v>495</v>
      </c>
      <c r="P402" s="365">
        <f>IF($N$391=1,$T$401,"")</f>
      </c>
      <c r="S402" s="366"/>
      <c r="T402" s="360" t="str">
        <f>IF($N$391=1,$N$401*$N$398,"N.A.")</f>
        <v>N.A.</v>
      </c>
      <c r="U402" s="365"/>
      <c r="V402" s="365"/>
      <c r="W402" s="365"/>
      <c r="X402" s="365"/>
      <c r="Y402" s="365"/>
      <c r="Z402" s="365"/>
      <c r="AA402" s="365"/>
      <c r="AB402" s="365"/>
      <c r="AC402" s="365"/>
      <c r="AD402" s="365"/>
      <c r="AE402" s="365"/>
      <c r="AF402" s="405" t="s">
        <v>1246</v>
      </c>
      <c r="AG402" s="406">
        <v>3.53</v>
      </c>
      <c r="AH402" s="407">
        <v>6</v>
      </c>
      <c r="AI402" s="408">
        <v>0.31</v>
      </c>
      <c r="AJ402" s="407">
        <v>2.5</v>
      </c>
      <c r="AK402" s="408">
        <v>0.375</v>
      </c>
      <c r="AL402" s="432">
        <v>0.875</v>
      </c>
    </row>
    <row r="403" spans="12:38" ht="12.75">
      <c r="L403" s="33">
        <v>2</v>
      </c>
      <c r="M403" s="33" t="s">
        <v>487</v>
      </c>
      <c r="N403" s="41" t="str">
        <f>IF($N$391=2,2*$N$400-$N$400*(2*$N$398+1*$N$392)/$N$399,"N.A.")</f>
        <v>N.A.</v>
      </c>
      <c r="O403" s="31" t="s">
        <v>237</v>
      </c>
      <c r="P403" s="31">
        <f>IF($N$391=2,"Rw = 2*Pb-Pb*(2*a+1*S)/T","")</f>
      </c>
      <c r="S403" s="366">
        <v>2</v>
      </c>
      <c r="T403" s="365" t="s">
        <v>497</v>
      </c>
      <c r="U403" s="365" t="s">
        <v>165</v>
      </c>
      <c r="V403" s="365"/>
      <c r="W403" s="365"/>
      <c r="X403" s="365"/>
      <c r="Y403" s="365"/>
      <c r="Z403" s="365"/>
      <c r="AA403" s="365"/>
      <c r="AB403" s="365"/>
      <c r="AC403" s="365"/>
      <c r="AD403" s="365"/>
      <c r="AE403" s="365"/>
      <c r="AF403" s="405" t="s">
        <v>1247</v>
      </c>
      <c r="AG403" s="406">
        <v>2.09</v>
      </c>
      <c r="AH403" s="407">
        <v>6</v>
      </c>
      <c r="AI403" s="408">
        <v>0.179</v>
      </c>
      <c r="AJ403" s="407">
        <v>1.88</v>
      </c>
      <c r="AK403" s="408">
        <v>0.291</v>
      </c>
      <c r="AL403" s="432">
        <v>0.75</v>
      </c>
    </row>
    <row r="404" spans="12:38" ht="12.75">
      <c r="L404" s="364">
        <v>2</v>
      </c>
      <c r="M404" s="364" t="s">
        <v>158</v>
      </c>
      <c r="N404" s="360" t="str">
        <f>IF($N$391=2,MAX($N$403*$N$398,$N$403*($N$398+$N$392)-$N$400*$N$392),"N.A.")</f>
        <v>N.A.</v>
      </c>
      <c r="O404" s="367" t="s">
        <v>495</v>
      </c>
      <c r="P404" s="367">
        <f>IF($N$391=2,LOOKUP(MATCH($N$404,$T$404:$AE$404,0),$T$400:$AD$400,$T$403:$AD$403),"")</f>
      </c>
      <c r="S404" s="366"/>
      <c r="T404" s="360" t="str">
        <f>IF($N$391=2,$N$403*$N$398,"N.A.")</f>
        <v>N.A.</v>
      </c>
      <c r="U404" s="360" t="str">
        <f>IF($N$391=2,$N$403*($N$398+$N$392)-$N$400*$N$392,"N.A.")</f>
        <v>N.A.</v>
      </c>
      <c r="V404" s="365"/>
      <c r="W404" s="365"/>
      <c r="X404" s="365"/>
      <c r="Y404" s="365"/>
      <c r="Z404" s="365"/>
      <c r="AA404" s="365"/>
      <c r="AB404" s="365"/>
      <c r="AC404" s="365"/>
      <c r="AD404" s="365"/>
      <c r="AE404" s="365"/>
      <c r="AF404" s="405" t="s">
        <v>1248</v>
      </c>
      <c r="AG404" s="406">
        <v>1.95</v>
      </c>
      <c r="AH404" s="407">
        <v>6</v>
      </c>
      <c r="AI404" s="408">
        <v>0.155</v>
      </c>
      <c r="AJ404" s="407">
        <v>1.85</v>
      </c>
      <c r="AK404" s="408">
        <v>0.291</v>
      </c>
      <c r="AL404" s="432">
        <v>0.75</v>
      </c>
    </row>
    <row r="405" spans="12:38" ht="12.75">
      <c r="L405" s="33">
        <v>3</v>
      </c>
      <c r="M405" s="33" t="s">
        <v>487</v>
      </c>
      <c r="N405" s="41" t="str">
        <f>IF($N$391=3,3*$N$400-$N$400*(3*$N$398+3*$N$392)/$N$399,"N.A.")</f>
        <v>N.A.</v>
      </c>
      <c r="O405" s="31" t="s">
        <v>237</v>
      </c>
      <c r="P405" s="31">
        <f>IF($N$391=3,"Rw = 3*Pb-Pb*(3*a+3*S)/T, assume S = 3 in.","")</f>
      </c>
      <c r="S405" s="366">
        <v>3</v>
      </c>
      <c r="T405" s="365" t="s">
        <v>497</v>
      </c>
      <c r="U405" s="365" t="s">
        <v>113</v>
      </c>
      <c r="V405" s="365" t="s">
        <v>166</v>
      </c>
      <c r="W405" s="365"/>
      <c r="X405" s="365"/>
      <c r="Y405" s="365"/>
      <c r="Z405" s="365"/>
      <c r="AA405" s="365"/>
      <c r="AB405" s="365"/>
      <c r="AC405" s="365"/>
      <c r="AD405" s="365"/>
      <c r="AE405" s="365"/>
      <c r="AF405" s="405" t="s">
        <v>1249</v>
      </c>
      <c r="AG405" s="406">
        <v>4.03</v>
      </c>
      <c r="AH405" s="407">
        <v>4</v>
      </c>
      <c r="AI405" s="408">
        <v>0.5</v>
      </c>
      <c r="AJ405" s="407">
        <v>2.5</v>
      </c>
      <c r="AK405" s="408">
        <v>0.5</v>
      </c>
      <c r="AL405" s="432">
        <v>1</v>
      </c>
    </row>
    <row r="406" spans="12:38" ht="12.75">
      <c r="L406" s="364">
        <v>3</v>
      </c>
      <c r="M406" s="364" t="s">
        <v>158</v>
      </c>
      <c r="N406" s="360" t="str">
        <f>IF($N$391=3,MAX($N$405*$N$398,$N$405*($N$398+$N$392)-$N$400*$N$392,$N$405*($N$398+2*$N$392)-3*$N$400*$N$392),"N.A.")</f>
        <v>N.A.</v>
      </c>
      <c r="O406" s="367" t="s">
        <v>495</v>
      </c>
      <c r="P406" s="367">
        <f>IF($N$391=3,LOOKUP(MATCH($N$406,$T$410:$AE$410,0),$T$404:$AE$404,$T$409:$AE$409),"")</f>
      </c>
      <c r="S406" s="366"/>
      <c r="T406" s="360" t="str">
        <f>IF($N$391=3,$N$405*$N$398,"N.A.")</f>
        <v>N.A.</v>
      </c>
      <c r="U406" s="360" t="str">
        <f>IF($N$391=3,$N$405*($N$398+$N$392)-$N$400*$N$392,"N.A.")</f>
        <v>N.A.</v>
      </c>
      <c r="V406" s="360" t="str">
        <f>IF($N$391=3,$N$405*($N$398+2*$N$392)-3*$N$400*$N$392,"N.A.")</f>
        <v>N.A.</v>
      </c>
      <c r="W406" s="365"/>
      <c r="X406" s="365"/>
      <c r="Y406" s="365"/>
      <c r="Z406" s="365"/>
      <c r="AA406" s="365"/>
      <c r="AB406" s="365"/>
      <c r="AC406" s="365"/>
      <c r="AD406" s="365"/>
      <c r="AE406" s="365"/>
      <c r="AF406" s="414" t="s">
        <v>1250</v>
      </c>
      <c r="AG406" s="433">
        <v>2.11</v>
      </c>
      <c r="AH406" s="416">
        <v>3</v>
      </c>
      <c r="AI406" s="417">
        <v>0.312</v>
      </c>
      <c r="AJ406" s="416">
        <v>1.94</v>
      </c>
      <c r="AK406" s="417">
        <v>0.351</v>
      </c>
      <c r="AL406" s="434">
        <v>0.813</v>
      </c>
    </row>
    <row r="407" spans="12:31" ht="12.75">
      <c r="L407" s="33">
        <v>4</v>
      </c>
      <c r="M407" s="33" t="s">
        <v>487</v>
      </c>
      <c r="N407" s="41">
        <f>IF($N$391=4,4*$N$400-$N$400*(4*$N$398+6*$N$392)/$N$399,"N.A.")</f>
        <v>1.0028558875219684</v>
      </c>
      <c r="O407" s="31" t="s">
        <v>237</v>
      </c>
      <c r="P407" s="31" t="str">
        <f>IF($N$391=4,"Rw = 4*Pb-Pb*(4*a+6*S)/T","")</f>
        <v>Rw = 4*Pb-Pb*(4*a+6*S)/T</v>
      </c>
      <c r="S407" s="366">
        <v>4</v>
      </c>
      <c r="T407" s="365" t="s">
        <v>497</v>
      </c>
      <c r="U407" s="365" t="s">
        <v>165</v>
      </c>
      <c r="V407" s="365" t="s">
        <v>166</v>
      </c>
      <c r="W407" s="365" t="s">
        <v>167</v>
      </c>
      <c r="X407" s="365"/>
      <c r="Y407" s="365"/>
      <c r="Z407" s="365"/>
      <c r="AA407" s="365"/>
      <c r="AB407" s="365"/>
      <c r="AC407" s="365"/>
      <c r="AD407" s="365"/>
      <c r="AE407" s="365"/>
    </row>
    <row r="408" spans="12:31" ht="12.75">
      <c r="L408" s="364">
        <v>4</v>
      </c>
      <c r="M408" s="364" t="s">
        <v>158</v>
      </c>
      <c r="N408" s="360">
        <f>IF($N$391=4,MAX($N$407*$N$398,$N$407*($N$398+$N$392)-$N$400*$N$392,$N$407*($N$398+2*$N$392)-3*$N$400*$N$392,$N$407*($N$398+3*$N$392)-6*$N$400*$N$392),"N.A.")</f>
        <v>3.455179042179261</v>
      </c>
      <c r="O408" s="367" t="s">
        <v>495</v>
      </c>
      <c r="P408" s="367" t="e">
        <f>IF($N$391=4,LOOKUP(MATCH($N$408,$T$412:$AE$412,0),$T$404:$AE$404,$T$411:$AE$411),"")</f>
        <v>#N/A</v>
      </c>
      <c r="S408" s="366"/>
      <c r="T408" s="360">
        <f>IF($N$391=4,$N$407*$N$398,"N.A.")</f>
        <v>2.3216113796133566</v>
      </c>
      <c r="U408" s="360">
        <f>IF($N$391=4,$N$407*($N$398+$N$392)-$N$400*$N$392,"N.A.")</f>
        <v>3.455179042179261</v>
      </c>
      <c r="V408" s="360">
        <f>IF($N$391=4,$N$407*($N$398+2*$N$392)-3*$N$400*$N$392,"N.A.")</f>
        <v>2.7137467047451675</v>
      </c>
      <c r="W408" s="360">
        <f>IF($N$391=4,$N$407*($N$398+3*$N$392)-6*$N$400*$N$392,"N.A.")</f>
        <v>0.09731436731107124</v>
      </c>
      <c r="X408" s="365"/>
      <c r="Y408" s="365"/>
      <c r="Z408" s="365"/>
      <c r="AA408" s="365"/>
      <c r="AB408" s="365"/>
      <c r="AC408" s="365"/>
      <c r="AD408" s="365"/>
      <c r="AE408" s="365"/>
    </row>
    <row r="409" spans="12:31" ht="12.75">
      <c r="L409" s="33">
        <v>5</v>
      </c>
      <c r="M409" s="33" t="s">
        <v>487</v>
      </c>
      <c r="N409" s="41" t="str">
        <f>IF($N$391=5,5*$N$400-$N$400*(5*$N$398+10*$N$392)/$N$399,"N.A.")</f>
        <v>N.A.</v>
      </c>
      <c r="O409" s="31" t="s">
        <v>237</v>
      </c>
      <c r="P409" s="31">
        <f>IF($N$391=5,"Rw = 5*Pb-Pb*(5*a+10*S)/T","")</f>
      </c>
      <c r="S409" s="366">
        <v>5</v>
      </c>
      <c r="T409" s="365" t="s">
        <v>497</v>
      </c>
      <c r="U409" s="365" t="s">
        <v>165</v>
      </c>
      <c r="V409" s="365" t="s">
        <v>166</v>
      </c>
      <c r="W409" s="365" t="s">
        <v>167</v>
      </c>
      <c r="X409" s="365" t="s">
        <v>168</v>
      </c>
      <c r="Y409" s="365"/>
      <c r="Z409" s="365"/>
      <c r="AA409" s="365"/>
      <c r="AB409" s="365"/>
      <c r="AC409" s="365"/>
      <c r="AD409" s="365"/>
      <c r="AE409" s="365"/>
    </row>
    <row r="410" spans="12:32" ht="12.75">
      <c r="L410" s="364">
        <v>5</v>
      </c>
      <c r="M410" s="364" t="s">
        <v>158</v>
      </c>
      <c r="N410" s="360" t="str">
        <f>IF($N$391=5,MAX($N$409*$N$398,$N$409*($N$398+$N$392)-$N$400*$N$392,$N$409*($N$398+2*$N$392)-3*$N$400*$N$392,$N$409*($N$398+3*$N$392)-6*$N$400*$N$392,$N$409*($N$398+4*$N$392)-10*$N$400*$N$392),"N.A.")</f>
        <v>N.A.</v>
      </c>
      <c r="O410" s="367" t="s">
        <v>495</v>
      </c>
      <c r="P410" s="367">
        <f>IF($N$391=5,LOOKUP(MATCH($N$410,$T$414:$AE$414,0),$T$404:$AE$404,$T$413:$AE$413),"")</f>
      </c>
      <c r="S410" s="366"/>
      <c r="T410" s="360" t="str">
        <f>IF($N$391=5,$N$409*$N$398,"N.A.")</f>
        <v>N.A.</v>
      </c>
      <c r="U410" s="360" t="str">
        <f>IF($N$391=5,$N$409*($N$398+$N$392)-$N$400*$N$392,"N.A.")</f>
        <v>N.A.</v>
      </c>
      <c r="V410" s="360" t="str">
        <f>IF($N$391=5,$N$409*($N$398+2*$N$392)-3*$N$400*$N$392,"N.A.")</f>
        <v>N.A.</v>
      </c>
      <c r="W410" s="360" t="str">
        <f>IF($N$391=5,$N$409*($N$398+3*$N$392)-6*$N$400*$N$392,"N.A.")</f>
        <v>N.A.</v>
      </c>
      <c r="X410" s="360" t="str">
        <f>IF($N$391=5,$N$409*($N$398+4*$N$392)-10*$N$400*$N$392,"N.A.")</f>
        <v>N.A.</v>
      </c>
      <c r="Y410" s="365"/>
      <c r="Z410" s="365"/>
      <c r="AA410" s="365"/>
      <c r="AB410" s="365"/>
      <c r="AC410" s="365"/>
      <c r="AD410" s="365"/>
      <c r="AE410" s="365"/>
      <c r="AF410" s="9"/>
    </row>
    <row r="411" spans="12:32" ht="12.75">
      <c r="L411" s="33">
        <v>6</v>
      </c>
      <c r="M411" s="33" t="s">
        <v>487</v>
      </c>
      <c r="N411" s="41" t="str">
        <f>IF($N$391=6,6*$N$400-$N$400*(6*$N$398+15*$N$392)/$N$399,"N.A.")</f>
        <v>N.A.</v>
      </c>
      <c r="O411" s="31" t="s">
        <v>237</v>
      </c>
      <c r="P411" s="31">
        <f>IF($N$391=6,"Rw = 6*Pb-Pb*(6*a+15*S)/T","")</f>
      </c>
      <c r="S411" s="366">
        <v>6</v>
      </c>
      <c r="T411" s="367" t="s">
        <v>497</v>
      </c>
      <c r="U411" s="367" t="s">
        <v>165</v>
      </c>
      <c r="V411" s="367" t="s">
        <v>166</v>
      </c>
      <c r="W411" s="367" t="s">
        <v>167</v>
      </c>
      <c r="X411" s="367" t="s">
        <v>168</v>
      </c>
      <c r="Y411" s="367" t="s">
        <v>169</v>
      </c>
      <c r="Z411" s="365"/>
      <c r="AA411" s="365"/>
      <c r="AB411" s="365"/>
      <c r="AC411" s="365"/>
      <c r="AD411" s="365"/>
      <c r="AE411" s="365"/>
      <c r="AF411" s="9"/>
    </row>
    <row r="412" spans="12:32" ht="12.75">
      <c r="L412" s="364">
        <v>6</v>
      </c>
      <c r="M412" s="364" t="s">
        <v>158</v>
      </c>
      <c r="N412" s="360" t="str">
        <f>IF($N$391=6,MAX($N$411*$N$398,$N$411*($N$398+$N$392)-$N$400*$N$392,$N$411*($N$398+2*$N$392)-3*$N$400*$N$392,$N$411*($N$398+3*$N$392)-6*$N$400*$N$392,$N$411*($N$398+4*$N$392)-10*$N$400*$N$392,$N$411*($N$398+5*$N$392)-15*$N$400*$N$392),"N.A.")</f>
        <v>N.A.</v>
      </c>
      <c r="O412" s="367" t="s">
        <v>495</v>
      </c>
      <c r="P412" s="367">
        <f>IF($N$391=6,LOOKUP(MATCH($N$412,$T$416:$AE$416,0),$T$404:$AE$404,$T$415:$AE$415),"")</f>
      </c>
      <c r="S412" s="366"/>
      <c r="T412" s="360" t="str">
        <f>IF($N$391=6,$N$411*$N$398,"N.A.")</f>
        <v>N.A.</v>
      </c>
      <c r="U412" s="360" t="str">
        <f>IF($N$391=6,$N$411*($N$398+$N$392)-$N$400*$N$392,"N.A.")</f>
        <v>N.A.</v>
      </c>
      <c r="V412" s="360" t="str">
        <f>IF($N$391=6,$N$411*($N$398+2*$N$392)-3*$N$400*$N$392,"N.A.")</f>
        <v>N.A.</v>
      </c>
      <c r="W412" s="360" t="str">
        <f>IF($N$391=6,$N$411*($N$398+3*$N$392)-6*$N$400*$N$392,"N.A.")</f>
        <v>N.A.</v>
      </c>
      <c r="X412" s="360" t="str">
        <f>IF($N$391=6,$N$411*($N$398+4*$N$392)-10*$N$400*$N$392,"N.A.")</f>
        <v>N.A.</v>
      </c>
      <c r="Y412" s="360" t="str">
        <f>IF($N$391=6,$N$411*($N$398+5*$N$392)-15*$N$400*$N$392,"N.A.")</f>
        <v>N.A.</v>
      </c>
      <c r="Z412" s="365"/>
      <c r="AA412" s="365"/>
      <c r="AB412" s="365"/>
      <c r="AC412" s="365"/>
      <c r="AD412" s="365"/>
      <c r="AE412" s="365"/>
      <c r="AF412" s="9"/>
    </row>
    <row r="413" spans="12:32" ht="12.75">
      <c r="L413" s="33">
        <v>7</v>
      </c>
      <c r="M413" s="33" t="s">
        <v>487</v>
      </c>
      <c r="N413" s="41" t="str">
        <f>IF($N$391=7,7*$N$400-$N$400*(7*$N$398+21*$N$392)/$N$399,"N.A.")</f>
        <v>N.A.</v>
      </c>
      <c r="O413" s="31" t="s">
        <v>237</v>
      </c>
      <c r="P413" s="31">
        <f>IF($N$391=7,"Rw = 7*Pb-Pb*(7*a+21*S)/T","")</f>
      </c>
      <c r="S413" s="366">
        <v>7</v>
      </c>
      <c r="T413" s="365" t="s">
        <v>497</v>
      </c>
      <c r="U413" s="365" t="s">
        <v>165</v>
      </c>
      <c r="V413" s="365" t="s">
        <v>166</v>
      </c>
      <c r="W413" s="365" t="s">
        <v>167</v>
      </c>
      <c r="X413" s="365" t="s">
        <v>168</v>
      </c>
      <c r="Y413" s="365" t="s">
        <v>169</v>
      </c>
      <c r="Z413" s="365" t="s">
        <v>375</v>
      </c>
      <c r="AA413" s="365"/>
      <c r="AB413" s="365"/>
      <c r="AC413" s="365"/>
      <c r="AD413" s="365"/>
      <c r="AE413" s="365"/>
      <c r="AF413" s="9"/>
    </row>
    <row r="414" spans="12:32" ht="12.75">
      <c r="L414" s="364">
        <v>7</v>
      </c>
      <c r="M414" s="364" t="s">
        <v>158</v>
      </c>
      <c r="N414" s="360" t="str">
        <f>IF($N$391=7,MAX($N$413*$N$398,$N$413*($N$398+$N$392)-$N$400*$N$392,$N$413*($N$398+2*$N$392)-3*$N$400*$N$392,$N$413*($N$398+3*$N$392)-6*$N$400*$N$392,$N$413*($N$398+4*$N$392)-10*$N$400*$N$392,$N$413*($N$398+5*$N$392)-15*$N$400*$N$392,$N$413*($N$398+6*$N$392)-21*$N$400*$N$392),"N.A.")</f>
        <v>N.A.</v>
      </c>
      <c r="O414" s="367" t="s">
        <v>495</v>
      </c>
      <c r="P414" s="367">
        <f>IF($N$391=7,LOOKUP(MATCH($N$414,$T$418:$AE$418,0),$T$404:$AE$404,$T$417:$AE$417),"")</f>
      </c>
      <c r="S414" s="366"/>
      <c r="T414" s="360" t="str">
        <f>IF($N$391=7,$N$413*$N$398,"N.A.")</f>
        <v>N.A.</v>
      </c>
      <c r="U414" s="360" t="str">
        <f>IF($N$391=7,$N$413*($N$398+$N$392)-$N$400*$N$392,"N.A.")</f>
        <v>N.A.</v>
      </c>
      <c r="V414" s="360" t="str">
        <f>IF($N$391=7,$N$413*($N$398+2*$N$392)-3*$N$400*$N$392,"N.A.")</f>
        <v>N.A.</v>
      </c>
      <c r="W414" s="360" t="str">
        <f>IF($N$391=7,$N$413*($N$398+3*$N$392)-6*$N$400*$N$392,"N.A.")</f>
        <v>N.A.</v>
      </c>
      <c r="X414" s="360" t="str">
        <f>IF($N$391=7,$N$413*($N$398+4*$N$392)-10*$N$400*$N$392,"N.A.")</f>
        <v>N.A.</v>
      </c>
      <c r="Y414" s="360" t="str">
        <f>IF($N$391=7,$N$413*($N$398+5*$N$392)-15*$N$400*$N$392,"N.A.")</f>
        <v>N.A.</v>
      </c>
      <c r="Z414" s="360" t="str">
        <f>IF($N$391=7,$N$413*($N$398+6*$N$392)-21*$N$400*$N$392,"N.A.")</f>
        <v>N.A.</v>
      </c>
      <c r="AA414" s="365"/>
      <c r="AB414" s="365"/>
      <c r="AC414" s="365"/>
      <c r="AD414" s="365"/>
      <c r="AE414" s="365"/>
      <c r="AF414" s="9"/>
    </row>
    <row r="415" spans="12:32" ht="12.75">
      <c r="L415" s="33">
        <v>8</v>
      </c>
      <c r="M415" s="33" t="s">
        <v>487</v>
      </c>
      <c r="N415" s="41" t="str">
        <f>IF($N$391=8,8*$N$400-$N$400*(8*$N$398+28*$N$392)/$N$399,"N.A.")</f>
        <v>N.A.</v>
      </c>
      <c r="O415" s="31" t="s">
        <v>237</v>
      </c>
      <c r="P415" s="31">
        <f>IF($N$391=8,"Rw = 8*Pb-Pb*(8*a+28*S)/T","")</f>
      </c>
      <c r="S415" s="366">
        <v>8</v>
      </c>
      <c r="T415" s="365" t="s">
        <v>497</v>
      </c>
      <c r="U415" s="365" t="s">
        <v>165</v>
      </c>
      <c r="V415" s="365" t="s">
        <v>166</v>
      </c>
      <c r="W415" s="365" t="s">
        <v>167</v>
      </c>
      <c r="X415" s="365" t="s">
        <v>168</v>
      </c>
      <c r="Y415" s="365" t="s">
        <v>169</v>
      </c>
      <c r="Z415" s="365" t="s">
        <v>375</v>
      </c>
      <c r="AA415" s="365" t="s">
        <v>376</v>
      </c>
      <c r="AB415" s="365"/>
      <c r="AC415" s="365"/>
      <c r="AD415" s="365"/>
      <c r="AE415" s="365"/>
      <c r="AF415" s="9"/>
    </row>
    <row r="416" spans="12:32" ht="12.75">
      <c r="L416" s="364">
        <v>8</v>
      </c>
      <c r="M416" s="364" t="s">
        <v>158</v>
      </c>
      <c r="N416" s="360" t="str">
        <f>IF($N$391=8,MAX($N$415*$N$398,$N$415*($N$398+$N$392)-$N$400*$N$392,$N$415*($N$398+2*$N$392)-3*$N$400*$N$392,$N$415*($N$398+3*$N$392)-6*$N$400*$N$392,$N$415*($N$398+4*$N$392)-10*$N$400*$N$392,$N$415*($N$398+5*$N$392)-15*$N$400*$N$392,$N$415*($N$398+6*$N$392)-21*$N$400*$N$392,$N$415*($N$398+7*$N$392)-28*$N$400*$N$392),"N.A.")</f>
        <v>N.A.</v>
      </c>
      <c r="O416" s="367" t="s">
        <v>495</v>
      </c>
      <c r="P416" s="367">
        <f>IF($N$391=8,LOOKUP(MATCH($N$416,$T$416:$AE$416,0),$T$400:$AD$400,$T$415:$AE$415),"")</f>
      </c>
      <c r="S416" s="366"/>
      <c r="T416" s="360" t="str">
        <f>IF($N$391=8,$N$415*$N$398,"N.A.")</f>
        <v>N.A.</v>
      </c>
      <c r="U416" s="360" t="str">
        <f>IF($N$391=8,$N$415*($N$398+$N$392)-$N$400*$N$392,"N.A.")</f>
        <v>N.A.</v>
      </c>
      <c r="V416" s="360" t="str">
        <f>IF($N$391=8,$N$415*($N$398+2*$N$392)-3*$N$400*$N$392,"N.A.")</f>
        <v>N.A.</v>
      </c>
      <c r="W416" s="360" t="str">
        <f>IF($N$391=8,$N$415*($N$398+3*$N$392)-6*$N$400*$N$392,"N.A.")</f>
        <v>N.A.</v>
      </c>
      <c r="X416" s="360" t="str">
        <f>IF($N$391=8,$N$415*($N$398+4*$N$392)-10*$N$400*$N$392,"N.A.")</f>
        <v>N.A.</v>
      </c>
      <c r="Y416" s="360" t="str">
        <f>IF($N$391=8,$N$415*($N$398+5*$N$392)-15*$N$400*$N$392,"N.A.")</f>
        <v>N.A.</v>
      </c>
      <c r="Z416" s="360" t="str">
        <f>IF($N$391=8,$N$415*($N$398+6*$N$392)-21*$N$400*$N$392,"N.A.")</f>
        <v>N.A.</v>
      </c>
      <c r="AA416" s="360" t="str">
        <f>IF($N$391=8,$N$415*($N$398+7*$N$392)-28*$N$400*$N$392,"N.A.")</f>
        <v>N.A.</v>
      </c>
      <c r="AB416" s="365"/>
      <c r="AC416" s="365"/>
      <c r="AD416" s="365"/>
      <c r="AE416" s="365"/>
      <c r="AF416" s="9"/>
    </row>
    <row r="417" spans="12:32" ht="12.75">
      <c r="L417" s="33">
        <v>9</v>
      </c>
      <c r="M417" s="33" t="s">
        <v>487</v>
      </c>
      <c r="N417" s="41" t="str">
        <f>IF($N$391=9,9*$N$400-$N$400*(9*$N$398+36*$N$392)/$N$399,"N.A.")</f>
        <v>N.A.</v>
      </c>
      <c r="O417" s="31" t="s">
        <v>237</v>
      </c>
      <c r="P417" s="31">
        <f>IF($N$391=9,"Rw = 9*Pb-Pb*(9*a+36*S)/T","")</f>
      </c>
      <c r="S417" s="366">
        <v>9</v>
      </c>
      <c r="T417" s="365" t="s">
        <v>497</v>
      </c>
      <c r="U417" s="365" t="s">
        <v>165</v>
      </c>
      <c r="V417" s="365" t="s">
        <v>166</v>
      </c>
      <c r="W417" s="365" t="s">
        <v>167</v>
      </c>
      <c r="X417" s="365" t="s">
        <v>168</v>
      </c>
      <c r="Y417" s="365" t="s">
        <v>169</v>
      </c>
      <c r="Z417" s="365" t="s">
        <v>375</v>
      </c>
      <c r="AA417" s="365" t="s">
        <v>376</v>
      </c>
      <c r="AB417" s="365" t="s">
        <v>377</v>
      </c>
      <c r="AC417" s="365"/>
      <c r="AD417" s="365"/>
      <c r="AE417" s="365"/>
      <c r="AF417" s="9"/>
    </row>
    <row r="418" spans="12:32" ht="12.75">
      <c r="L418" s="364">
        <v>9</v>
      </c>
      <c r="M418" s="364" t="s">
        <v>158</v>
      </c>
      <c r="N418" s="360" t="str">
        <f>IF($N$391=9,MAX($N$417*$N$398,$N$417*($N$398+$N$392)-$N$400*$N$392,$N$417*($N$398+2*$N$392)-3*$N$400*$N$392,$N$417*($N$398+3*$N$392)-6*$N$400*$N$392,$N$417*($N$398+4*$N$392)-10*$N$400*$N$392,$N$417*($N$398+5*$N$392)-15*$N$400*$N$392,$N$417*($N$398+6*$N$392)-21*$N$400*$N$392,$N$417*($N$398+7*$N$392)-28*$N$400*$N$392,$N$417*($N$398+8*$N$392)-36*$N$400*$N$392),"N.A.")</f>
        <v>N.A.</v>
      </c>
      <c r="O418" s="367" t="s">
        <v>495</v>
      </c>
      <c r="P418" s="367">
        <f>IF($N$391=9,LOOKUP(MATCH($N$418,$T$422:$AE$422,0),$T$404:$AE$404,$T$421:$AE$421),"")</f>
      </c>
      <c r="S418" s="366"/>
      <c r="T418" s="360" t="str">
        <f>IF($N$391=9,$N$417*$N$398,"N.A.")</f>
        <v>N.A.</v>
      </c>
      <c r="U418" s="360" t="str">
        <f>IF($N$391=9,$N$417*($N$398+$N$392)-$N$400*$N$392,"N.A.")</f>
        <v>N.A.</v>
      </c>
      <c r="V418" s="360" t="str">
        <f>IF($N$391=9,$N$417*($N$398+2*$N$392)-3*$N$400*$N$392,"N.A.")</f>
        <v>N.A.</v>
      </c>
      <c r="W418" s="360" t="str">
        <f>IF($N$391=9,$N$417*($N$398+3*$N$392)-6*$N$400*$N$392,"N.A.")</f>
        <v>N.A.</v>
      </c>
      <c r="X418" s="360" t="str">
        <f>IF($N$391=9,$N$417*($N$398+4*$N$392)-10*$N$400*$N$392,"N.A.")</f>
        <v>N.A.</v>
      </c>
      <c r="Y418" s="360" t="str">
        <f>IF($N$391=9,$N$417*($N$398+5*$N$392)-15*$N$400*$N$392,"N.A.")</f>
        <v>N.A.</v>
      </c>
      <c r="Z418" s="360" t="str">
        <f>IF($N$391=9,$N$417*($N$398+6*$N$392)-21*$N$400*$N$392,"N.A.")</f>
        <v>N.A.</v>
      </c>
      <c r="AA418" s="360" t="str">
        <f>IF($N$391=9,$N$417*($N$398+7*$N$392)-28*$N$400*$N$392,"N.A.")</f>
        <v>N.A.</v>
      </c>
      <c r="AB418" s="360" t="str">
        <f>IF($N$391=9,$N$417*($N$398+8*$N$392)-36*$N$400*$N$392,"N.A.")</f>
        <v>N.A.</v>
      </c>
      <c r="AC418" s="365"/>
      <c r="AD418" s="365"/>
      <c r="AE418" s="365"/>
      <c r="AF418" s="9"/>
    </row>
    <row r="419" spans="12:32" ht="12.75">
      <c r="L419" s="33">
        <v>10</v>
      </c>
      <c r="M419" s="33" t="s">
        <v>487</v>
      </c>
      <c r="N419" s="41" t="str">
        <f>IF($N$391=10,10*$N$400-$N$400*(10*$N$398+45*$N$392)/$N$399,"N.A.")</f>
        <v>N.A.</v>
      </c>
      <c r="O419" s="31" t="s">
        <v>237</v>
      </c>
      <c r="P419" s="31">
        <f>IF($N$391=10,"Rw = 10*Pb-Pb*(10*a+45*S)/T","")</f>
      </c>
      <c r="S419" s="366">
        <v>10</v>
      </c>
      <c r="T419" s="365" t="s">
        <v>497</v>
      </c>
      <c r="U419" s="365" t="s">
        <v>165</v>
      </c>
      <c r="V419" s="365" t="s">
        <v>166</v>
      </c>
      <c r="W419" s="365" t="s">
        <v>167</v>
      </c>
      <c r="X419" s="365" t="s">
        <v>168</v>
      </c>
      <c r="Y419" s="365" t="s">
        <v>169</v>
      </c>
      <c r="Z419" s="365" t="s">
        <v>375</v>
      </c>
      <c r="AA419" s="365" t="s">
        <v>376</v>
      </c>
      <c r="AB419" s="365" t="s">
        <v>377</v>
      </c>
      <c r="AC419" s="365" t="s">
        <v>378</v>
      </c>
      <c r="AD419" s="365"/>
      <c r="AE419" s="365"/>
      <c r="AF419" s="9"/>
    </row>
    <row r="420" spans="12:32" ht="12.75">
      <c r="L420" s="364">
        <v>10</v>
      </c>
      <c r="M420" s="364" t="s">
        <v>158</v>
      </c>
      <c r="N420" s="360" t="str">
        <f>IF($N$391=10,MAX($N$419*$N$398,$N$419*($N$398+$N$392)-$N$400*$N$392,$N$419*($N$398+2*$N$392)-3*$N$400*$N$392,$N$419*($N$398+3*$N$392)-6*$N$400*$N$392,$N$419*($N$398+4*$N$392)-10*$N$400*$N$392,$N$419*($N$398+5*$N$392)-15*$N$400*$N$392,$N$419*($N$398+6*$N$392)-21*$N$400*$N$392,$N$419*($N$398+7*$N$392)-28*$N$400*$N$392,$N$419*($N$398+8*$N$392)-36*$N$400*$N$392,$N$419*($N$398+9*$N$392)-45*$N$400*$N$392),"N.A.")</f>
        <v>N.A.</v>
      </c>
      <c r="O420" s="367" t="s">
        <v>495</v>
      </c>
      <c r="P420" s="367">
        <f>IF($N$391=10,LOOKUP(MATCH($N$420,$T$424:$AE$424,0),$T$404:$AE$404,$T$423:$AE$423),"")</f>
      </c>
      <c r="S420" s="366"/>
      <c r="T420" s="360" t="str">
        <f>IF($N$391=10,$N$419*$N$398,"N.A.")</f>
        <v>N.A.</v>
      </c>
      <c r="U420" s="360" t="str">
        <f>IF($N$391=10,$N$419*($N$398+$N$392)-$N$400*$N$392,"N.A.")</f>
        <v>N.A.</v>
      </c>
      <c r="V420" s="360" t="str">
        <f>IF($N$391=10,$N$419*($N$398+2*$N$392)-3*$N$400*$N$392,"N.A.")</f>
        <v>N.A.</v>
      </c>
      <c r="W420" s="360" t="str">
        <f>IF($N$391=10,$N$419*($N$398+3*$N$392)-6*$N$400*$N$392,"N.A.")</f>
        <v>N.A.</v>
      </c>
      <c r="X420" s="360" t="str">
        <f>IF($N$391=10,$N$419*($N$398+4*$N$392)-10*$N$400*$N$392,"N.A.")</f>
        <v>N.A.</v>
      </c>
      <c r="Y420" s="360" t="str">
        <f>IF($N$391=10,$N$419*($N$398+5*$N$392)-15*$N$400*$N$392,"N.A.")</f>
        <v>N.A.</v>
      </c>
      <c r="Z420" s="360" t="str">
        <f>IF($N$391=10,$N$419*($N$398+6*$N$392)-21*$N$400*$N$392,"N.A.")</f>
        <v>N.A.</v>
      </c>
      <c r="AA420" s="360" t="str">
        <f>IF($N$391=10,$N$419*($N$398+7*$N$392)-28*$N$400*$N$392,"N.A.")</f>
        <v>N.A.</v>
      </c>
      <c r="AB420" s="360" t="str">
        <f>IF($N$391=10,$N$419*($N$398+8*$N$392)-36*$N$400*$N$392,"N.A.")</f>
        <v>N.A.</v>
      </c>
      <c r="AC420" s="360" t="str">
        <f>IF($N$391=10,$N$419*($N$398+9*$N$392)-45*$N$400*$N$392,"N.A.")</f>
        <v>N.A.</v>
      </c>
      <c r="AD420" s="360"/>
      <c r="AE420" s="365"/>
      <c r="AF420" s="9"/>
    </row>
    <row r="421" spans="12:32" ht="12.75">
      <c r="L421" s="33">
        <v>11</v>
      </c>
      <c r="M421" s="33" t="s">
        <v>487</v>
      </c>
      <c r="N421" s="41" t="str">
        <f>IF($N$391=11,11*$N$400-$N$400*(11*$N$398+55*$N$392)/$N$399,"N.A.")</f>
        <v>N.A.</v>
      </c>
      <c r="O421" s="31" t="s">
        <v>237</v>
      </c>
      <c r="P421" s="31">
        <f>IF($N$391=11,"Rw = 11*Pb-Pb*(11*a+55*S)/T","")</f>
      </c>
      <c r="S421" s="366">
        <v>11</v>
      </c>
      <c r="T421" s="365" t="s">
        <v>497</v>
      </c>
      <c r="U421" s="365" t="s">
        <v>165</v>
      </c>
      <c r="V421" s="365" t="s">
        <v>166</v>
      </c>
      <c r="W421" s="365" t="s">
        <v>167</v>
      </c>
      <c r="X421" s="365" t="s">
        <v>168</v>
      </c>
      <c r="Y421" s="365" t="s">
        <v>169</v>
      </c>
      <c r="Z421" s="365" t="s">
        <v>375</v>
      </c>
      <c r="AA421" s="365" t="s">
        <v>376</v>
      </c>
      <c r="AB421" s="365" t="s">
        <v>377</v>
      </c>
      <c r="AC421" s="365" t="s">
        <v>378</v>
      </c>
      <c r="AD421" s="365" t="s">
        <v>379</v>
      </c>
      <c r="AE421" s="365"/>
      <c r="AF421" s="9"/>
    </row>
    <row r="422" spans="12:32" ht="12.75">
      <c r="L422" s="364">
        <v>11</v>
      </c>
      <c r="M422" s="364" t="s">
        <v>158</v>
      </c>
      <c r="N422" s="360" t="str">
        <f>IF($N$391=11,MAX($N$421*$N$398,$N$421*($N$398+$N$392)-$N$400*$N$392,$N$421*($N$398+2*$N$392)-3*$N$400*$N$392,$N$421*($N$398+3*$N$392)-6*$N$400*$N$392,$N$421*($N$398+4*$N$392)-10*$N$400*$N$392,$N$421*($N$398+5*$N$392)-15*$N$400*$N$392,$N$421*($N$398+6*$N$392)-21*$N$400*$N$392,$N$421*($N$398+7*$N$392)-28*$N$400*$N$392,$N$421*($N$398+8*$N$392)-36*$N$400*$N$392,$N$421*($N$398+9*$N$392)-45*$N$400*$N$392,$N$421*($N$398+10*$N$392)-55*$N$400*$N$392),"N.A.")</f>
        <v>N.A.</v>
      </c>
      <c r="O422" s="367" t="s">
        <v>495</v>
      </c>
      <c r="P422" s="367">
        <f>IF($N$391=11,LOOKUP(MATCH($N$422,$T$426:$AE$426,0),$T$404:$AE$404,$T$425:$AE$425),"")</f>
      </c>
      <c r="S422" s="366"/>
      <c r="T422" s="360" t="str">
        <f>IF($N$391=11,$N$421*$N$398,"N.A.")</f>
        <v>N.A.</v>
      </c>
      <c r="U422" s="360" t="str">
        <f>IF($N$391=11,$N$421*($N$398+$N$392)-$N$400*$N$392,"N.A.")</f>
        <v>N.A.</v>
      </c>
      <c r="V422" s="360" t="str">
        <f>IF($N$391=11,$N$421*($N$398+2*$N$392)-3*$N$400*$N$392,"N.A.")</f>
        <v>N.A.</v>
      </c>
      <c r="W422" s="360" t="str">
        <f>IF($N$391=11,$N$421*($N$398+3*$N$392)-6*$N$400*$N$392,"N.A.")</f>
        <v>N.A.</v>
      </c>
      <c r="X422" s="360" t="str">
        <f>IF($N$391=11,$N$421*($N$398+4*$N$392)-10*$N$400*$N$392,"N.A.")</f>
        <v>N.A.</v>
      </c>
      <c r="Y422" s="360" t="str">
        <f>IF($N$391=11,$N$421*($N$398+5*$N$392)-15*$N$400*$N$392,"N.A.")</f>
        <v>N.A.</v>
      </c>
      <c r="Z422" s="360" t="str">
        <f>IF($N$391=11,$N$421*($N$398+6*$N$392)-21*$N$400*$N$392,"N.A.")</f>
        <v>N.A.</v>
      </c>
      <c r="AA422" s="360" t="str">
        <f>IF($N$391=11,$N$421*($N$398+7*$N$392)-28*$N$400*$N$392,"N.A.")</f>
        <v>N.A.</v>
      </c>
      <c r="AB422" s="360" t="str">
        <f>IF($N$391=11,$N$421*($N$398+8*$N$392)-36*$N$400*$N$392,"N.A.")</f>
        <v>N.A.</v>
      </c>
      <c r="AC422" s="360" t="str">
        <f>IF($N$391=11,$N$421*($N$398+9*$N$392)-45*$N$400*$N$392,"N.A.")</f>
        <v>N.A.</v>
      </c>
      <c r="AD422" s="360" t="str">
        <f>IF($N$391=11,$N$421*($N$398+10*$N$392)-55*$N$400*$N$392,"N.A.")</f>
        <v>N.A.</v>
      </c>
      <c r="AE422" s="360"/>
      <c r="AF422" s="9"/>
    </row>
    <row r="423" spans="12:32" ht="12.75">
      <c r="L423" s="33">
        <v>12</v>
      </c>
      <c r="M423" s="33" t="s">
        <v>487</v>
      </c>
      <c r="N423" s="41" t="str">
        <f>IF($N$391=12,12*$N$400-$N$400*(12*$N$398+66*$N$392)/$N$399,"N.A.")</f>
        <v>N.A.</v>
      </c>
      <c r="O423" s="31" t="s">
        <v>237</v>
      </c>
      <c r="P423" s="31">
        <f>IF($N$391=12,"Rw = 12*Pb-Pb*(12*a+66*S)/T","")</f>
      </c>
      <c r="S423" s="366">
        <v>12</v>
      </c>
      <c r="T423" s="365" t="s">
        <v>497</v>
      </c>
      <c r="U423" s="365" t="s">
        <v>165</v>
      </c>
      <c r="V423" s="365" t="s">
        <v>166</v>
      </c>
      <c r="W423" s="365" t="s">
        <v>167</v>
      </c>
      <c r="X423" s="365" t="s">
        <v>168</v>
      </c>
      <c r="Y423" s="365" t="s">
        <v>169</v>
      </c>
      <c r="Z423" s="365" t="s">
        <v>375</v>
      </c>
      <c r="AA423" s="365" t="s">
        <v>376</v>
      </c>
      <c r="AB423" s="365" t="s">
        <v>377</v>
      </c>
      <c r="AC423" s="365" t="s">
        <v>378</v>
      </c>
      <c r="AD423" s="365" t="s">
        <v>379</v>
      </c>
      <c r="AE423" s="365" t="s">
        <v>380</v>
      </c>
      <c r="AF423" s="9"/>
    </row>
    <row r="424" spans="12:32" ht="12.75">
      <c r="L424" s="364">
        <v>12</v>
      </c>
      <c r="M424" s="364" t="s">
        <v>158</v>
      </c>
      <c r="N424" s="360" t="str">
        <f>IF($N$391=12,MAX($N$423*$N$398,$N$423*($N$398+$N$392)-$N$400*$N$392,$N$423*($N$398+2*$N$392)-3*$N$400*$N$392,$N$423*($N$398+3*$N$392)-6*$N$400*$N$392,$N$423*($N$398+4*$N$392)-10*$N$400*$N$392,$N$423*($N$398+5*$N$392)-15*$N$400*$N$392,$N$423*($N$398+6*$N$392)-21*$N$400*$N$392,$N$423*($N$398+7*$N$392)-28*$N$400*$N$392,$N$423*($N$398+8*$N$392)-36*$N$400*$N$392,$N$423*($N$398+9*$N$392)-45*$N$400*$N$392,$N$423*($N$398+10*$N$392)-55*$N$400*$N$392,$N$423*($N$398+11*$N$392)-66*$N$400*$N$392),"N.A.")</f>
        <v>N.A.</v>
      </c>
      <c r="O424" s="367" t="s">
        <v>495</v>
      </c>
      <c r="P424" s="367">
        <f>IF($N$391=12,LOOKUP(MATCH($N$424,$T$428:$AE$428,0),$T$404:$AE$404,$T$427:$AE$427),"")</f>
      </c>
      <c r="S424" s="366"/>
      <c r="T424" s="360" t="str">
        <f>IF($N$391=12,$N$423*$N$398,"N.A.")</f>
        <v>N.A.</v>
      </c>
      <c r="U424" s="360" t="str">
        <f>IF($N$391=12,$N$423*($N$398+$N$392)-$N$400*$N$392,"N.A.")</f>
        <v>N.A.</v>
      </c>
      <c r="V424" s="360" t="str">
        <f>IF($N$391=12,$N$423*($N$398+2*$N$392)-3*$N$400*$N$392,"N.A.")</f>
        <v>N.A.</v>
      </c>
      <c r="W424" s="360" t="str">
        <f>IF($N$391=12,$N$423*($N$398+3*$N$392)-6*$N$400*$N$392,"N.A.")</f>
        <v>N.A.</v>
      </c>
      <c r="X424" s="360" t="str">
        <f>IF($N$391=12,$N$423*($N$398+4*$N$392)-10*$N$400*$N$392,"N.A.")</f>
        <v>N.A.</v>
      </c>
      <c r="Y424" s="360" t="str">
        <f>IF($N$391=12,$N$423*($N$398+5*$N$392)-15*$N$400*$N$392,"N.A.")</f>
        <v>N.A.</v>
      </c>
      <c r="Z424" s="360" t="str">
        <f>IF($N$391=12,$N$423*($N$398+6*$N$392)-21*$N$400*$N$392,"N.A.")</f>
        <v>N.A.</v>
      </c>
      <c r="AA424" s="360" t="str">
        <f>IF($N$391=12,$N$423*($N$398+7*$N$392)-28*$N$400*$N$392,"N.A.")</f>
        <v>N.A.</v>
      </c>
      <c r="AB424" s="360" t="str">
        <f>IF($N$391=12,$N$423*($N$398+8*$N$392)-36*$N$400*$N$392,"N.A.")</f>
        <v>N.A.</v>
      </c>
      <c r="AC424" s="360" t="str">
        <f>IF($N$391=12,$N$423*($N$398+9*$N$392)-45*$N$400*$N$392,"N.A.")</f>
        <v>N.A.</v>
      </c>
      <c r="AD424" s="360" t="str">
        <f>IF($N$391=12,$N$423*($N$398+10*$N$392)-55*$N$400*$N$392,"N.A.")</f>
        <v>N.A.</v>
      </c>
      <c r="AE424" s="360" t="str">
        <f>IF($N$391=12,$N$423*($N$398+11*$N$392)-66*$N$400*$N$392,"N.A.")</f>
        <v>N.A.</v>
      </c>
      <c r="AF424" s="9"/>
    </row>
    <row r="429" ht="12.75">
      <c r="AF429" s="9"/>
    </row>
    <row r="430" ht="12.75">
      <c r="AF430" s="9"/>
    </row>
    <row r="431" ht="12.75">
      <c r="AF431" s="9"/>
    </row>
    <row r="432" ht="12.75">
      <c r="AF432" s="9"/>
    </row>
    <row r="433" ht="12.75">
      <c r="AF433" s="9"/>
    </row>
    <row r="434" ht="12.75">
      <c r="AF434" s="9"/>
    </row>
    <row r="435" ht="12.75">
      <c r="AF435" s="9"/>
    </row>
    <row r="436" ht="12.75">
      <c r="AF436" s="9"/>
    </row>
    <row r="437" ht="12.75">
      <c r="AF437" s="9"/>
    </row>
    <row r="438" ht="12.75">
      <c r="AF438" s="9"/>
    </row>
    <row r="439" ht="12.75">
      <c r="AF439" s="9"/>
    </row>
    <row r="440" ht="12.75">
      <c r="AF440" s="9"/>
    </row>
    <row r="441" ht="12.75">
      <c r="AF441" s="9"/>
    </row>
    <row r="442" ht="12.75">
      <c r="AF442" s="9"/>
    </row>
    <row r="443" ht="12.75">
      <c r="AF443" s="9"/>
    </row>
    <row r="444" ht="12.75">
      <c r="AF444" s="9"/>
    </row>
    <row r="445" ht="12.75">
      <c r="AF445" s="9"/>
    </row>
    <row r="446" ht="12.75">
      <c r="AF446" s="9"/>
    </row>
    <row r="447" ht="12.75">
      <c r="AF447" s="9"/>
    </row>
    <row r="448" ht="12.75">
      <c r="AF448" s="9"/>
    </row>
    <row r="449" ht="12.75">
      <c r="AF449" s="9"/>
    </row>
    <row r="450" ht="12.75">
      <c r="AF450" s="9"/>
    </row>
    <row r="451" ht="12.75">
      <c r="AF451" s="9"/>
    </row>
    <row r="452" ht="12.75">
      <c r="AF452" s="9"/>
    </row>
    <row r="453" ht="12.75">
      <c r="AF453" s="9"/>
    </row>
    <row r="454" ht="12.75">
      <c r="AF454" s="9"/>
    </row>
    <row r="455" ht="12.75">
      <c r="AF455" s="9"/>
    </row>
    <row r="456" ht="12.75">
      <c r="AF456" s="9"/>
    </row>
    <row r="457" ht="12.75">
      <c r="AF457" s="9"/>
    </row>
    <row r="458" ht="12.75">
      <c r="AF458" s="9"/>
    </row>
    <row r="459" ht="12.75">
      <c r="AF459" s="9"/>
    </row>
    <row r="460" ht="12.75">
      <c r="AF460" s="9"/>
    </row>
    <row r="461" ht="12.75">
      <c r="AF461" s="9"/>
    </row>
    <row r="462" ht="12.75">
      <c r="AF462" s="9"/>
    </row>
    <row r="463" ht="12.75">
      <c r="AF463" s="9"/>
    </row>
    <row r="464" ht="12.75">
      <c r="AF464" s="9"/>
    </row>
    <row r="465" ht="12.75">
      <c r="AF465" s="9"/>
    </row>
    <row r="466" ht="12.75">
      <c r="AF466" s="9"/>
    </row>
    <row r="467" ht="12.75">
      <c r="AF467" s="9"/>
    </row>
  </sheetData>
  <sheetProtection sheet="1" objects="1" scenarios="1"/>
  <conditionalFormatting sqref="AN89:AN92 AN71:AN75 AN68 AN154:AN156 AN176:AN181 AN186 AN189:AN200 AN63:AN64 AN159:AN160 AN172:AN174 AN163 AN151:AN152 AN121:AN138 AN140:AN149 AN101:AN106 AN94:AN99 AN77:AN84 AN115:AN119">
    <cfRule type="expression" priority="1" dxfId="0" stopIfTrue="1">
      <formula>IF(AO63="","",AO63&gt;1)</formula>
    </cfRule>
  </conditionalFormatting>
  <conditionalFormatting sqref="AO11:AO13 AO15:AO17 AO19:AO32 AO7:AO9">
    <cfRule type="expression" priority="2" dxfId="0" stopIfTrue="1">
      <formula>IF(AR7="","",AR7&gt;1)</formula>
    </cfRule>
  </conditionalFormatting>
  <conditionalFormatting sqref="I40">
    <cfRule type="expression" priority="3" dxfId="0" stopIfTrue="1">
      <formula>G40&gt;1</formula>
    </cfRule>
  </conditionalFormatting>
  <conditionalFormatting sqref="AO14">
    <cfRule type="expression" priority="4" dxfId="0" stopIfTrue="1">
      <formula>AR13&gt;1</formula>
    </cfRule>
  </conditionalFormatting>
  <conditionalFormatting sqref="AP14">
    <cfRule type="expression" priority="5" dxfId="0" stopIfTrue="1">
      <formula>AR13&gt;1</formula>
    </cfRule>
  </conditionalFormatting>
  <conditionalFormatting sqref="I206 I217">
    <cfRule type="expression" priority="6" dxfId="0" stopIfTrue="1">
      <formula>AO143&gt;1</formula>
    </cfRule>
  </conditionalFormatting>
  <conditionalFormatting sqref="I163 I172:I200 I106 I115:I138 I147 I63:I65 I89:I98 I68">
    <cfRule type="expression" priority="7" dxfId="0" stopIfTrue="1">
      <formula>AO63&gt;1</formula>
    </cfRule>
  </conditionalFormatting>
  <conditionalFormatting sqref="I165:I171">
    <cfRule type="expression" priority="8" dxfId="0" stopIfTrue="1">
      <formula>AO154&gt;1</formula>
    </cfRule>
  </conditionalFormatting>
  <conditionalFormatting sqref="I154:I159 I161:I162">
    <cfRule type="expression" priority="9" dxfId="0" stopIfTrue="1">
      <formula>AO141&gt;1</formula>
    </cfRule>
  </conditionalFormatting>
  <conditionalFormatting sqref="I107 I110:I113">
    <cfRule type="expression" priority="10" dxfId="0" stopIfTrue="1">
      <formula>AO99&gt;1</formula>
    </cfRule>
  </conditionalFormatting>
  <conditionalFormatting sqref="I70:I88">
    <cfRule type="expression" priority="15" dxfId="0" stopIfTrue="1">
      <formula>AO66&gt;1</formula>
    </cfRule>
  </conditionalFormatting>
  <conditionalFormatting sqref="AO115:AO119 AO186 AO176:AO181 AO189:AO200 AO172:AO174 AO151:AO152 AO163 AO63:AO64 AO159:AO160 AT40:AT51 AT7:AT14 AO71:AO75 AO77:AO84 AO89:AO92 AT109:AT116 AT118:AT120 AT16:AT38 AT73:AT76 AR7:AR32 AO94:AO99 AO101:AO106 G40 AO154:AO156 AO121:AO138 AO140:AO149 AO68">
    <cfRule type="cellIs" priority="11" dxfId="0" operator="greaterThan" stopIfTrue="1">
      <formula>1</formula>
    </cfRule>
  </conditionalFormatting>
  <conditionalFormatting sqref="I104:I105 I114 I139:I146">
    <cfRule type="expression" priority="14" dxfId="0" stopIfTrue="1">
      <formula>#REF!&gt;1</formula>
    </cfRule>
  </conditionalFormatting>
  <conditionalFormatting sqref="I160">
    <cfRule type="expression" priority="16" dxfId="0" stopIfTrue="1">
      <formula>#REF!&gt;1</formula>
    </cfRule>
  </conditionalFormatting>
  <conditionalFormatting sqref="I247:I248">
    <cfRule type="expression" priority="17" dxfId="0" stopIfTrue="1">
      <formula>#REF!&gt;1</formula>
    </cfRule>
  </conditionalFormatting>
  <conditionalFormatting sqref="I203">
    <cfRule type="expression" priority="18" dxfId="0" stopIfTrue="1">
      <formula>#REF!&gt;1</formula>
    </cfRule>
  </conditionalFormatting>
  <conditionalFormatting sqref="G38:G39">
    <cfRule type="expression" priority="19" dxfId="0" stopIfTrue="1">
      <formula>$G$40&gt;1</formula>
    </cfRule>
  </conditionalFormatting>
  <dataValidations count="18">
    <dataValidation type="decimal" operator="greaterThanOrEqual" allowBlank="1" showInputMessage="1" showErrorMessage="1" prompt="The beam setback distance (s) is typically = 1/4&quot; to 1/2&quot;." errorTitle="Warning!" error="Setback distance MUST BE &gt;= 0!" sqref="D28">
      <formula1>0</formula1>
    </dataValidation>
    <dataValidation type="decimal" allowBlank="1" showInputMessage="1" showErrorMessage="1" prompt="The depth of the bottom flange cope (dc2) must be &lt;= 0.2*d.  If cope length (c) is input = 0, then cope depth (dc2) must be input = 0." errorTitle="Warning!" error="The value of dc2 MUST BE &lt;= 0.2*d" sqref="D31">
      <formula1>0</formula1>
      <formula2>0.2*$B$45</formula2>
    </dataValidation>
    <dataValidation type="decimal" allowBlank="1" showInputMessage="1" showErrorMessage="1" prompt="The length of the cope (c) for either top flange or both flanges must be &lt;= 2*d.  For both flanges coped, this program assumes equal cope lengths.  For uncoped beams, when both cope depths (dc1 and dc2) are = 0, then cope length (c) must be input = 0." errorTitle="Warning!" error="The value of c MUST BE &lt;= 2*d" sqref="D29">
      <formula1>0</formula1>
      <formula2>2*$B$45</formula2>
    </dataValidation>
    <dataValidation type="decimal" operator="greaterThanOrEqual" allowBlank="1" showInputMessage="1" showErrorMessage="1" prompt="The depth of the top flange cope (dc1) must be &lt;= d/2  for case of top flange cope only, and &lt;= 0.2*d  for both flanges coped.  If cope length (c) is input = 0, then cope depth (dc1) must be input = 0." errorTitle="Warning!" error="The value of dc1 MUST BE &lt;= 0.2*d" sqref="D30">
      <formula1>0</formula1>
    </dataValidation>
    <dataValidation type="list" allowBlank="1" showInputMessage="1" showErrorMessage="1" sqref="D33">
      <formula1>$K$3:$K$4</formula1>
    </dataValidation>
    <dataValidation type="list" allowBlank="1" showInputMessage="1" showErrorMessage="1" prompt="If beam has axial load (P) and there is no beam or brace on opposite side of girder web, then the girder web should be checked (Yes) for web bending and out-of-plane web shear.  For most cases the input here will be &quot;No&quot;." sqref="D34">
      <formula1>$K$34:$K$35</formula1>
    </dataValidation>
    <dataValidation allowBlank="1" showInputMessage="1" showErrorMessage="1" prompt="The distance, 'D1', is the distance from the top of the beam down to the top row of the bolts." sqref="D27"/>
    <dataValidation type="list" allowBlank="1" showInputMessage="1" showErrorMessage="1" promptTitle="Clip Angle Overall Length:" prompt="32&quot;, 30&quot;, 28&quot;, 26&quot;, 24&quot;, 22&quot;, 20&quot;, 18&quot;, 16&quot;, 14&quot;, 12&quot;, 10&quot;, 9&quot;, 8&quot;, 7&quot;, 6&quot;, 5&quot;, 4&quot;" error="Invalid Angle Length!" sqref="D26">
      <formula1>$K$16:$K$33</formula1>
    </dataValidation>
    <dataValidation type="decimal" allowBlank="1" showInputMessage="1" showErrorMessage="1" prompt="Weld Size must be less than ta - 1/16&quot;, but never greater than 3/8&quot;" error="Invalid fillet weld size!&#10;Must be less than ta-1/16&quot;" sqref="D25">
      <formula1>0.125</formula1>
      <formula2>MIN(3/8,$D$22-1/16)</formula2>
    </dataValidation>
    <dataValidation type="decimal" allowBlank="1" showInputMessage="1" showErrorMessage="1" prompt="Weld Size must be less than ta - 1/8&quot;, but never greater than 5/16&quot;" error="Invalid fillet weld size!&#10;Must be less than ta-1/8&quot;" sqref="D24">
      <formula1>0.125</formula1>
      <formula2>MIN(5/16,$D$22-1/8)</formula2>
    </dataValidation>
    <dataValidation type="decimal" operator="greaterThanOrEqual" allowBlank="1" showInputMessage="1" showErrorMessage="1" error="The value input MUST BE &gt;= 0 !" sqref="D16">
      <formula1>0</formula1>
    </dataValidation>
    <dataValidation type="decimal" operator="greaterThanOrEqual" allowBlank="1" showInputMessage="1" showErrorMessage="1" prompt="The beam axial force, 'P', is the axial transfer or drag force which is to be considered in the connection analysis." error="The value input MUST BE &gt;= 0 !" sqref="D17">
      <formula1>0</formula1>
    </dataValidation>
    <dataValidation type="list" allowBlank="1" showInputMessage="1" showErrorMessage="1" errorTitle="Warning!" error="Invalid steel yield strength" sqref="D12:D13 D23">
      <formula1>$K$3:$K$4</formula1>
    </dataValidation>
    <dataValidation type="list" allowBlank="1" showInputMessage="1" showErrorMessage="1" prompt="User may either select desired size from pick box or type in the size designation.  Note:  input is not case sensitive." sqref="D11">
      <formula1>$AF$6:$AF$336</formula1>
    </dataValidation>
    <dataValidation type="list" allowBlank="1" showInputMessage="1" showErrorMessage="1" sqref="D22">
      <formula1>$K$12:$K$15</formula1>
    </dataValidation>
    <dataValidation allowBlank="1" showInputMessage="1" showErrorMessage="1" prompt="'Lc' is the length of the angle leg (OSL) connected to the girder web.  From AISC Table 10-3, for L &lt; 18&quot;, Lc = 3&quot;, for L &gt;= 18&quot;, Lc = 4&quot;." sqref="D20"/>
    <dataValidation operator="greaterThanOrEqual" allowBlank="1" showInputMessage="1" showErrorMessage="1" prompt="'Lb' is the length of the angle leg connected to the beam web.  Per AISC Table 10-3, Lb = 3&quot;." errorTitle="Warning!" error="Value of Lb MUST BE &gt;= 3&quot;" sqref="D21"/>
    <dataValidation type="list" allowBlank="1" showInputMessage="1" showErrorMessage="1" prompt="User may either select desired size from pick box or type in the size designation.  Note:  input is not case sensitive." sqref="D10">
      <formula1>$AF$6:$AF$406</formula1>
    </dataValidation>
  </dataValidations>
  <printOptions/>
  <pageMargins left="1" right="0.5" top="1.25" bottom="1" header="0.5" footer="0.5"/>
  <pageSetup horizontalDpi="300" verticalDpi="300" orientation="portrait" scale="96" r:id="rId4"/>
  <headerFooter alignWithMargins="0">
    <oddHeader>&amp;R&amp;8"CLIPCONN-ALL-WELD.xls" Program
Created By:  Joel Berg, P.E.
Based on a Program By: Alex Tomanovich, P.E.
Version 1.2</oddHeader>
    <oddFooter>&amp;L&amp;8&amp;D
&amp;T&amp;C&amp;8&amp;Z
&amp;F&amp;R&amp;8Page &amp;P
of &amp;N</oddFooter>
  </headerFooter>
  <rowBreaks count="4" manualBreakCount="4">
    <brk id="50" max="8" man="1"/>
    <brk id="100" max="8" man="1"/>
    <brk id="150" max="8" man="1"/>
    <brk id="200" max="33" man="1"/>
  </rowBreaks>
  <colBreaks count="1" manualBreakCount="1">
    <brk id="9" max="199" man="1"/>
  </colBreaks>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CA391"/>
  <sheetViews>
    <sheetView zoomScalePageLayoutView="0" workbookViewId="0" topLeftCell="A1">
      <selection activeCell="A1" sqref="A1"/>
    </sheetView>
  </sheetViews>
  <sheetFormatPr defaultColWidth="9.140625" defaultRowHeight="12.75"/>
  <cols>
    <col min="1" max="1" width="12.7109375" style="9" customWidth="1"/>
    <col min="2" max="2" width="7.7109375" style="9" customWidth="1"/>
    <col min="3" max="4" width="9.140625" style="9" customWidth="1"/>
    <col min="5" max="5" width="8.7109375" style="9" customWidth="1"/>
    <col min="6" max="6" width="9.140625" style="9" customWidth="1"/>
    <col min="7" max="8" width="8.7109375" style="9" customWidth="1"/>
    <col min="9" max="10" width="9.140625" style="9" customWidth="1"/>
    <col min="11" max="11" width="11.140625" style="9" customWidth="1"/>
    <col min="12" max="12" width="7.7109375" style="9" hidden="1" customWidth="1"/>
    <col min="13" max="20" width="8.8515625" style="29" hidden="1" customWidth="1"/>
    <col min="21" max="50" width="8.8515625" style="34" hidden="1" customWidth="1"/>
    <col min="51" max="51" width="9.28125" style="34" hidden="1" customWidth="1"/>
    <col min="52" max="53" width="6.7109375" style="34" hidden="1" customWidth="1"/>
    <col min="54" max="54" width="10.7109375" style="34" hidden="1" customWidth="1"/>
    <col min="55" max="56" width="9.28125" style="34" hidden="1" customWidth="1"/>
    <col min="57" max="57" width="0" style="34" hidden="1" customWidth="1"/>
    <col min="58" max="58" width="15.140625" style="34" hidden="1" customWidth="1"/>
    <col min="59" max="59" width="12.28125" style="29" hidden="1" customWidth="1"/>
    <col min="60" max="60" width="9.140625" style="29" customWidth="1"/>
    <col min="61" max="61" width="9.7109375" style="29" customWidth="1"/>
    <col min="62" max="64" width="9.140625" style="29" customWidth="1"/>
    <col min="65" max="65" width="9.140625" style="31" customWidth="1"/>
    <col min="66" max="73" width="9.140625" style="29" customWidth="1"/>
    <col min="74" max="74" width="9.140625" style="130" customWidth="1"/>
    <col min="75" max="75" width="9.140625" style="34" customWidth="1"/>
    <col min="76" max="76" width="9.140625" style="31" customWidth="1"/>
    <col min="77" max="95" width="9.140625" style="29" customWidth="1"/>
    <col min="96" max="16384" width="9.140625" style="9" customWidth="1"/>
  </cols>
  <sheetData>
    <row r="1" spans="1:74" ht="15.75">
      <c r="A1" s="373" t="s">
        <v>1079</v>
      </c>
      <c r="B1" s="374"/>
      <c r="C1" s="375"/>
      <c r="D1" s="375"/>
      <c r="E1" s="375"/>
      <c r="F1" s="375"/>
      <c r="G1" s="374"/>
      <c r="H1" s="374"/>
      <c r="I1" s="374"/>
      <c r="J1" s="374"/>
      <c r="K1" s="376"/>
      <c r="L1" s="201"/>
      <c r="M1" s="131"/>
      <c r="O1" s="30" t="s">
        <v>284</v>
      </c>
      <c r="P1" s="30"/>
      <c r="R1" s="44"/>
      <c r="S1" s="584"/>
      <c r="T1" s="110"/>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31"/>
      <c r="BH1" s="186" t="s">
        <v>1251</v>
      </c>
      <c r="BR1" s="9"/>
      <c r="BS1" s="9"/>
      <c r="BT1" s="9"/>
      <c r="BU1" s="9"/>
      <c r="BV1" s="9"/>
    </row>
    <row r="2" spans="1:75" ht="12.75">
      <c r="A2" s="379" t="s">
        <v>155</v>
      </c>
      <c r="B2" s="377"/>
      <c r="C2" s="377"/>
      <c r="D2" s="377"/>
      <c r="E2" s="377"/>
      <c r="F2" s="377"/>
      <c r="G2" s="377"/>
      <c r="H2" s="377"/>
      <c r="I2" s="377"/>
      <c r="J2" s="377"/>
      <c r="K2" s="12"/>
      <c r="L2" s="201"/>
      <c r="M2" s="26"/>
      <c r="R2" s="44"/>
      <c r="S2" s="585"/>
      <c r="T2" s="113"/>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31"/>
      <c r="BR2" s="57"/>
      <c r="BW2" s="84"/>
    </row>
    <row r="3" spans="1:63" ht="12.75">
      <c r="A3" s="380" t="s">
        <v>154</v>
      </c>
      <c r="B3" s="391"/>
      <c r="C3" s="391"/>
      <c r="D3" s="391"/>
      <c r="E3" s="391"/>
      <c r="F3" s="391"/>
      <c r="G3" s="391"/>
      <c r="H3" s="391"/>
      <c r="I3" s="391"/>
      <c r="J3" s="391"/>
      <c r="K3" s="392"/>
      <c r="L3" s="201"/>
      <c r="M3" s="40">
        <v>36</v>
      </c>
      <c r="O3" s="50" t="s">
        <v>1036</v>
      </c>
      <c r="P3" s="34" t="s">
        <v>1037</v>
      </c>
      <c r="Q3" s="34" t="s">
        <v>1038</v>
      </c>
      <c r="R3" s="34" t="s">
        <v>1039</v>
      </c>
      <c r="S3" s="34" t="s">
        <v>1040</v>
      </c>
      <c r="T3" s="34" t="s">
        <v>1040</v>
      </c>
      <c r="U3" s="34" t="s">
        <v>1041</v>
      </c>
      <c r="V3" s="34" t="s">
        <v>1042</v>
      </c>
      <c r="W3" s="34" t="s">
        <v>1042</v>
      </c>
      <c r="X3" s="34" t="s">
        <v>1043</v>
      </c>
      <c r="Y3" s="34" t="s">
        <v>1043</v>
      </c>
      <c r="Z3" s="34" t="s">
        <v>1043</v>
      </c>
      <c r="AA3" s="34" t="s">
        <v>1044</v>
      </c>
      <c r="AB3" s="34" t="s">
        <v>1044</v>
      </c>
      <c r="AC3" s="34" t="s">
        <v>1044</v>
      </c>
      <c r="AD3" s="34" t="s">
        <v>1045</v>
      </c>
      <c r="AE3" s="34" t="s">
        <v>1045</v>
      </c>
      <c r="AF3" s="34" t="s">
        <v>1045</v>
      </c>
      <c r="AG3" s="34" t="s">
        <v>1046</v>
      </c>
      <c r="AH3" s="34" t="s">
        <v>1046</v>
      </c>
      <c r="AI3" s="34" t="s">
        <v>1046</v>
      </c>
      <c r="AJ3" s="34" t="s">
        <v>1046</v>
      </c>
      <c r="AK3" s="34" t="s">
        <v>1047</v>
      </c>
      <c r="AL3" s="34" t="s">
        <v>1047</v>
      </c>
      <c r="AM3" s="34" t="s">
        <v>1047</v>
      </c>
      <c r="AN3" s="34" t="s">
        <v>1047</v>
      </c>
      <c r="AO3" s="34" t="s">
        <v>1048</v>
      </c>
      <c r="AP3" s="34" t="s">
        <v>1048</v>
      </c>
      <c r="AQ3" s="34" t="s">
        <v>1048</v>
      </c>
      <c r="AR3" s="34" t="s">
        <v>1048</v>
      </c>
      <c r="AS3" s="34" t="s">
        <v>1048</v>
      </c>
      <c r="AT3" s="34" t="s">
        <v>1049</v>
      </c>
      <c r="AU3" s="34" t="s">
        <v>1049</v>
      </c>
      <c r="AV3" s="34" t="s">
        <v>1049</v>
      </c>
      <c r="AW3" s="34" t="s">
        <v>1049</v>
      </c>
      <c r="AX3" s="34" t="s">
        <v>1049</v>
      </c>
      <c r="AY3" s="39" t="str">
        <f>$BI$32</f>
        <v>W8x10</v>
      </c>
      <c r="BB3" s="327" t="s">
        <v>1253</v>
      </c>
      <c r="BC3" s="328"/>
      <c r="BD3" s="328"/>
      <c r="BE3" s="328"/>
      <c r="BF3" s="329"/>
      <c r="BG3" s="34"/>
      <c r="BH3" s="9"/>
      <c r="BI3" s="9"/>
      <c r="BJ3" s="9"/>
      <c r="BK3" s="34"/>
    </row>
    <row r="4" spans="1:62" ht="12.75">
      <c r="A4" s="381" t="s">
        <v>589</v>
      </c>
      <c r="B4" s="384"/>
      <c r="C4" s="385"/>
      <c r="D4" s="385"/>
      <c r="E4" s="385"/>
      <c r="F4" s="385"/>
      <c r="G4" s="188" t="s">
        <v>590</v>
      </c>
      <c r="H4" s="382"/>
      <c r="I4" s="383"/>
      <c r="J4" s="383"/>
      <c r="K4" s="387"/>
      <c r="L4" s="201"/>
      <c r="M4" s="40">
        <v>50</v>
      </c>
      <c r="N4" s="38"/>
      <c r="O4" s="33" t="s">
        <v>1145</v>
      </c>
      <c r="P4" s="34">
        <v>4</v>
      </c>
      <c r="Q4" s="34">
        <v>6</v>
      </c>
      <c r="R4" s="34">
        <v>7</v>
      </c>
      <c r="S4" s="34">
        <v>7</v>
      </c>
      <c r="T4" s="34">
        <v>9</v>
      </c>
      <c r="U4" s="34">
        <v>10</v>
      </c>
      <c r="V4" s="34">
        <v>10</v>
      </c>
      <c r="W4" s="34">
        <v>12</v>
      </c>
      <c r="X4" s="34">
        <v>10</v>
      </c>
      <c r="Y4" s="34">
        <v>12</v>
      </c>
      <c r="Z4" s="34">
        <v>14</v>
      </c>
      <c r="AA4" s="34">
        <v>14</v>
      </c>
      <c r="AB4" s="34">
        <v>16</v>
      </c>
      <c r="AC4" s="34">
        <v>18</v>
      </c>
      <c r="AD4" s="34">
        <v>16</v>
      </c>
      <c r="AE4" s="34">
        <v>18</v>
      </c>
      <c r="AF4" s="34">
        <v>20</v>
      </c>
      <c r="AG4" s="34">
        <v>16</v>
      </c>
      <c r="AH4" s="34">
        <v>18</v>
      </c>
      <c r="AI4" s="34">
        <v>20</v>
      </c>
      <c r="AJ4" s="34">
        <v>22</v>
      </c>
      <c r="AK4" s="34">
        <v>20</v>
      </c>
      <c r="AL4" s="34">
        <v>22</v>
      </c>
      <c r="AM4" s="34">
        <v>24</v>
      </c>
      <c r="AN4" s="34">
        <v>26</v>
      </c>
      <c r="AO4" s="34">
        <v>20</v>
      </c>
      <c r="AP4" s="34">
        <v>22</v>
      </c>
      <c r="AQ4" s="34">
        <v>24</v>
      </c>
      <c r="AR4" s="34">
        <v>26</v>
      </c>
      <c r="AS4" s="34">
        <v>28</v>
      </c>
      <c r="AT4" s="34">
        <v>22</v>
      </c>
      <c r="AU4" s="34">
        <v>24</v>
      </c>
      <c r="AV4" s="34">
        <v>26</v>
      </c>
      <c r="AW4" s="34">
        <v>28</v>
      </c>
      <c r="AX4" s="34">
        <v>30</v>
      </c>
      <c r="AY4" s="347">
        <f>$BK$32</f>
        <v>4</v>
      </c>
      <c r="BB4" s="336" t="s">
        <v>1252</v>
      </c>
      <c r="BC4" s="337"/>
      <c r="BD4" s="337"/>
      <c r="BE4" s="337"/>
      <c r="BF4" s="338"/>
      <c r="BH4" s="9"/>
      <c r="BI4" s="9"/>
      <c r="BJ4" s="9"/>
    </row>
    <row r="5" spans="1:62" ht="12.75">
      <c r="A5" s="381" t="s">
        <v>591</v>
      </c>
      <c r="B5" s="384"/>
      <c r="C5" s="393"/>
      <c r="D5" s="393"/>
      <c r="E5" s="393"/>
      <c r="F5" s="393"/>
      <c r="G5" s="188" t="s">
        <v>592</v>
      </c>
      <c r="H5" s="382"/>
      <c r="I5" s="188" t="s">
        <v>593</v>
      </c>
      <c r="J5" s="535"/>
      <c r="K5" s="534"/>
      <c r="L5" s="201"/>
      <c r="M5" s="84">
        <v>32</v>
      </c>
      <c r="N5" s="38"/>
      <c r="O5" s="33" t="s">
        <v>13</v>
      </c>
      <c r="P5" s="537">
        <f>$D$32</f>
        <v>0.17</v>
      </c>
      <c r="Q5" s="537">
        <f>$D$33</f>
        <v>0.17</v>
      </c>
      <c r="R5" s="537">
        <f>$D$34</f>
        <v>0.19</v>
      </c>
      <c r="S5" s="538">
        <f>$D$35</f>
        <v>0.2</v>
      </c>
      <c r="T5" s="538">
        <f>$D$35</f>
        <v>0.2</v>
      </c>
      <c r="U5" s="537">
        <f>$D$37</f>
        <v>0.23</v>
      </c>
      <c r="V5" s="538">
        <f>$D$38</f>
        <v>0.25</v>
      </c>
      <c r="W5" s="538">
        <f>$D$38</f>
        <v>0.25</v>
      </c>
      <c r="X5" s="538">
        <f>$D$40</f>
        <v>0.3</v>
      </c>
      <c r="Y5" s="538">
        <f>$D$40</f>
        <v>0.3</v>
      </c>
      <c r="Z5" s="538">
        <f>$D$40</f>
        <v>0.3</v>
      </c>
      <c r="AA5" s="538">
        <f>$D$43</f>
        <v>0.35</v>
      </c>
      <c r="AB5" s="538">
        <f>$D$43</f>
        <v>0.35</v>
      </c>
      <c r="AC5" s="538">
        <f>$D$43</f>
        <v>0.35</v>
      </c>
      <c r="AD5" s="538">
        <f>$D$46</f>
        <v>0.395</v>
      </c>
      <c r="AE5" s="538">
        <f>$D$46</f>
        <v>0.395</v>
      </c>
      <c r="AF5" s="538">
        <f>$D$46</f>
        <v>0.395</v>
      </c>
      <c r="AG5" s="538">
        <f>$D$49</f>
        <v>0.46</v>
      </c>
      <c r="AH5" s="538">
        <f>$D$49</f>
        <v>0.46</v>
      </c>
      <c r="AI5" s="538">
        <f>$D$49</f>
        <v>0.46</v>
      </c>
      <c r="AJ5" s="538">
        <f>$D$49</f>
        <v>0.46</v>
      </c>
      <c r="AK5" s="538">
        <f>$D$53</f>
        <v>0.47</v>
      </c>
      <c r="AL5" s="538">
        <f>$D$53</f>
        <v>0.47</v>
      </c>
      <c r="AM5" s="538">
        <f>$D$53</f>
        <v>0.47</v>
      </c>
      <c r="AN5" s="538">
        <f>$D$53</f>
        <v>0.47</v>
      </c>
      <c r="AO5" s="538">
        <f>$D$57</f>
        <v>0.55</v>
      </c>
      <c r="AP5" s="538">
        <f>$D$57</f>
        <v>0.55</v>
      </c>
      <c r="AQ5" s="538">
        <f>$D$57</f>
        <v>0.55</v>
      </c>
      <c r="AR5" s="538">
        <f>$D$57</f>
        <v>0.55</v>
      </c>
      <c r="AS5" s="538">
        <f>$D$57</f>
        <v>0.55</v>
      </c>
      <c r="AT5" s="538">
        <f>$D$62</f>
        <v>0.6</v>
      </c>
      <c r="AU5" s="538">
        <f>$D$62</f>
        <v>0.6</v>
      </c>
      <c r="AV5" s="538">
        <f>$D$62</f>
        <v>0.6</v>
      </c>
      <c r="AW5" s="538">
        <f>$D$62</f>
        <v>0.6</v>
      </c>
      <c r="AX5" s="538">
        <f>$D$62</f>
        <v>0.6</v>
      </c>
      <c r="AY5" s="538">
        <f>$BJ$32</f>
        <v>0.17</v>
      </c>
      <c r="BB5" s="339" t="s">
        <v>238</v>
      </c>
      <c r="BC5" s="331" t="s">
        <v>320</v>
      </c>
      <c r="BD5" s="340"/>
      <c r="BE5" s="209"/>
      <c r="BF5" s="340"/>
      <c r="BG5" s="202"/>
      <c r="BH5" s="9"/>
      <c r="BI5" s="9"/>
      <c r="BJ5" s="9"/>
    </row>
    <row r="6" spans="1:62" ht="12.75">
      <c r="A6" s="62"/>
      <c r="B6" s="104"/>
      <c r="C6" s="104"/>
      <c r="D6" s="104"/>
      <c r="E6" s="104"/>
      <c r="F6" s="104"/>
      <c r="G6" s="191"/>
      <c r="H6" s="187"/>
      <c r="I6" s="191"/>
      <c r="J6" s="187"/>
      <c r="K6" s="293"/>
      <c r="L6" s="203"/>
      <c r="M6" s="84">
        <v>30</v>
      </c>
      <c r="N6" s="38"/>
      <c r="O6" s="202" t="s">
        <v>1050</v>
      </c>
      <c r="P6" s="202"/>
      <c r="Q6" s="202"/>
      <c r="R6" s="202"/>
      <c r="S6" s="202"/>
      <c r="T6" s="202"/>
      <c r="AY6" s="31"/>
      <c r="AZ6" s="31"/>
      <c r="BB6" s="341" t="s">
        <v>286</v>
      </c>
      <c r="BC6" s="342">
        <v>1.02</v>
      </c>
      <c r="BD6" s="343"/>
      <c r="BE6" s="551"/>
      <c r="BF6" s="551"/>
      <c r="BG6" s="551"/>
      <c r="BH6" s="25"/>
      <c r="BI6" s="25"/>
      <c r="BJ6" s="25"/>
    </row>
    <row r="7" spans="1:62" ht="12.75">
      <c r="A7" s="11" t="s">
        <v>235</v>
      </c>
      <c r="B7" s="104"/>
      <c r="C7" s="104"/>
      <c r="D7" s="104"/>
      <c r="E7" s="278"/>
      <c r="F7" s="104"/>
      <c r="G7" s="187"/>
      <c r="H7" s="28" t="str">
        <f>"      ta="&amp;$D$12</f>
        <v>      ta=0.375</v>
      </c>
      <c r="I7" s="292"/>
      <c r="J7" s="187"/>
      <c r="K7" s="193"/>
      <c r="L7" s="203"/>
      <c r="M7" s="84">
        <v>28</v>
      </c>
      <c r="O7" s="25" t="s">
        <v>1146</v>
      </c>
      <c r="BB7" s="344" t="s">
        <v>287</v>
      </c>
      <c r="BC7" s="345">
        <v>0.87</v>
      </c>
      <c r="BD7" s="343"/>
      <c r="BE7" s="556"/>
      <c r="BF7" s="556"/>
      <c r="BG7" s="556"/>
      <c r="BH7" s="25"/>
      <c r="BI7" s="25"/>
      <c r="BJ7" s="25"/>
    </row>
    <row r="8" spans="1:62" ht="12.75">
      <c r="A8" s="19"/>
      <c r="B8" s="104"/>
      <c r="C8" s="104"/>
      <c r="D8" s="104"/>
      <c r="E8" s="15" t="s">
        <v>655</v>
      </c>
      <c r="F8" s="10"/>
      <c r="G8" s="137"/>
      <c r="H8" s="15"/>
      <c r="I8" s="135" t="s">
        <v>653</v>
      </c>
      <c r="J8" s="196"/>
      <c r="K8" s="289"/>
      <c r="L8" s="205"/>
      <c r="M8" s="575">
        <v>26</v>
      </c>
      <c r="N8" s="33"/>
      <c r="O8" s="33" t="s">
        <v>1147</v>
      </c>
      <c r="P8" s="594">
        <f aca="true" t="shared" si="0" ref="P8:AY8">IF(P$4&gt;=18,4,3)</f>
        <v>3</v>
      </c>
      <c r="Q8" s="594">
        <f t="shared" si="0"/>
        <v>3</v>
      </c>
      <c r="R8" s="594">
        <f t="shared" si="0"/>
        <v>3</v>
      </c>
      <c r="S8" s="594">
        <f t="shared" si="0"/>
        <v>3</v>
      </c>
      <c r="T8" s="594">
        <f t="shared" si="0"/>
        <v>3</v>
      </c>
      <c r="U8" s="594">
        <f t="shared" si="0"/>
        <v>3</v>
      </c>
      <c r="V8" s="594">
        <f t="shared" si="0"/>
        <v>3</v>
      </c>
      <c r="W8" s="594">
        <f t="shared" si="0"/>
        <v>3</v>
      </c>
      <c r="X8" s="594">
        <f t="shared" si="0"/>
        <v>3</v>
      </c>
      <c r="Y8" s="594">
        <f t="shared" si="0"/>
        <v>3</v>
      </c>
      <c r="Z8" s="594">
        <f t="shared" si="0"/>
        <v>3</v>
      </c>
      <c r="AA8" s="594">
        <f t="shared" si="0"/>
        <v>3</v>
      </c>
      <c r="AB8" s="594">
        <f t="shared" si="0"/>
        <v>3</v>
      </c>
      <c r="AC8" s="594">
        <f t="shared" si="0"/>
        <v>4</v>
      </c>
      <c r="AD8" s="594">
        <f t="shared" si="0"/>
        <v>3</v>
      </c>
      <c r="AE8" s="594">
        <f t="shared" si="0"/>
        <v>4</v>
      </c>
      <c r="AF8" s="594">
        <f t="shared" si="0"/>
        <v>4</v>
      </c>
      <c r="AG8" s="594">
        <f t="shared" si="0"/>
        <v>3</v>
      </c>
      <c r="AH8" s="594">
        <f t="shared" si="0"/>
        <v>4</v>
      </c>
      <c r="AI8" s="594">
        <f t="shared" si="0"/>
        <v>4</v>
      </c>
      <c r="AJ8" s="594">
        <f t="shared" si="0"/>
        <v>4</v>
      </c>
      <c r="AK8" s="594">
        <f t="shared" si="0"/>
        <v>4</v>
      </c>
      <c r="AL8" s="594">
        <f t="shared" si="0"/>
        <v>4</v>
      </c>
      <c r="AM8" s="594">
        <f t="shared" si="0"/>
        <v>4</v>
      </c>
      <c r="AN8" s="594">
        <f t="shared" si="0"/>
        <v>4</v>
      </c>
      <c r="AO8" s="594">
        <f t="shared" si="0"/>
        <v>4</v>
      </c>
      <c r="AP8" s="594">
        <f t="shared" si="0"/>
        <v>4</v>
      </c>
      <c r="AQ8" s="594">
        <f t="shared" si="0"/>
        <v>4</v>
      </c>
      <c r="AR8" s="594">
        <f t="shared" si="0"/>
        <v>4</v>
      </c>
      <c r="AS8" s="594">
        <f t="shared" si="0"/>
        <v>4</v>
      </c>
      <c r="AT8" s="594">
        <f t="shared" si="0"/>
        <v>4</v>
      </c>
      <c r="AU8" s="594">
        <f t="shared" si="0"/>
        <v>4</v>
      </c>
      <c r="AV8" s="594">
        <f t="shared" si="0"/>
        <v>4</v>
      </c>
      <c r="AW8" s="594">
        <f t="shared" si="0"/>
        <v>4</v>
      </c>
      <c r="AX8" s="594">
        <f t="shared" si="0"/>
        <v>4</v>
      </c>
      <c r="AY8" s="594">
        <f t="shared" si="0"/>
        <v>3</v>
      </c>
      <c r="BB8" s="344" t="s">
        <v>267</v>
      </c>
      <c r="BC8" s="345">
        <v>1.024</v>
      </c>
      <c r="BD8" s="343"/>
      <c r="BE8" s="577"/>
      <c r="BF8" s="577"/>
      <c r="BG8" s="577"/>
      <c r="BH8" s="279"/>
      <c r="BI8" s="25"/>
      <c r="BJ8" s="25"/>
    </row>
    <row r="9" spans="1:62" ht="12.75">
      <c r="A9" s="19"/>
      <c r="B9" s="10"/>
      <c r="C9" s="44" t="s">
        <v>1033</v>
      </c>
      <c r="D9" s="280">
        <v>50</v>
      </c>
      <c r="E9" s="110" t="s">
        <v>245</v>
      </c>
      <c r="F9" s="119"/>
      <c r="G9" s="10"/>
      <c r="I9" s="28"/>
      <c r="J9" s="89"/>
      <c r="K9" s="289"/>
      <c r="L9" s="44"/>
      <c r="M9" s="575">
        <v>24</v>
      </c>
      <c r="N9" s="74"/>
      <c r="O9" s="33" t="s">
        <v>427</v>
      </c>
      <c r="P9" s="3">
        <f aca="true" t="shared" si="1" ref="P9:AY9">(2*0.928*16*$D$15*P$4)/(SQRT(1+(12.96*P$8^2/P$4^2)))</f>
        <v>12.892308888171808</v>
      </c>
      <c r="Q9" s="3">
        <f t="shared" si="1"/>
        <v>27.040598408026238</v>
      </c>
      <c r="R9" s="3">
        <f t="shared" si="1"/>
        <v>35.33144870805198</v>
      </c>
      <c r="S9" s="3">
        <f t="shared" si="1"/>
        <v>35.33144870805198</v>
      </c>
      <c r="T9" s="3">
        <f t="shared" si="1"/>
        <v>53.46820105997736</v>
      </c>
      <c r="U9" s="3">
        <f t="shared" si="1"/>
        <v>63.049065323042704</v>
      </c>
      <c r="V9" s="3">
        <f t="shared" si="1"/>
        <v>63.049065323042704</v>
      </c>
      <c r="W9" s="3">
        <f t="shared" si="1"/>
        <v>82.77323612608444</v>
      </c>
      <c r="X9" s="3">
        <f t="shared" si="1"/>
        <v>63.049065323042704</v>
      </c>
      <c r="Y9" s="3">
        <f t="shared" si="1"/>
        <v>82.77323612608444</v>
      </c>
      <c r="Z9" s="3">
        <f t="shared" si="1"/>
        <v>102.86835064280628</v>
      </c>
      <c r="AA9" s="3">
        <f t="shared" si="1"/>
        <v>102.86835064280628</v>
      </c>
      <c r="AB9" s="3">
        <f t="shared" si="1"/>
        <v>123.06745112675226</v>
      </c>
      <c r="AC9" s="3">
        <f t="shared" si="1"/>
        <v>130.4363259293638</v>
      </c>
      <c r="AD9" s="3">
        <f t="shared" si="1"/>
        <v>123.06745112675226</v>
      </c>
      <c r="AE9" s="3">
        <f t="shared" si="1"/>
        <v>130.4363259293638</v>
      </c>
      <c r="AF9" s="3">
        <f t="shared" si="1"/>
        <v>150.62077377339736</v>
      </c>
      <c r="AG9" s="3">
        <f t="shared" si="1"/>
        <v>123.06745112675226</v>
      </c>
      <c r="AH9" s="3">
        <f t="shared" si="1"/>
        <v>130.4363259293638</v>
      </c>
      <c r="AI9" s="3">
        <f t="shared" si="1"/>
        <v>150.62077377339736</v>
      </c>
      <c r="AJ9" s="3">
        <f t="shared" si="1"/>
        <v>170.82098168912069</v>
      </c>
      <c r="AK9" s="3">
        <f t="shared" si="1"/>
        <v>150.62077377339736</v>
      </c>
      <c r="AL9" s="3">
        <f t="shared" si="1"/>
        <v>170.82098168912069</v>
      </c>
      <c r="AM9" s="3">
        <f t="shared" si="1"/>
        <v>190.98082441469785</v>
      </c>
      <c r="AN9" s="3">
        <f t="shared" si="1"/>
        <v>211.06965839628913</v>
      </c>
      <c r="AO9" s="3">
        <f t="shared" si="1"/>
        <v>150.62077377339736</v>
      </c>
      <c r="AP9" s="3">
        <f t="shared" si="1"/>
        <v>170.82098168912069</v>
      </c>
      <c r="AQ9" s="3">
        <f t="shared" si="1"/>
        <v>190.98082441469785</v>
      </c>
      <c r="AR9" s="3">
        <f t="shared" si="1"/>
        <v>211.06965839628913</v>
      </c>
      <c r="AS9" s="3">
        <f t="shared" si="1"/>
        <v>231.07254255434736</v>
      </c>
      <c r="AT9" s="3">
        <f t="shared" si="1"/>
        <v>170.82098168912069</v>
      </c>
      <c r="AU9" s="3">
        <f t="shared" si="1"/>
        <v>190.98082441469785</v>
      </c>
      <c r="AV9" s="3">
        <f t="shared" si="1"/>
        <v>211.06965839628913</v>
      </c>
      <c r="AW9" s="3">
        <f t="shared" si="1"/>
        <v>231.07254255434736</v>
      </c>
      <c r="AX9" s="3">
        <f t="shared" si="1"/>
        <v>250.98401919916742</v>
      </c>
      <c r="AY9" s="3">
        <f t="shared" si="1"/>
        <v>12.892308888171808</v>
      </c>
      <c r="BB9" s="344" t="s">
        <v>263</v>
      </c>
      <c r="BC9" s="345">
        <v>0.79</v>
      </c>
      <c r="BD9" s="343"/>
      <c r="BE9" s="577"/>
      <c r="BF9" s="577"/>
      <c r="BG9" s="577"/>
      <c r="BH9" s="9"/>
      <c r="BI9" s="9"/>
      <c r="BJ9" s="9"/>
    </row>
    <row r="10" spans="1:59" ht="12.75">
      <c r="A10" s="49"/>
      <c r="B10" s="10"/>
      <c r="C10" s="58" t="s">
        <v>1051</v>
      </c>
      <c r="D10" s="604" t="s">
        <v>1167</v>
      </c>
      <c r="E10" s="113" t="s">
        <v>268</v>
      </c>
      <c r="F10" s="15"/>
      <c r="G10" s="37"/>
      <c r="H10" s="10"/>
      <c r="I10" s="206" t="str">
        <f>"        D1="&amp;$D$16</f>
        <v>        D1=3</v>
      </c>
      <c r="J10" s="45"/>
      <c r="K10" s="46"/>
      <c r="L10" s="58"/>
      <c r="M10" s="575">
        <v>22</v>
      </c>
      <c r="N10" s="58"/>
      <c r="O10" s="95" t="s">
        <v>463</v>
      </c>
      <c r="BB10" s="344" t="s">
        <v>262</v>
      </c>
      <c r="BC10" s="345">
        <v>0.865</v>
      </c>
      <c r="BD10" s="343"/>
      <c r="BE10" s="577"/>
      <c r="BF10" s="577"/>
      <c r="BG10" s="577"/>
    </row>
    <row r="11" spans="1:59" ht="12.75">
      <c r="A11" s="19"/>
      <c r="B11" s="10"/>
      <c r="C11" s="58" t="s">
        <v>366</v>
      </c>
      <c r="D11" s="437">
        <v>3</v>
      </c>
      <c r="E11" s="113" t="s">
        <v>268</v>
      </c>
      <c r="F11" s="119" t="str">
        <f>"L   "</f>
        <v>L   </v>
      </c>
      <c r="G11" s="15"/>
      <c r="H11" s="28"/>
      <c r="I11" s="48"/>
      <c r="J11" s="10"/>
      <c r="K11" s="14"/>
      <c r="L11" s="58"/>
      <c r="M11" s="575">
        <v>20</v>
      </c>
      <c r="N11" s="58"/>
      <c r="O11" s="202" t="s">
        <v>1064</v>
      </c>
      <c r="P11" s="34"/>
      <c r="Q11" s="34"/>
      <c r="R11" s="34"/>
      <c r="S11" s="34"/>
      <c r="T11" s="34"/>
      <c r="BB11" s="344" t="s">
        <v>264</v>
      </c>
      <c r="BC11" s="345">
        <v>0.71</v>
      </c>
      <c r="BD11" s="343"/>
      <c r="BE11" s="577"/>
      <c r="BF11" s="577"/>
      <c r="BG11" s="577"/>
    </row>
    <row r="12" spans="1:59" ht="12.75">
      <c r="A12" s="19"/>
      <c r="B12" s="10"/>
      <c r="C12" s="58" t="s">
        <v>336</v>
      </c>
      <c r="D12" s="536">
        <v>0.375</v>
      </c>
      <c r="E12" s="113" t="s">
        <v>268</v>
      </c>
      <c r="F12" s="119"/>
      <c r="G12" s="117"/>
      <c r="H12" s="28" t="str">
        <f>"                R"</f>
        <v>                R</v>
      </c>
      <c r="I12" s="295" t="s">
        <v>151</v>
      </c>
      <c r="J12" s="208"/>
      <c r="K12" s="294"/>
      <c r="L12" s="58"/>
      <c r="M12" s="575">
        <v>18</v>
      </c>
      <c r="N12" s="44"/>
      <c r="O12" s="31" t="s">
        <v>1065</v>
      </c>
      <c r="P12" s="34"/>
      <c r="Q12" s="34"/>
      <c r="R12" s="34"/>
      <c r="S12" s="34"/>
      <c r="T12" s="34"/>
      <c r="AZ12" s="31"/>
      <c r="BB12" s="344" t="s">
        <v>261</v>
      </c>
      <c r="BC12" s="345">
        <v>0.787</v>
      </c>
      <c r="BD12" s="343"/>
      <c r="BE12" s="577"/>
      <c r="BF12" s="577"/>
      <c r="BG12" s="577"/>
    </row>
    <row r="13" spans="1:59" ht="12.75">
      <c r="A13" s="11"/>
      <c r="B13" s="10"/>
      <c r="C13" s="44" t="s">
        <v>1082</v>
      </c>
      <c r="D13" s="165">
        <v>36</v>
      </c>
      <c r="E13" s="113" t="s">
        <v>245</v>
      </c>
      <c r="F13" s="24"/>
      <c r="G13" s="121"/>
      <c r="H13" s="28"/>
      <c r="I13" s="45"/>
      <c r="J13" s="206"/>
      <c r="K13" s="133"/>
      <c r="L13" s="44"/>
      <c r="M13" s="575">
        <v>16</v>
      </c>
      <c r="N13" s="44"/>
      <c r="O13" s="33" t="s">
        <v>401</v>
      </c>
      <c r="P13" s="43">
        <f aca="true" t="shared" si="2" ref="P13:AY13">P$4</f>
        <v>4</v>
      </c>
      <c r="Q13" s="43">
        <f t="shared" si="2"/>
        <v>6</v>
      </c>
      <c r="R13" s="43">
        <f t="shared" si="2"/>
        <v>7</v>
      </c>
      <c r="S13" s="43">
        <f t="shared" si="2"/>
        <v>7</v>
      </c>
      <c r="T13" s="43">
        <f t="shared" si="2"/>
        <v>9</v>
      </c>
      <c r="U13" s="43">
        <f t="shared" si="2"/>
        <v>10</v>
      </c>
      <c r="V13" s="43">
        <f t="shared" si="2"/>
        <v>10</v>
      </c>
      <c r="W13" s="43">
        <f t="shared" si="2"/>
        <v>12</v>
      </c>
      <c r="X13" s="43">
        <f t="shared" si="2"/>
        <v>10</v>
      </c>
      <c r="Y13" s="43">
        <f t="shared" si="2"/>
        <v>12</v>
      </c>
      <c r="Z13" s="43">
        <f t="shared" si="2"/>
        <v>14</v>
      </c>
      <c r="AA13" s="43">
        <f t="shared" si="2"/>
        <v>14</v>
      </c>
      <c r="AB13" s="43">
        <f t="shared" si="2"/>
        <v>16</v>
      </c>
      <c r="AC13" s="43">
        <f t="shared" si="2"/>
        <v>18</v>
      </c>
      <c r="AD13" s="43">
        <f t="shared" si="2"/>
        <v>16</v>
      </c>
      <c r="AE13" s="43">
        <f t="shared" si="2"/>
        <v>18</v>
      </c>
      <c r="AF13" s="43">
        <f t="shared" si="2"/>
        <v>20</v>
      </c>
      <c r="AG13" s="43">
        <f t="shared" si="2"/>
        <v>16</v>
      </c>
      <c r="AH13" s="43">
        <f t="shared" si="2"/>
        <v>18</v>
      </c>
      <c r="AI13" s="43">
        <f t="shared" si="2"/>
        <v>20</v>
      </c>
      <c r="AJ13" s="43">
        <f t="shared" si="2"/>
        <v>22</v>
      </c>
      <c r="AK13" s="43">
        <f t="shared" si="2"/>
        <v>20</v>
      </c>
      <c r="AL13" s="43">
        <f t="shared" si="2"/>
        <v>22</v>
      </c>
      <c r="AM13" s="43">
        <f t="shared" si="2"/>
        <v>24</v>
      </c>
      <c r="AN13" s="43">
        <f t="shared" si="2"/>
        <v>26</v>
      </c>
      <c r="AO13" s="43">
        <f t="shared" si="2"/>
        <v>20</v>
      </c>
      <c r="AP13" s="43">
        <f t="shared" si="2"/>
        <v>22</v>
      </c>
      <c r="AQ13" s="43">
        <f t="shared" si="2"/>
        <v>24</v>
      </c>
      <c r="AR13" s="43">
        <f t="shared" si="2"/>
        <v>26</v>
      </c>
      <c r="AS13" s="43">
        <f t="shared" si="2"/>
        <v>28</v>
      </c>
      <c r="AT13" s="43">
        <f t="shared" si="2"/>
        <v>22</v>
      </c>
      <c r="AU13" s="43">
        <f t="shared" si="2"/>
        <v>24</v>
      </c>
      <c r="AV13" s="43">
        <f t="shared" si="2"/>
        <v>26</v>
      </c>
      <c r="AW13" s="43">
        <f t="shared" si="2"/>
        <v>28</v>
      </c>
      <c r="AX13" s="43">
        <f t="shared" si="2"/>
        <v>30</v>
      </c>
      <c r="AY13" s="43">
        <f t="shared" si="2"/>
        <v>4</v>
      </c>
      <c r="AZ13" s="31" t="s">
        <v>33</v>
      </c>
      <c r="BB13" s="344" t="s">
        <v>260</v>
      </c>
      <c r="BC13" s="345">
        <v>0.709</v>
      </c>
      <c r="BD13" s="343"/>
      <c r="BE13" s="577"/>
      <c r="BF13" s="577"/>
      <c r="BG13" s="577"/>
    </row>
    <row r="14" spans="1:59" ht="12.75">
      <c r="A14" s="19"/>
      <c r="B14" s="10"/>
      <c r="C14" s="44" t="s">
        <v>657</v>
      </c>
      <c r="D14" s="437">
        <f>MIN(5/16,$D$12-1/8)</f>
        <v>0.25</v>
      </c>
      <c r="E14" s="112" t="s">
        <v>268</v>
      </c>
      <c r="F14" s="15" t="str">
        <f>"  Lc="&amp;$D$10</f>
        <v>  Lc=3 or 4</v>
      </c>
      <c r="G14" s="15"/>
      <c r="H14" s="10"/>
      <c r="I14" s="99"/>
      <c r="J14" s="48"/>
      <c r="K14" s="139"/>
      <c r="L14" s="44"/>
      <c r="M14" s="575">
        <v>14</v>
      </c>
      <c r="N14" s="44"/>
      <c r="O14" s="33" t="s">
        <v>413</v>
      </c>
      <c r="P14" s="39">
        <f aca="true" t="shared" si="3" ref="P14:AY14">$D$11-$D$17</f>
        <v>2.5</v>
      </c>
      <c r="Q14" s="39">
        <f t="shared" si="3"/>
        <v>2.5</v>
      </c>
      <c r="R14" s="39">
        <f t="shared" si="3"/>
        <v>2.5</v>
      </c>
      <c r="S14" s="39">
        <f t="shared" si="3"/>
        <v>2.5</v>
      </c>
      <c r="T14" s="39">
        <f t="shared" si="3"/>
        <v>2.5</v>
      </c>
      <c r="U14" s="39">
        <f t="shared" si="3"/>
        <v>2.5</v>
      </c>
      <c r="V14" s="39">
        <f t="shared" si="3"/>
        <v>2.5</v>
      </c>
      <c r="W14" s="39">
        <f t="shared" si="3"/>
        <v>2.5</v>
      </c>
      <c r="X14" s="39">
        <f t="shared" si="3"/>
        <v>2.5</v>
      </c>
      <c r="Y14" s="39">
        <f t="shared" si="3"/>
        <v>2.5</v>
      </c>
      <c r="Z14" s="39">
        <f t="shared" si="3"/>
        <v>2.5</v>
      </c>
      <c r="AA14" s="39">
        <f t="shared" si="3"/>
        <v>2.5</v>
      </c>
      <c r="AB14" s="39">
        <f t="shared" si="3"/>
        <v>2.5</v>
      </c>
      <c r="AC14" s="39">
        <f t="shared" si="3"/>
        <v>2.5</v>
      </c>
      <c r="AD14" s="39">
        <f t="shared" si="3"/>
        <v>2.5</v>
      </c>
      <c r="AE14" s="39">
        <f t="shared" si="3"/>
        <v>2.5</v>
      </c>
      <c r="AF14" s="39">
        <f t="shared" si="3"/>
        <v>2.5</v>
      </c>
      <c r="AG14" s="39">
        <f t="shared" si="3"/>
        <v>2.5</v>
      </c>
      <c r="AH14" s="39">
        <f t="shared" si="3"/>
        <v>2.5</v>
      </c>
      <c r="AI14" s="39">
        <f t="shared" si="3"/>
        <v>2.5</v>
      </c>
      <c r="AJ14" s="39">
        <f t="shared" si="3"/>
        <v>2.5</v>
      </c>
      <c r="AK14" s="39">
        <f t="shared" si="3"/>
        <v>2.5</v>
      </c>
      <c r="AL14" s="39">
        <f t="shared" si="3"/>
        <v>2.5</v>
      </c>
      <c r="AM14" s="39">
        <f t="shared" si="3"/>
        <v>2.5</v>
      </c>
      <c r="AN14" s="39">
        <f t="shared" si="3"/>
        <v>2.5</v>
      </c>
      <c r="AO14" s="39">
        <f t="shared" si="3"/>
        <v>2.5</v>
      </c>
      <c r="AP14" s="39">
        <f t="shared" si="3"/>
        <v>2.5</v>
      </c>
      <c r="AQ14" s="39">
        <f t="shared" si="3"/>
        <v>2.5</v>
      </c>
      <c r="AR14" s="39">
        <f t="shared" si="3"/>
        <v>2.5</v>
      </c>
      <c r="AS14" s="39">
        <f t="shared" si="3"/>
        <v>2.5</v>
      </c>
      <c r="AT14" s="39">
        <f t="shared" si="3"/>
        <v>2.5</v>
      </c>
      <c r="AU14" s="39">
        <f t="shared" si="3"/>
        <v>2.5</v>
      </c>
      <c r="AV14" s="39">
        <f t="shared" si="3"/>
        <v>2.5</v>
      </c>
      <c r="AW14" s="39">
        <f t="shared" si="3"/>
        <v>2.5</v>
      </c>
      <c r="AX14" s="39">
        <f t="shared" si="3"/>
        <v>2.5</v>
      </c>
      <c r="AY14" s="39">
        <f t="shared" si="3"/>
        <v>2.5</v>
      </c>
      <c r="AZ14" s="31" t="s">
        <v>268</v>
      </c>
      <c r="BB14" s="344" t="s">
        <v>259</v>
      </c>
      <c r="BC14" s="345">
        <v>1.97</v>
      </c>
      <c r="BD14" s="343"/>
      <c r="BE14" s="577"/>
      <c r="BF14" s="577"/>
      <c r="BG14" s="577"/>
    </row>
    <row r="15" spans="1:59" ht="12.75">
      <c r="A15" s="19"/>
      <c r="B15" s="10"/>
      <c r="C15" s="44" t="s">
        <v>660</v>
      </c>
      <c r="D15" s="437">
        <f>MIN(3/8,$D$12-1/16)</f>
        <v>0.3125</v>
      </c>
      <c r="E15" s="112" t="s">
        <v>268</v>
      </c>
      <c r="F15" s="10"/>
      <c r="G15" s="13" t="s">
        <v>1053</v>
      </c>
      <c r="H15" s="13" t="str">
        <f>"         s="&amp;$D$17</f>
        <v>         s=0.5</v>
      </c>
      <c r="I15" s="209"/>
      <c r="J15" s="207"/>
      <c r="K15" s="138"/>
      <c r="L15" s="62"/>
      <c r="M15" s="84">
        <v>12</v>
      </c>
      <c r="N15" s="44"/>
      <c r="O15" s="33" t="s">
        <v>519</v>
      </c>
      <c r="P15" s="39">
        <f aca="true" t="shared" si="4" ref="P15:AY15">VLOOKUP(P$4,$AD$37:$AE$51,2,FALSE)</f>
        <v>0.17400000000000002</v>
      </c>
      <c r="Q15" s="39">
        <f t="shared" si="4"/>
        <v>0.09500000000000001</v>
      </c>
      <c r="R15" s="39">
        <f t="shared" si="4"/>
        <v>0.07485714285714286</v>
      </c>
      <c r="S15" s="39">
        <f t="shared" si="4"/>
        <v>0.07485714285714286</v>
      </c>
      <c r="T15" s="39">
        <f t="shared" si="4"/>
        <v>0.05000000000000001</v>
      </c>
      <c r="U15" s="39">
        <f t="shared" si="4"/>
        <v>0.0425</v>
      </c>
      <c r="V15" s="39">
        <f t="shared" si="4"/>
        <v>0.0425</v>
      </c>
      <c r="W15" s="39">
        <f t="shared" si="4"/>
        <v>0.03125</v>
      </c>
      <c r="X15" s="39">
        <f t="shared" si="4"/>
        <v>0.0425</v>
      </c>
      <c r="Y15" s="39">
        <f t="shared" si="4"/>
        <v>0.03125</v>
      </c>
      <c r="Z15" s="39">
        <f t="shared" si="4"/>
        <v>0.0245</v>
      </c>
      <c r="AA15" s="39">
        <f t="shared" si="4"/>
        <v>0.0245</v>
      </c>
      <c r="AB15" s="39">
        <f t="shared" si="4"/>
        <v>0.019812500000000004</v>
      </c>
      <c r="AC15" s="39">
        <f t="shared" si="4"/>
        <v>0.01616666666666667</v>
      </c>
      <c r="AD15" s="39">
        <f t="shared" si="4"/>
        <v>0.019812500000000004</v>
      </c>
      <c r="AE15" s="39">
        <f t="shared" si="4"/>
        <v>0.01616666666666667</v>
      </c>
      <c r="AF15" s="39">
        <f t="shared" si="4"/>
        <v>0.013250000000000001</v>
      </c>
      <c r="AG15" s="39">
        <f t="shared" si="4"/>
        <v>0.019812500000000004</v>
      </c>
      <c r="AH15" s="39">
        <f t="shared" si="4"/>
        <v>0.01616666666666667</v>
      </c>
      <c r="AI15" s="39">
        <f t="shared" si="4"/>
        <v>0.013250000000000001</v>
      </c>
      <c r="AJ15" s="39">
        <f t="shared" si="4"/>
        <v>0.010863636363636364</v>
      </c>
      <c r="AK15" s="39">
        <f t="shared" si="4"/>
        <v>0.013250000000000001</v>
      </c>
      <c r="AL15" s="39">
        <f t="shared" si="4"/>
        <v>0.010863636363636364</v>
      </c>
      <c r="AM15" s="39">
        <f t="shared" si="4"/>
        <v>0.008875000000000001</v>
      </c>
      <c r="AN15" s="39">
        <f t="shared" si="4"/>
        <v>0.007692307692307693</v>
      </c>
      <c r="AO15" s="39">
        <f t="shared" si="4"/>
        <v>0.013250000000000001</v>
      </c>
      <c r="AP15" s="39">
        <f t="shared" si="4"/>
        <v>0.010863636363636364</v>
      </c>
      <c r="AQ15" s="39">
        <f t="shared" si="4"/>
        <v>0.008875000000000001</v>
      </c>
      <c r="AR15" s="39">
        <f t="shared" si="4"/>
        <v>0.007692307692307693</v>
      </c>
      <c r="AS15" s="39">
        <f t="shared" si="4"/>
        <v>0.007142857142857143</v>
      </c>
      <c r="AT15" s="39">
        <f t="shared" si="4"/>
        <v>0.010863636363636364</v>
      </c>
      <c r="AU15" s="39">
        <f t="shared" si="4"/>
        <v>0.008875000000000001</v>
      </c>
      <c r="AV15" s="39">
        <f t="shared" si="4"/>
        <v>0.007692307692307693</v>
      </c>
      <c r="AW15" s="39">
        <f t="shared" si="4"/>
        <v>0.007142857142857143</v>
      </c>
      <c r="AX15" s="39">
        <f t="shared" si="4"/>
        <v>0.006666666666666666</v>
      </c>
      <c r="AY15" s="39">
        <f t="shared" si="4"/>
        <v>0.17400000000000002</v>
      </c>
      <c r="AZ15" s="31"/>
      <c r="BB15" s="344" t="s">
        <v>258</v>
      </c>
      <c r="BC15" s="345">
        <v>1.79</v>
      </c>
      <c r="BD15" s="343"/>
      <c r="BE15" s="577"/>
      <c r="BF15" s="577"/>
      <c r="BG15" s="577"/>
    </row>
    <row r="16" spans="1:59" ht="12.75">
      <c r="A16" s="19"/>
      <c r="B16" s="10"/>
      <c r="C16" s="93" t="s">
        <v>658</v>
      </c>
      <c r="D16" s="281">
        <v>3</v>
      </c>
      <c r="E16" s="112" t="s">
        <v>268</v>
      </c>
      <c r="F16" s="55"/>
      <c r="G16" s="10"/>
      <c r="H16" s="28" t="str">
        <f>"             Lb="&amp;$D$11</f>
        <v>             Lb=3</v>
      </c>
      <c r="I16" s="55"/>
      <c r="J16" s="45"/>
      <c r="K16" s="46"/>
      <c r="L16" s="44"/>
      <c r="M16" s="84">
        <v>10</v>
      </c>
      <c r="N16" s="44"/>
      <c r="O16" s="33" t="s">
        <v>469</v>
      </c>
      <c r="P16" s="39">
        <f aca="true" t="shared" si="5" ref="P16:AY16">$D$11-P$15*P$13</f>
        <v>2.304</v>
      </c>
      <c r="Q16" s="39">
        <f t="shared" si="5"/>
        <v>2.4299999999999997</v>
      </c>
      <c r="R16" s="39">
        <f t="shared" si="5"/>
        <v>2.476</v>
      </c>
      <c r="S16" s="39">
        <f t="shared" si="5"/>
        <v>2.476</v>
      </c>
      <c r="T16" s="39">
        <f t="shared" si="5"/>
        <v>2.55</v>
      </c>
      <c r="U16" s="39">
        <f t="shared" si="5"/>
        <v>2.575</v>
      </c>
      <c r="V16" s="39">
        <f t="shared" si="5"/>
        <v>2.575</v>
      </c>
      <c r="W16" s="39">
        <f t="shared" si="5"/>
        <v>2.625</v>
      </c>
      <c r="X16" s="39">
        <f t="shared" si="5"/>
        <v>2.575</v>
      </c>
      <c r="Y16" s="39">
        <f t="shared" si="5"/>
        <v>2.625</v>
      </c>
      <c r="Z16" s="39">
        <f t="shared" si="5"/>
        <v>2.657</v>
      </c>
      <c r="AA16" s="39">
        <f t="shared" si="5"/>
        <v>2.657</v>
      </c>
      <c r="AB16" s="39">
        <f t="shared" si="5"/>
        <v>2.683</v>
      </c>
      <c r="AC16" s="39">
        <f t="shared" si="5"/>
        <v>2.709</v>
      </c>
      <c r="AD16" s="39">
        <f t="shared" si="5"/>
        <v>2.683</v>
      </c>
      <c r="AE16" s="39">
        <f t="shared" si="5"/>
        <v>2.709</v>
      </c>
      <c r="AF16" s="39">
        <f t="shared" si="5"/>
        <v>2.735</v>
      </c>
      <c r="AG16" s="39">
        <f t="shared" si="5"/>
        <v>2.683</v>
      </c>
      <c r="AH16" s="39">
        <f t="shared" si="5"/>
        <v>2.709</v>
      </c>
      <c r="AI16" s="39">
        <f t="shared" si="5"/>
        <v>2.735</v>
      </c>
      <c r="AJ16" s="39">
        <f t="shared" si="5"/>
        <v>2.761</v>
      </c>
      <c r="AK16" s="39">
        <f t="shared" si="5"/>
        <v>2.735</v>
      </c>
      <c r="AL16" s="39">
        <f t="shared" si="5"/>
        <v>2.761</v>
      </c>
      <c r="AM16" s="39">
        <f t="shared" si="5"/>
        <v>2.787</v>
      </c>
      <c r="AN16" s="39">
        <f t="shared" si="5"/>
        <v>2.8</v>
      </c>
      <c r="AO16" s="39">
        <f t="shared" si="5"/>
        <v>2.735</v>
      </c>
      <c r="AP16" s="39">
        <f t="shared" si="5"/>
        <v>2.761</v>
      </c>
      <c r="AQ16" s="39">
        <f t="shared" si="5"/>
        <v>2.787</v>
      </c>
      <c r="AR16" s="39">
        <f t="shared" si="5"/>
        <v>2.8</v>
      </c>
      <c r="AS16" s="39">
        <f t="shared" si="5"/>
        <v>2.8</v>
      </c>
      <c r="AT16" s="39">
        <f t="shared" si="5"/>
        <v>2.761</v>
      </c>
      <c r="AU16" s="39">
        <f t="shared" si="5"/>
        <v>2.787</v>
      </c>
      <c r="AV16" s="39">
        <f t="shared" si="5"/>
        <v>2.8</v>
      </c>
      <c r="AW16" s="39">
        <f t="shared" si="5"/>
        <v>2.8</v>
      </c>
      <c r="AX16" s="39">
        <f t="shared" si="5"/>
        <v>2.8</v>
      </c>
      <c r="AY16" s="39">
        <f t="shared" si="5"/>
        <v>2.304</v>
      </c>
      <c r="AZ16" s="31" t="s">
        <v>268</v>
      </c>
      <c r="BB16" s="344" t="s">
        <v>257</v>
      </c>
      <c r="BC16" s="345">
        <v>1.61</v>
      </c>
      <c r="BD16" s="343"/>
      <c r="BE16" s="577"/>
      <c r="BF16" s="577"/>
      <c r="BG16" s="577"/>
    </row>
    <row r="17" spans="1:59" ht="12.75">
      <c r="A17" s="19"/>
      <c r="B17" s="10"/>
      <c r="C17" s="44" t="s">
        <v>285</v>
      </c>
      <c r="D17" s="171">
        <v>0.5</v>
      </c>
      <c r="E17" s="110" t="s">
        <v>268</v>
      </c>
      <c r="F17" s="55"/>
      <c r="G17" s="10"/>
      <c r="H17" s="10"/>
      <c r="I17" s="55"/>
      <c r="J17" s="99"/>
      <c r="K17" s="134"/>
      <c r="L17" s="44"/>
      <c r="M17" s="84">
        <v>9</v>
      </c>
      <c r="N17" s="93"/>
      <c r="O17" s="33" t="s">
        <v>1032</v>
      </c>
      <c r="P17" s="43">
        <f aca="true" t="shared" si="6" ref="P17:AY17">P$16/P$13</f>
        <v>0.576</v>
      </c>
      <c r="Q17" s="43">
        <f t="shared" si="6"/>
        <v>0.40499999999999997</v>
      </c>
      <c r="R17" s="43">
        <f t="shared" si="6"/>
        <v>0.3537142857142857</v>
      </c>
      <c r="S17" s="43">
        <f t="shared" si="6"/>
        <v>0.3537142857142857</v>
      </c>
      <c r="T17" s="43">
        <f t="shared" si="6"/>
        <v>0.2833333333333333</v>
      </c>
      <c r="U17" s="43">
        <f t="shared" si="6"/>
        <v>0.2575</v>
      </c>
      <c r="V17" s="43">
        <f t="shared" si="6"/>
        <v>0.2575</v>
      </c>
      <c r="W17" s="43">
        <f t="shared" si="6"/>
        <v>0.21875</v>
      </c>
      <c r="X17" s="43">
        <f t="shared" si="6"/>
        <v>0.2575</v>
      </c>
      <c r="Y17" s="43">
        <f t="shared" si="6"/>
        <v>0.21875</v>
      </c>
      <c r="Z17" s="43">
        <f t="shared" si="6"/>
        <v>0.18978571428571428</v>
      </c>
      <c r="AA17" s="43">
        <f t="shared" si="6"/>
        <v>0.18978571428571428</v>
      </c>
      <c r="AB17" s="43">
        <f t="shared" si="6"/>
        <v>0.1676875</v>
      </c>
      <c r="AC17" s="43">
        <f t="shared" si="6"/>
        <v>0.1505</v>
      </c>
      <c r="AD17" s="43">
        <f t="shared" si="6"/>
        <v>0.1676875</v>
      </c>
      <c r="AE17" s="43">
        <f t="shared" si="6"/>
        <v>0.1505</v>
      </c>
      <c r="AF17" s="43">
        <f t="shared" si="6"/>
        <v>0.13674999999999998</v>
      </c>
      <c r="AG17" s="43">
        <f t="shared" si="6"/>
        <v>0.1676875</v>
      </c>
      <c r="AH17" s="43">
        <f t="shared" si="6"/>
        <v>0.1505</v>
      </c>
      <c r="AI17" s="43">
        <f t="shared" si="6"/>
        <v>0.13674999999999998</v>
      </c>
      <c r="AJ17" s="43">
        <f t="shared" si="6"/>
        <v>0.1255</v>
      </c>
      <c r="AK17" s="43">
        <f t="shared" si="6"/>
        <v>0.13674999999999998</v>
      </c>
      <c r="AL17" s="43">
        <f t="shared" si="6"/>
        <v>0.1255</v>
      </c>
      <c r="AM17" s="43">
        <f t="shared" si="6"/>
        <v>0.11612499999999999</v>
      </c>
      <c r="AN17" s="43">
        <f t="shared" si="6"/>
        <v>0.10769230769230768</v>
      </c>
      <c r="AO17" s="43">
        <f t="shared" si="6"/>
        <v>0.13674999999999998</v>
      </c>
      <c r="AP17" s="43">
        <f t="shared" si="6"/>
        <v>0.1255</v>
      </c>
      <c r="AQ17" s="43">
        <f t="shared" si="6"/>
        <v>0.11612499999999999</v>
      </c>
      <c r="AR17" s="43">
        <f t="shared" si="6"/>
        <v>0.10769230769230768</v>
      </c>
      <c r="AS17" s="43">
        <f t="shared" si="6"/>
        <v>0.09999999999999999</v>
      </c>
      <c r="AT17" s="43">
        <f t="shared" si="6"/>
        <v>0.1255</v>
      </c>
      <c r="AU17" s="43">
        <f t="shared" si="6"/>
        <v>0.11612499999999999</v>
      </c>
      <c r="AV17" s="43">
        <f t="shared" si="6"/>
        <v>0.10769230769230768</v>
      </c>
      <c r="AW17" s="43">
        <f t="shared" si="6"/>
        <v>0.09999999999999999</v>
      </c>
      <c r="AX17" s="43">
        <f t="shared" si="6"/>
        <v>0.09333333333333332</v>
      </c>
      <c r="AY17" s="43">
        <f t="shared" si="6"/>
        <v>0.576</v>
      </c>
      <c r="AZ17" s="31"/>
      <c r="BB17" s="344" t="s">
        <v>209</v>
      </c>
      <c r="BC17" s="345">
        <v>1.54</v>
      </c>
      <c r="BD17" s="343"/>
      <c r="BE17" s="209"/>
      <c r="BF17" s="343"/>
      <c r="BG17" s="601"/>
    </row>
    <row r="18" spans="1:59" ht="12.75">
      <c r="A18" s="19"/>
      <c r="B18" s="10"/>
      <c r="C18" s="44" t="s">
        <v>1143</v>
      </c>
      <c r="D18" s="602">
        <f>6.19*16*$D$14/IF($D$9=36,58,65)</f>
        <v>0.3809230769230769</v>
      </c>
      <c r="E18" s="112" t="s">
        <v>268</v>
      </c>
      <c r="F18" s="28"/>
      <c r="G18" s="137"/>
      <c r="H18" s="28"/>
      <c r="I18" s="10"/>
      <c r="J18" s="55"/>
      <c r="K18" s="54"/>
      <c r="L18" s="44"/>
      <c r="M18" s="84">
        <v>8</v>
      </c>
      <c r="N18" s="44"/>
      <c r="O18" s="33" t="s">
        <v>460</v>
      </c>
      <c r="P18" s="43">
        <f aca="true" t="shared" si="7" ref="P18:AY18">P$14/P$13</f>
        <v>0.625</v>
      </c>
      <c r="Q18" s="43">
        <f t="shared" si="7"/>
        <v>0.4166666666666667</v>
      </c>
      <c r="R18" s="43">
        <f t="shared" si="7"/>
        <v>0.35714285714285715</v>
      </c>
      <c r="S18" s="43">
        <f t="shared" si="7"/>
        <v>0.35714285714285715</v>
      </c>
      <c r="T18" s="43">
        <f t="shared" si="7"/>
        <v>0.2777777777777778</v>
      </c>
      <c r="U18" s="43">
        <f t="shared" si="7"/>
        <v>0.25</v>
      </c>
      <c r="V18" s="43">
        <f t="shared" si="7"/>
        <v>0.25</v>
      </c>
      <c r="W18" s="43">
        <f t="shared" si="7"/>
        <v>0.20833333333333334</v>
      </c>
      <c r="X18" s="43">
        <f t="shared" si="7"/>
        <v>0.25</v>
      </c>
      <c r="Y18" s="43">
        <f t="shared" si="7"/>
        <v>0.20833333333333334</v>
      </c>
      <c r="Z18" s="43">
        <f t="shared" si="7"/>
        <v>0.17857142857142858</v>
      </c>
      <c r="AA18" s="43">
        <f t="shared" si="7"/>
        <v>0.17857142857142858</v>
      </c>
      <c r="AB18" s="43">
        <f t="shared" si="7"/>
        <v>0.15625</v>
      </c>
      <c r="AC18" s="43">
        <f t="shared" si="7"/>
        <v>0.1388888888888889</v>
      </c>
      <c r="AD18" s="43">
        <f t="shared" si="7"/>
        <v>0.15625</v>
      </c>
      <c r="AE18" s="43">
        <f t="shared" si="7"/>
        <v>0.1388888888888889</v>
      </c>
      <c r="AF18" s="43">
        <f t="shared" si="7"/>
        <v>0.125</v>
      </c>
      <c r="AG18" s="43">
        <f t="shared" si="7"/>
        <v>0.15625</v>
      </c>
      <c r="AH18" s="43">
        <f t="shared" si="7"/>
        <v>0.1388888888888889</v>
      </c>
      <c r="AI18" s="43">
        <f t="shared" si="7"/>
        <v>0.125</v>
      </c>
      <c r="AJ18" s="43">
        <f t="shared" si="7"/>
        <v>0.11363636363636363</v>
      </c>
      <c r="AK18" s="43">
        <f t="shared" si="7"/>
        <v>0.125</v>
      </c>
      <c r="AL18" s="43">
        <f t="shared" si="7"/>
        <v>0.11363636363636363</v>
      </c>
      <c r="AM18" s="43">
        <f t="shared" si="7"/>
        <v>0.10416666666666667</v>
      </c>
      <c r="AN18" s="43">
        <f t="shared" si="7"/>
        <v>0.09615384615384616</v>
      </c>
      <c r="AO18" s="43">
        <f t="shared" si="7"/>
        <v>0.125</v>
      </c>
      <c r="AP18" s="43">
        <f t="shared" si="7"/>
        <v>0.11363636363636363</v>
      </c>
      <c r="AQ18" s="43">
        <f t="shared" si="7"/>
        <v>0.10416666666666667</v>
      </c>
      <c r="AR18" s="43">
        <f t="shared" si="7"/>
        <v>0.09615384615384616</v>
      </c>
      <c r="AS18" s="43">
        <f t="shared" si="7"/>
        <v>0.08928571428571429</v>
      </c>
      <c r="AT18" s="43">
        <f t="shared" si="7"/>
        <v>0.11363636363636363</v>
      </c>
      <c r="AU18" s="43">
        <f t="shared" si="7"/>
        <v>0.10416666666666667</v>
      </c>
      <c r="AV18" s="43">
        <f t="shared" si="7"/>
        <v>0.09615384615384616</v>
      </c>
      <c r="AW18" s="43">
        <f t="shared" si="7"/>
        <v>0.08928571428571429</v>
      </c>
      <c r="AX18" s="43">
        <f t="shared" si="7"/>
        <v>0.08333333333333333</v>
      </c>
      <c r="AY18" s="43">
        <f t="shared" si="7"/>
        <v>0.625</v>
      </c>
      <c r="AZ18" s="31"/>
      <c r="BB18" s="344" t="s">
        <v>1141</v>
      </c>
      <c r="BC18" s="345">
        <v>1.46</v>
      </c>
      <c r="BD18" s="343"/>
      <c r="BE18" s="578"/>
      <c r="BF18" s="578"/>
      <c r="BG18" s="578"/>
    </row>
    <row r="19" spans="1:59" ht="12.75">
      <c r="A19" s="19"/>
      <c r="B19" s="10"/>
      <c r="C19" s="44" t="s">
        <v>1144</v>
      </c>
      <c r="D19" s="603">
        <f>3.09*16*$D$14/IF($D$9=36,58,65)</f>
        <v>0.19015384615384615</v>
      </c>
      <c r="E19" s="112" t="s">
        <v>268</v>
      </c>
      <c r="F19" s="119"/>
      <c r="G19" s="10"/>
      <c r="H19" s="15"/>
      <c r="I19" s="10"/>
      <c r="J19" s="55"/>
      <c r="K19" s="54"/>
      <c r="L19" s="58"/>
      <c r="M19" s="84">
        <v>7</v>
      </c>
      <c r="N19" s="44"/>
      <c r="O19" s="33" t="s">
        <v>381</v>
      </c>
      <c r="P19" s="114">
        <f aca="true" t="shared" si="8" ref="P19:AY19">IF($P$17&lt;=3,1,"N.A.")</f>
        <v>1</v>
      </c>
      <c r="Q19" s="114">
        <f t="shared" si="8"/>
        <v>1</v>
      </c>
      <c r="R19" s="114">
        <f t="shared" si="8"/>
        <v>1</v>
      </c>
      <c r="S19" s="114">
        <f t="shared" si="8"/>
        <v>1</v>
      </c>
      <c r="T19" s="114">
        <f t="shared" si="8"/>
        <v>1</v>
      </c>
      <c r="U19" s="114">
        <f t="shared" si="8"/>
        <v>1</v>
      </c>
      <c r="V19" s="114">
        <f t="shared" si="8"/>
        <v>1</v>
      </c>
      <c r="W19" s="114">
        <f t="shared" si="8"/>
        <v>1</v>
      </c>
      <c r="X19" s="114">
        <f t="shared" si="8"/>
        <v>1</v>
      </c>
      <c r="Y19" s="114">
        <f t="shared" si="8"/>
        <v>1</v>
      </c>
      <c r="Z19" s="114">
        <f t="shared" si="8"/>
        <v>1</v>
      </c>
      <c r="AA19" s="114">
        <f t="shared" si="8"/>
        <v>1</v>
      </c>
      <c r="AB19" s="114">
        <f t="shared" si="8"/>
        <v>1</v>
      </c>
      <c r="AC19" s="114">
        <f t="shared" si="8"/>
        <v>1</v>
      </c>
      <c r="AD19" s="114">
        <f t="shared" si="8"/>
        <v>1</v>
      </c>
      <c r="AE19" s="114">
        <f t="shared" si="8"/>
        <v>1</v>
      </c>
      <c r="AF19" s="114">
        <f t="shared" si="8"/>
        <v>1</v>
      </c>
      <c r="AG19" s="114">
        <f t="shared" si="8"/>
        <v>1</v>
      </c>
      <c r="AH19" s="114">
        <f t="shared" si="8"/>
        <v>1</v>
      </c>
      <c r="AI19" s="114">
        <f t="shared" si="8"/>
        <v>1</v>
      </c>
      <c r="AJ19" s="114">
        <f t="shared" si="8"/>
        <v>1</v>
      </c>
      <c r="AK19" s="114">
        <f t="shared" si="8"/>
        <v>1</v>
      </c>
      <c r="AL19" s="114">
        <f t="shared" si="8"/>
        <v>1</v>
      </c>
      <c r="AM19" s="114">
        <f t="shared" si="8"/>
        <v>1</v>
      </c>
      <c r="AN19" s="114">
        <f t="shared" si="8"/>
        <v>1</v>
      </c>
      <c r="AO19" s="114">
        <f t="shared" si="8"/>
        <v>1</v>
      </c>
      <c r="AP19" s="114">
        <f t="shared" si="8"/>
        <v>1</v>
      </c>
      <c r="AQ19" s="114">
        <f t="shared" si="8"/>
        <v>1</v>
      </c>
      <c r="AR19" s="114">
        <f t="shared" si="8"/>
        <v>1</v>
      </c>
      <c r="AS19" s="114">
        <f t="shared" si="8"/>
        <v>1</v>
      </c>
      <c r="AT19" s="114">
        <f t="shared" si="8"/>
        <v>1</v>
      </c>
      <c r="AU19" s="114">
        <f t="shared" si="8"/>
        <v>1</v>
      </c>
      <c r="AV19" s="114">
        <f t="shared" si="8"/>
        <v>1</v>
      </c>
      <c r="AW19" s="114">
        <f t="shared" si="8"/>
        <v>1</v>
      </c>
      <c r="AX19" s="114">
        <f t="shared" si="8"/>
        <v>1</v>
      </c>
      <c r="AY19" s="114">
        <f t="shared" si="8"/>
        <v>1</v>
      </c>
      <c r="AZ19" s="31"/>
      <c r="BB19" s="344" t="s">
        <v>337</v>
      </c>
      <c r="BC19" s="345">
        <v>1.67</v>
      </c>
      <c r="BD19" s="343"/>
      <c r="BE19" s="579"/>
      <c r="BF19" s="579"/>
      <c r="BG19" s="579"/>
    </row>
    <row r="20" spans="1:59" ht="12.75">
      <c r="A20" s="19"/>
      <c r="B20" s="10"/>
      <c r="F20" s="15"/>
      <c r="G20" s="37"/>
      <c r="H20" s="10"/>
      <c r="I20" s="206"/>
      <c r="J20" s="55"/>
      <c r="K20" s="54"/>
      <c r="L20" s="58"/>
      <c r="M20" s="84">
        <v>6</v>
      </c>
      <c r="N20" s="44"/>
      <c r="O20" s="33" t="s">
        <v>19</v>
      </c>
      <c r="P20" s="39">
        <f aca="true" t="shared" si="9" ref="P20:AY20">VLOOKUP(P$4,$AD$37:$AF$51,3,FALSE)</f>
        <v>3.028100000000001</v>
      </c>
      <c r="Q20" s="39">
        <f t="shared" si="9"/>
        <v>2.8888333333333325</v>
      </c>
      <c r="R20" s="39">
        <f t="shared" si="9"/>
        <v>2.8434530612244897</v>
      </c>
      <c r="S20" s="39">
        <f t="shared" si="9"/>
        <v>2.8434530612244897</v>
      </c>
      <c r="T20" s="39">
        <f t="shared" si="9"/>
        <v>3.687777777777779</v>
      </c>
      <c r="U20" s="39">
        <f t="shared" si="9"/>
        <v>2.7110000000000003</v>
      </c>
      <c r="V20" s="39">
        <f t="shared" si="9"/>
        <v>2.7110000000000003</v>
      </c>
      <c r="W20" s="39">
        <f t="shared" si="9"/>
        <v>2.6240625</v>
      </c>
      <c r="X20" s="39">
        <f t="shared" si="9"/>
        <v>2.7110000000000003</v>
      </c>
      <c r="Y20" s="39">
        <f t="shared" si="9"/>
        <v>2.6240625</v>
      </c>
      <c r="Z20" s="39">
        <f t="shared" si="9"/>
        <v>2.5526867346938777</v>
      </c>
      <c r="AA20" s="39">
        <f t="shared" si="9"/>
        <v>2.5526867346938777</v>
      </c>
      <c r="AB20" s="39">
        <f t="shared" si="9"/>
        <v>2.48926796875</v>
      </c>
      <c r="AC20" s="39">
        <f t="shared" si="9"/>
        <v>2.43585</v>
      </c>
      <c r="AD20" s="39">
        <f t="shared" si="9"/>
        <v>2.48926796875</v>
      </c>
      <c r="AE20" s="39">
        <f t="shared" si="9"/>
        <v>2.43585</v>
      </c>
      <c r="AF20" s="39">
        <f t="shared" si="9"/>
        <v>2.3792750000000003</v>
      </c>
      <c r="AG20" s="39">
        <f t="shared" si="9"/>
        <v>2.48926796875</v>
      </c>
      <c r="AH20" s="39">
        <f t="shared" si="9"/>
        <v>2.43585</v>
      </c>
      <c r="AI20" s="39">
        <f t="shared" si="9"/>
        <v>2.3792750000000003</v>
      </c>
      <c r="AJ20" s="39">
        <f t="shared" si="9"/>
        <v>2.331490909090909</v>
      </c>
      <c r="AK20" s="39">
        <f t="shared" si="9"/>
        <v>2.3792750000000003</v>
      </c>
      <c r="AL20" s="39">
        <f t="shared" si="9"/>
        <v>2.331490909090909</v>
      </c>
      <c r="AM20" s="39">
        <f t="shared" si="9"/>
        <v>2.290889583333333</v>
      </c>
      <c r="AN20" s="39">
        <f t="shared" si="9"/>
        <v>2.2592307692307694</v>
      </c>
      <c r="AO20" s="39">
        <f t="shared" si="9"/>
        <v>2.3792750000000003</v>
      </c>
      <c r="AP20" s="39">
        <f t="shared" si="9"/>
        <v>2.331490909090909</v>
      </c>
      <c r="AQ20" s="39">
        <f t="shared" si="9"/>
        <v>2.290889583333333</v>
      </c>
      <c r="AR20" s="39">
        <f t="shared" si="9"/>
        <v>2.2592307692307694</v>
      </c>
      <c r="AS20" s="39">
        <f t="shared" si="9"/>
        <v>2.2349999999999994</v>
      </c>
      <c r="AT20" s="39">
        <f t="shared" si="9"/>
        <v>2.331490909090909</v>
      </c>
      <c r="AU20" s="39">
        <f t="shared" si="9"/>
        <v>2.290889583333333</v>
      </c>
      <c r="AV20" s="39">
        <f t="shared" si="9"/>
        <v>2.2592307692307694</v>
      </c>
      <c r="AW20" s="39">
        <f t="shared" si="9"/>
        <v>2.2349999999999994</v>
      </c>
      <c r="AX20" s="39">
        <f t="shared" si="9"/>
        <v>2.1957777777777774</v>
      </c>
      <c r="AY20" s="39">
        <f t="shared" si="9"/>
        <v>3.028100000000001</v>
      </c>
      <c r="AZ20" s="31"/>
      <c r="BB20" s="344" t="s">
        <v>1140</v>
      </c>
      <c r="BC20" s="345">
        <v>1.34</v>
      </c>
      <c r="BD20" s="343"/>
      <c r="BE20" s="576"/>
      <c r="BF20" s="576"/>
      <c r="BG20" s="576"/>
    </row>
    <row r="21" spans="1:59" ht="12.75">
      <c r="A21" s="19"/>
      <c r="B21" s="10"/>
      <c r="F21" s="119"/>
      <c r="G21" s="15"/>
      <c r="H21" s="28"/>
      <c r="I21" s="119"/>
      <c r="J21" s="10"/>
      <c r="K21" s="14"/>
      <c r="L21" s="58"/>
      <c r="M21" s="84">
        <v>5</v>
      </c>
      <c r="N21" s="44"/>
      <c r="O21" s="33" t="s">
        <v>487</v>
      </c>
      <c r="P21" s="41">
        <f aca="true" t="shared" si="10" ref="P21:AY21">2*$D$14*16*P$20*P$19*P$13/2</f>
        <v>48.44960000000002</v>
      </c>
      <c r="Q21" s="41">
        <f t="shared" si="10"/>
        <v>69.33199999999998</v>
      </c>
      <c r="R21" s="41">
        <f t="shared" si="10"/>
        <v>79.61668571428571</v>
      </c>
      <c r="S21" s="41">
        <f t="shared" si="10"/>
        <v>79.61668571428571</v>
      </c>
      <c r="T21" s="41">
        <f t="shared" si="10"/>
        <v>132.76000000000005</v>
      </c>
      <c r="U21" s="41">
        <f t="shared" si="10"/>
        <v>108.44000000000001</v>
      </c>
      <c r="V21" s="41">
        <f t="shared" si="10"/>
        <v>108.44000000000001</v>
      </c>
      <c r="W21" s="41">
        <f t="shared" si="10"/>
        <v>125.955</v>
      </c>
      <c r="X21" s="41">
        <f t="shared" si="10"/>
        <v>108.44000000000001</v>
      </c>
      <c r="Y21" s="41">
        <f t="shared" si="10"/>
        <v>125.955</v>
      </c>
      <c r="Z21" s="41">
        <f t="shared" si="10"/>
        <v>142.95045714285715</v>
      </c>
      <c r="AA21" s="41">
        <f t="shared" si="10"/>
        <v>142.95045714285715</v>
      </c>
      <c r="AB21" s="41">
        <f t="shared" si="10"/>
        <v>159.31315</v>
      </c>
      <c r="AC21" s="41">
        <f t="shared" si="10"/>
        <v>175.38119999999998</v>
      </c>
      <c r="AD21" s="41">
        <f t="shared" si="10"/>
        <v>159.31315</v>
      </c>
      <c r="AE21" s="41">
        <f t="shared" si="10"/>
        <v>175.38119999999998</v>
      </c>
      <c r="AF21" s="41">
        <f t="shared" si="10"/>
        <v>190.342</v>
      </c>
      <c r="AG21" s="41">
        <f t="shared" si="10"/>
        <v>159.31315</v>
      </c>
      <c r="AH21" s="41">
        <f t="shared" si="10"/>
        <v>175.38119999999998</v>
      </c>
      <c r="AI21" s="41">
        <f t="shared" si="10"/>
        <v>190.342</v>
      </c>
      <c r="AJ21" s="41">
        <f t="shared" si="10"/>
        <v>205.17119999999997</v>
      </c>
      <c r="AK21" s="41">
        <f t="shared" si="10"/>
        <v>190.342</v>
      </c>
      <c r="AL21" s="41">
        <f t="shared" si="10"/>
        <v>205.17119999999997</v>
      </c>
      <c r="AM21" s="41">
        <f t="shared" si="10"/>
        <v>219.92539999999997</v>
      </c>
      <c r="AN21" s="41">
        <f t="shared" si="10"/>
        <v>234.96</v>
      </c>
      <c r="AO21" s="41">
        <f t="shared" si="10"/>
        <v>190.342</v>
      </c>
      <c r="AP21" s="41">
        <f t="shared" si="10"/>
        <v>205.17119999999997</v>
      </c>
      <c r="AQ21" s="41">
        <f t="shared" si="10"/>
        <v>219.92539999999997</v>
      </c>
      <c r="AR21" s="41">
        <f t="shared" si="10"/>
        <v>234.96</v>
      </c>
      <c r="AS21" s="41">
        <f t="shared" si="10"/>
        <v>250.31999999999994</v>
      </c>
      <c r="AT21" s="41">
        <f t="shared" si="10"/>
        <v>205.17119999999997</v>
      </c>
      <c r="AU21" s="41">
        <f t="shared" si="10"/>
        <v>219.92539999999997</v>
      </c>
      <c r="AV21" s="41">
        <f t="shared" si="10"/>
        <v>234.96</v>
      </c>
      <c r="AW21" s="41">
        <f t="shared" si="10"/>
        <v>250.31999999999994</v>
      </c>
      <c r="AX21" s="41">
        <f t="shared" si="10"/>
        <v>263.4933333333333</v>
      </c>
      <c r="AY21" s="41">
        <f t="shared" si="10"/>
        <v>48.44960000000002</v>
      </c>
      <c r="AZ21" s="38" t="s">
        <v>237</v>
      </c>
      <c r="BB21" s="344" t="s">
        <v>210</v>
      </c>
      <c r="BC21" s="345">
        <v>1.34</v>
      </c>
      <c r="BD21" s="343"/>
      <c r="BE21" s="576"/>
      <c r="BF21" s="576"/>
      <c r="BG21" s="576"/>
    </row>
    <row r="22" spans="1:59" ht="12.75">
      <c r="A22" s="19"/>
      <c r="B22" s="10"/>
      <c r="F22" s="119"/>
      <c r="G22" s="117"/>
      <c r="H22" s="28"/>
      <c r="I22" s="295"/>
      <c r="J22" s="208"/>
      <c r="K22" s="294"/>
      <c r="L22" s="58"/>
      <c r="M22" s="84">
        <v>4</v>
      </c>
      <c r="N22" s="44"/>
      <c r="O22" s="33" t="s">
        <v>648</v>
      </c>
      <c r="P22" s="34" t="str">
        <f aca="true" t="shared" si="11" ref="P22:AY22">IF($D$18&gt;P$5,"Yes","No")</f>
        <v>Yes</v>
      </c>
      <c r="Q22" s="34" t="str">
        <f t="shared" si="11"/>
        <v>Yes</v>
      </c>
      <c r="R22" s="34" t="str">
        <f t="shared" si="11"/>
        <v>Yes</v>
      </c>
      <c r="S22" s="34" t="str">
        <f t="shared" si="11"/>
        <v>Yes</v>
      </c>
      <c r="T22" s="34" t="str">
        <f t="shared" si="11"/>
        <v>Yes</v>
      </c>
      <c r="U22" s="34" t="str">
        <f t="shared" si="11"/>
        <v>Yes</v>
      </c>
      <c r="V22" s="34" t="str">
        <f t="shared" si="11"/>
        <v>Yes</v>
      </c>
      <c r="W22" s="34" t="str">
        <f t="shared" si="11"/>
        <v>Yes</v>
      </c>
      <c r="X22" s="34" t="str">
        <f t="shared" si="11"/>
        <v>Yes</v>
      </c>
      <c r="Y22" s="34" t="str">
        <f t="shared" si="11"/>
        <v>Yes</v>
      </c>
      <c r="Z22" s="34" t="str">
        <f t="shared" si="11"/>
        <v>Yes</v>
      </c>
      <c r="AA22" s="34" t="str">
        <f t="shared" si="11"/>
        <v>Yes</v>
      </c>
      <c r="AB22" s="34" t="str">
        <f t="shared" si="11"/>
        <v>Yes</v>
      </c>
      <c r="AC22" s="34" t="str">
        <f t="shared" si="11"/>
        <v>Yes</v>
      </c>
      <c r="AD22" s="34" t="str">
        <f t="shared" si="11"/>
        <v>No</v>
      </c>
      <c r="AE22" s="34" t="str">
        <f t="shared" si="11"/>
        <v>No</v>
      </c>
      <c r="AF22" s="34" t="str">
        <f t="shared" si="11"/>
        <v>No</v>
      </c>
      <c r="AG22" s="34" t="str">
        <f t="shared" si="11"/>
        <v>No</v>
      </c>
      <c r="AH22" s="34" t="str">
        <f t="shared" si="11"/>
        <v>No</v>
      </c>
      <c r="AI22" s="34" t="str">
        <f t="shared" si="11"/>
        <v>No</v>
      </c>
      <c r="AJ22" s="34" t="str">
        <f t="shared" si="11"/>
        <v>No</v>
      </c>
      <c r="AK22" s="34" t="str">
        <f t="shared" si="11"/>
        <v>No</v>
      </c>
      <c r="AL22" s="34" t="str">
        <f t="shared" si="11"/>
        <v>No</v>
      </c>
      <c r="AM22" s="34" t="str">
        <f t="shared" si="11"/>
        <v>No</v>
      </c>
      <c r="AN22" s="34" t="str">
        <f t="shared" si="11"/>
        <v>No</v>
      </c>
      <c r="AO22" s="34" t="str">
        <f t="shared" si="11"/>
        <v>No</v>
      </c>
      <c r="AP22" s="34" t="str">
        <f t="shared" si="11"/>
        <v>No</v>
      </c>
      <c r="AQ22" s="34" t="str">
        <f t="shared" si="11"/>
        <v>No</v>
      </c>
      <c r="AR22" s="34" t="str">
        <f t="shared" si="11"/>
        <v>No</v>
      </c>
      <c r="AS22" s="34" t="str">
        <f t="shared" si="11"/>
        <v>No</v>
      </c>
      <c r="AT22" s="34" t="str">
        <f t="shared" si="11"/>
        <v>No</v>
      </c>
      <c r="AU22" s="34" t="str">
        <f t="shared" si="11"/>
        <v>No</v>
      </c>
      <c r="AV22" s="34" t="str">
        <f t="shared" si="11"/>
        <v>No</v>
      </c>
      <c r="AW22" s="34" t="str">
        <f t="shared" si="11"/>
        <v>No</v>
      </c>
      <c r="AX22" s="34" t="str">
        <f t="shared" si="11"/>
        <v>No</v>
      </c>
      <c r="AY22" s="34" t="str">
        <f t="shared" si="11"/>
        <v>Yes</v>
      </c>
      <c r="BB22" s="344" t="s">
        <v>1139</v>
      </c>
      <c r="BC22" s="345">
        <v>1.22</v>
      </c>
      <c r="BD22" s="343"/>
      <c r="BE22" s="576"/>
      <c r="BF22" s="576"/>
      <c r="BG22" s="576"/>
    </row>
    <row r="23" spans="1:59" ht="12.75">
      <c r="A23" s="19"/>
      <c r="B23" s="10"/>
      <c r="F23" s="24"/>
      <c r="G23" s="121"/>
      <c r="H23" s="28"/>
      <c r="I23" s="45"/>
      <c r="J23" s="206"/>
      <c r="K23" s="133"/>
      <c r="L23" s="44"/>
      <c r="M23" s="34"/>
      <c r="N23" s="44"/>
      <c r="O23" s="33" t="s">
        <v>825</v>
      </c>
      <c r="P23" s="3">
        <f aca="true" t="shared" si="12" ref="P23:AY23">IF(P$22="Yes",P$21*(P$5/$D$18),P$21)</f>
        <v>21.622297253634905</v>
      </c>
      <c r="Q23" s="3">
        <f t="shared" si="12"/>
        <v>30.94178513731825</v>
      </c>
      <c r="R23" s="3">
        <f t="shared" si="12"/>
        <v>39.711876759750744</v>
      </c>
      <c r="S23" s="3">
        <f t="shared" si="12"/>
        <v>41.80197553657973</v>
      </c>
      <c r="T23" s="3">
        <f t="shared" si="12"/>
        <v>69.70436187399034</v>
      </c>
      <c r="U23" s="3">
        <f t="shared" si="12"/>
        <v>65.47568659127626</v>
      </c>
      <c r="V23" s="3">
        <f t="shared" si="12"/>
        <v>71.16922455573506</v>
      </c>
      <c r="W23" s="3">
        <f t="shared" si="12"/>
        <v>82.66432754442648</v>
      </c>
      <c r="X23" s="3">
        <f t="shared" si="12"/>
        <v>85.40306946688207</v>
      </c>
      <c r="Y23" s="3">
        <f t="shared" si="12"/>
        <v>99.19719305331178</v>
      </c>
      <c r="Z23" s="3">
        <f t="shared" si="12"/>
        <v>112.58214516501269</v>
      </c>
      <c r="AA23" s="3">
        <f t="shared" si="12"/>
        <v>131.34583602584814</v>
      </c>
      <c r="AB23" s="3">
        <f t="shared" si="12"/>
        <v>146.38021657915994</v>
      </c>
      <c r="AC23" s="3">
        <f t="shared" si="12"/>
        <v>161.14387318255245</v>
      </c>
      <c r="AD23" s="3">
        <f t="shared" si="12"/>
        <v>159.31315</v>
      </c>
      <c r="AE23" s="3">
        <f t="shared" si="12"/>
        <v>175.38119999999998</v>
      </c>
      <c r="AF23" s="3">
        <f t="shared" si="12"/>
        <v>190.342</v>
      </c>
      <c r="AG23" s="3">
        <f t="shared" si="12"/>
        <v>159.31315</v>
      </c>
      <c r="AH23" s="3">
        <f t="shared" si="12"/>
        <v>175.38119999999998</v>
      </c>
      <c r="AI23" s="3">
        <f t="shared" si="12"/>
        <v>190.342</v>
      </c>
      <c r="AJ23" s="3">
        <f t="shared" si="12"/>
        <v>205.17119999999997</v>
      </c>
      <c r="AK23" s="3">
        <f t="shared" si="12"/>
        <v>190.342</v>
      </c>
      <c r="AL23" s="3">
        <f t="shared" si="12"/>
        <v>205.17119999999997</v>
      </c>
      <c r="AM23" s="3">
        <f t="shared" si="12"/>
        <v>219.92539999999997</v>
      </c>
      <c r="AN23" s="3">
        <f t="shared" si="12"/>
        <v>234.96</v>
      </c>
      <c r="AO23" s="3">
        <f t="shared" si="12"/>
        <v>190.342</v>
      </c>
      <c r="AP23" s="3">
        <f t="shared" si="12"/>
        <v>205.17119999999997</v>
      </c>
      <c r="AQ23" s="3">
        <f t="shared" si="12"/>
        <v>219.92539999999997</v>
      </c>
      <c r="AR23" s="3">
        <f t="shared" si="12"/>
        <v>234.96</v>
      </c>
      <c r="AS23" s="3">
        <f t="shared" si="12"/>
        <v>250.31999999999994</v>
      </c>
      <c r="AT23" s="3">
        <f t="shared" si="12"/>
        <v>205.17119999999997</v>
      </c>
      <c r="AU23" s="3">
        <f t="shared" si="12"/>
        <v>219.92539999999997</v>
      </c>
      <c r="AV23" s="3">
        <f t="shared" si="12"/>
        <v>234.96</v>
      </c>
      <c r="AW23" s="3">
        <f t="shared" si="12"/>
        <v>250.31999999999994</v>
      </c>
      <c r="AX23" s="3">
        <f t="shared" si="12"/>
        <v>263.4933333333333</v>
      </c>
      <c r="AY23" s="3">
        <f t="shared" si="12"/>
        <v>21.622297253634905</v>
      </c>
      <c r="AZ23" s="38" t="s">
        <v>237</v>
      </c>
      <c r="BB23" s="344" t="s">
        <v>212</v>
      </c>
      <c r="BC23" s="345">
        <v>1.42</v>
      </c>
      <c r="BD23" s="343"/>
      <c r="BE23" s="576"/>
      <c r="BF23" s="576"/>
      <c r="BG23" s="576"/>
    </row>
    <row r="24" spans="1:63" ht="12.75">
      <c r="A24" s="19"/>
      <c r="B24" s="10"/>
      <c r="F24" s="15"/>
      <c r="G24" s="15"/>
      <c r="H24" s="10"/>
      <c r="I24" s="99"/>
      <c r="J24" s="48"/>
      <c r="K24" s="139"/>
      <c r="L24" s="206"/>
      <c r="M24" s="34"/>
      <c r="O24" s="31" t="s">
        <v>14</v>
      </c>
      <c r="P24" s="34"/>
      <c r="Q24" s="34"/>
      <c r="R24" s="34"/>
      <c r="S24" s="34"/>
      <c r="T24" s="34"/>
      <c r="BB24" s="344" t="s">
        <v>211</v>
      </c>
      <c r="BC24" s="345">
        <v>1.16</v>
      </c>
      <c r="BD24" s="343"/>
      <c r="BE24" s="576"/>
      <c r="BF24" s="576"/>
      <c r="BG24" s="576"/>
      <c r="BI24" s="348" t="s">
        <v>553</v>
      </c>
      <c r="BJ24" s="59"/>
      <c r="BK24" s="59"/>
    </row>
    <row r="25" spans="1:63" ht="12.75">
      <c r="A25" s="19"/>
      <c r="B25" s="10"/>
      <c r="F25" s="10"/>
      <c r="G25" s="13"/>
      <c r="H25" s="13"/>
      <c r="I25" s="209"/>
      <c r="J25" s="207"/>
      <c r="K25" s="138"/>
      <c r="L25" s="48"/>
      <c r="M25" s="34"/>
      <c r="N25" s="50"/>
      <c r="O25" s="33" t="s">
        <v>75</v>
      </c>
      <c r="P25" s="39">
        <f aca="true" t="shared" si="13" ref="P25:AY25">2*P$4*$D$12</f>
        <v>3</v>
      </c>
      <c r="Q25" s="39">
        <f t="shared" si="13"/>
        <v>4.5</v>
      </c>
      <c r="R25" s="39">
        <f t="shared" si="13"/>
        <v>5.25</v>
      </c>
      <c r="S25" s="39">
        <f t="shared" si="13"/>
        <v>5.25</v>
      </c>
      <c r="T25" s="39">
        <f t="shared" si="13"/>
        <v>6.75</v>
      </c>
      <c r="U25" s="39">
        <f t="shared" si="13"/>
        <v>7.5</v>
      </c>
      <c r="V25" s="39">
        <f t="shared" si="13"/>
        <v>7.5</v>
      </c>
      <c r="W25" s="39">
        <f t="shared" si="13"/>
        <v>9</v>
      </c>
      <c r="X25" s="39">
        <f t="shared" si="13"/>
        <v>7.5</v>
      </c>
      <c r="Y25" s="39">
        <f t="shared" si="13"/>
        <v>9</v>
      </c>
      <c r="Z25" s="39">
        <f t="shared" si="13"/>
        <v>10.5</v>
      </c>
      <c r="AA25" s="39">
        <f t="shared" si="13"/>
        <v>10.5</v>
      </c>
      <c r="AB25" s="39">
        <f t="shared" si="13"/>
        <v>12</v>
      </c>
      <c r="AC25" s="39">
        <f t="shared" si="13"/>
        <v>13.5</v>
      </c>
      <c r="AD25" s="39">
        <f t="shared" si="13"/>
        <v>12</v>
      </c>
      <c r="AE25" s="39">
        <f t="shared" si="13"/>
        <v>13.5</v>
      </c>
      <c r="AF25" s="39">
        <f t="shared" si="13"/>
        <v>15</v>
      </c>
      <c r="AG25" s="39">
        <f t="shared" si="13"/>
        <v>12</v>
      </c>
      <c r="AH25" s="39">
        <f t="shared" si="13"/>
        <v>13.5</v>
      </c>
      <c r="AI25" s="39">
        <f t="shared" si="13"/>
        <v>15</v>
      </c>
      <c r="AJ25" s="39">
        <f t="shared" si="13"/>
        <v>16.5</v>
      </c>
      <c r="AK25" s="39">
        <f t="shared" si="13"/>
        <v>15</v>
      </c>
      <c r="AL25" s="39">
        <f t="shared" si="13"/>
        <v>16.5</v>
      </c>
      <c r="AM25" s="39">
        <f t="shared" si="13"/>
        <v>18</v>
      </c>
      <c r="AN25" s="39">
        <f t="shared" si="13"/>
        <v>19.5</v>
      </c>
      <c r="AO25" s="39">
        <f t="shared" si="13"/>
        <v>15</v>
      </c>
      <c r="AP25" s="39">
        <f t="shared" si="13"/>
        <v>16.5</v>
      </c>
      <c r="AQ25" s="39">
        <f t="shared" si="13"/>
        <v>18</v>
      </c>
      <c r="AR25" s="39">
        <f t="shared" si="13"/>
        <v>19.5</v>
      </c>
      <c r="AS25" s="39">
        <f t="shared" si="13"/>
        <v>21</v>
      </c>
      <c r="AT25" s="39">
        <f t="shared" si="13"/>
        <v>16.5</v>
      </c>
      <c r="AU25" s="39">
        <f t="shared" si="13"/>
        <v>18</v>
      </c>
      <c r="AV25" s="39">
        <f t="shared" si="13"/>
        <v>19.5</v>
      </c>
      <c r="AW25" s="39">
        <f t="shared" si="13"/>
        <v>21</v>
      </c>
      <c r="AX25" s="39">
        <f t="shared" si="13"/>
        <v>22.5</v>
      </c>
      <c r="AY25" s="39">
        <f t="shared" si="13"/>
        <v>3</v>
      </c>
      <c r="AZ25" s="31" t="s">
        <v>243</v>
      </c>
      <c r="BB25" s="344" t="s">
        <v>1138</v>
      </c>
      <c r="BC25" s="345">
        <v>1.12</v>
      </c>
      <c r="BD25" s="343"/>
      <c r="BE25" s="576"/>
      <c r="BF25" s="577"/>
      <c r="BG25" s="577"/>
      <c r="BI25" s="349" t="s">
        <v>551</v>
      </c>
      <c r="BJ25" s="59"/>
      <c r="BK25" s="59"/>
    </row>
    <row r="26" spans="1:63" ht="12.75">
      <c r="A26" s="19"/>
      <c r="B26" s="10"/>
      <c r="F26" s="10"/>
      <c r="G26" s="10"/>
      <c r="H26" s="28"/>
      <c r="I26" s="55"/>
      <c r="J26" s="45"/>
      <c r="K26" s="46"/>
      <c r="L26" s="207"/>
      <c r="M26" s="34"/>
      <c r="N26" s="50"/>
      <c r="O26" s="33" t="s">
        <v>252</v>
      </c>
      <c r="P26" s="41">
        <f aca="true" t="shared" si="14" ref="P26:AY26">(1/1.5)*0.6*$D$13*P$25</f>
        <v>43.199999999999996</v>
      </c>
      <c r="Q26" s="41">
        <f t="shared" si="14"/>
        <v>64.8</v>
      </c>
      <c r="R26" s="41">
        <f t="shared" si="14"/>
        <v>75.6</v>
      </c>
      <c r="S26" s="41">
        <f t="shared" si="14"/>
        <v>75.6</v>
      </c>
      <c r="T26" s="41">
        <f t="shared" si="14"/>
        <v>97.19999999999999</v>
      </c>
      <c r="U26" s="41">
        <f t="shared" si="14"/>
        <v>107.99999999999999</v>
      </c>
      <c r="V26" s="41">
        <f t="shared" si="14"/>
        <v>107.99999999999999</v>
      </c>
      <c r="W26" s="41">
        <f t="shared" si="14"/>
        <v>129.6</v>
      </c>
      <c r="X26" s="41">
        <f t="shared" si="14"/>
        <v>107.99999999999999</v>
      </c>
      <c r="Y26" s="41">
        <f t="shared" si="14"/>
        <v>129.6</v>
      </c>
      <c r="Z26" s="41">
        <f t="shared" si="14"/>
        <v>151.2</v>
      </c>
      <c r="AA26" s="41">
        <f t="shared" si="14"/>
        <v>151.2</v>
      </c>
      <c r="AB26" s="41">
        <f t="shared" si="14"/>
        <v>172.79999999999998</v>
      </c>
      <c r="AC26" s="41">
        <f t="shared" si="14"/>
        <v>194.39999999999998</v>
      </c>
      <c r="AD26" s="41">
        <f t="shared" si="14"/>
        <v>172.79999999999998</v>
      </c>
      <c r="AE26" s="41">
        <f t="shared" si="14"/>
        <v>194.39999999999998</v>
      </c>
      <c r="AF26" s="41">
        <f t="shared" si="14"/>
        <v>215.99999999999997</v>
      </c>
      <c r="AG26" s="41">
        <f t="shared" si="14"/>
        <v>172.79999999999998</v>
      </c>
      <c r="AH26" s="41">
        <f t="shared" si="14"/>
        <v>194.39999999999998</v>
      </c>
      <c r="AI26" s="41">
        <f t="shared" si="14"/>
        <v>215.99999999999997</v>
      </c>
      <c r="AJ26" s="41">
        <f t="shared" si="14"/>
        <v>237.59999999999997</v>
      </c>
      <c r="AK26" s="41">
        <f t="shared" si="14"/>
        <v>215.99999999999997</v>
      </c>
      <c r="AL26" s="41">
        <f t="shared" si="14"/>
        <v>237.59999999999997</v>
      </c>
      <c r="AM26" s="41">
        <f t="shared" si="14"/>
        <v>259.2</v>
      </c>
      <c r="AN26" s="41">
        <f t="shared" si="14"/>
        <v>280.79999999999995</v>
      </c>
      <c r="AO26" s="41">
        <f t="shared" si="14"/>
        <v>215.99999999999997</v>
      </c>
      <c r="AP26" s="41">
        <f t="shared" si="14"/>
        <v>237.59999999999997</v>
      </c>
      <c r="AQ26" s="41">
        <f t="shared" si="14"/>
        <v>259.2</v>
      </c>
      <c r="AR26" s="41">
        <f t="shared" si="14"/>
        <v>280.79999999999995</v>
      </c>
      <c r="AS26" s="41">
        <f t="shared" si="14"/>
        <v>302.4</v>
      </c>
      <c r="AT26" s="41">
        <f t="shared" si="14"/>
        <v>237.59999999999997</v>
      </c>
      <c r="AU26" s="41">
        <f t="shared" si="14"/>
        <v>259.2</v>
      </c>
      <c r="AV26" s="41">
        <f t="shared" si="14"/>
        <v>280.79999999999995</v>
      </c>
      <c r="AW26" s="41">
        <f t="shared" si="14"/>
        <v>302.4</v>
      </c>
      <c r="AX26" s="41">
        <f t="shared" si="14"/>
        <v>323.99999999999994</v>
      </c>
      <c r="AY26" s="41">
        <f t="shared" si="14"/>
        <v>43.199999999999996</v>
      </c>
      <c r="AZ26" s="31" t="s">
        <v>237</v>
      </c>
      <c r="BB26" s="344" t="s">
        <v>213</v>
      </c>
      <c r="BC26" s="345">
        <v>1.22</v>
      </c>
      <c r="BD26" s="343"/>
      <c r="BE26" s="209"/>
      <c r="BF26" s="343"/>
      <c r="BG26" s="92"/>
      <c r="BI26" s="350" t="s">
        <v>552</v>
      </c>
      <c r="BJ26" s="59"/>
      <c r="BK26" s="59"/>
    </row>
    <row r="27" spans="1:59" ht="12.75">
      <c r="A27" s="19"/>
      <c r="B27" s="10"/>
      <c r="C27" s="10"/>
      <c r="D27" s="10"/>
      <c r="E27" s="10"/>
      <c r="F27" s="10"/>
      <c r="G27" s="10"/>
      <c r="H27" s="10"/>
      <c r="I27" s="10"/>
      <c r="J27" s="10"/>
      <c r="K27" s="14"/>
      <c r="L27" s="45"/>
      <c r="M27" s="34"/>
      <c r="N27" s="50"/>
      <c r="O27" s="29" t="s">
        <v>15</v>
      </c>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B27" s="344" t="s">
        <v>1137</v>
      </c>
      <c r="BC27" s="345">
        <v>0.91</v>
      </c>
      <c r="BD27" s="343"/>
      <c r="BE27" s="551"/>
      <c r="BF27" s="551"/>
      <c r="BG27" s="92"/>
    </row>
    <row r="28" spans="1:67" ht="12.75">
      <c r="A28" s="19"/>
      <c r="B28" s="214"/>
      <c r="C28" s="211" t="s">
        <v>1054</v>
      </c>
      <c r="D28" s="212"/>
      <c r="E28" s="212"/>
      <c r="F28" s="539"/>
      <c r="G28" s="539"/>
      <c r="H28" s="212"/>
      <c r="I28" s="213"/>
      <c r="J28" s="209"/>
      <c r="K28" s="102"/>
      <c r="L28" s="145"/>
      <c r="M28" s="34"/>
      <c r="N28" s="60"/>
      <c r="O28" s="33" t="s">
        <v>1052</v>
      </c>
      <c r="P28" s="594">
        <f>IF($D$13=36,58,65)</f>
        <v>58</v>
      </c>
      <c r="Q28" s="594">
        <f aca="true" t="shared" si="15" ref="Q28:AY28">IF($D$13=36,58,65)</f>
        <v>58</v>
      </c>
      <c r="R28" s="594">
        <f t="shared" si="15"/>
        <v>58</v>
      </c>
      <c r="S28" s="594">
        <f t="shared" si="15"/>
        <v>58</v>
      </c>
      <c r="T28" s="594">
        <f t="shared" si="15"/>
        <v>58</v>
      </c>
      <c r="U28" s="594">
        <f t="shared" si="15"/>
        <v>58</v>
      </c>
      <c r="V28" s="594">
        <f t="shared" si="15"/>
        <v>58</v>
      </c>
      <c r="W28" s="594">
        <f t="shared" si="15"/>
        <v>58</v>
      </c>
      <c r="X28" s="594">
        <f t="shared" si="15"/>
        <v>58</v>
      </c>
      <c r="Y28" s="594">
        <f t="shared" si="15"/>
        <v>58</v>
      </c>
      <c r="Z28" s="594">
        <f t="shared" si="15"/>
        <v>58</v>
      </c>
      <c r="AA28" s="594">
        <f t="shared" si="15"/>
        <v>58</v>
      </c>
      <c r="AB28" s="594">
        <f t="shared" si="15"/>
        <v>58</v>
      </c>
      <c r="AC28" s="594">
        <f t="shared" si="15"/>
        <v>58</v>
      </c>
      <c r="AD28" s="594">
        <f t="shared" si="15"/>
        <v>58</v>
      </c>
      <c r="AE28" s="594">
        <f t="shared" si="15"/>
        <v>58</v>
      </c>
      <c r="AF28" s="594">
        <f t="shared" si="15"/>
        <v>58</v>
      </c>
      <c r="AG28" s="594">
        <f t="shared" si="15"/>
        <v>58</v>
      </c>
      <c r="AH28" s="594">
        <f t="shared" si="15"/>
        <v>58</v>
      </c>
      <c r="AI28" s="594">
        <f t="shared" si="15"/>
        <v>58</v>
      </c>
      <c r="AJ28" s="594">
        <f t="shared" si="15"/>
        <v>58</v>
      </c>
      <c r="AK28" s="594">
        <f t="shared" si="15"/>
        <v>58</v>
      </c>
      <c r="AL28" s="594">
        <f t="shared" si="15"/>
        <v>58</v>
      </c>
      <c r="AM28" s="594">
        <f t="shared" si="15"/>
        <v>58</v>
      </c>
      <c r="AN28" s="594">
        <f t="shared" si="15"/>
        <v>58</v>
      </c>
      <c r="AO28" s="594">
        <f t="shared" si="15"/>
        <v>58</v>
      </c>
      <c r="AP28" s="594">
        <f t="shared" si="15"/>
        <v>58</v>
      </c>
      <c r="AQ28" s="594">
        <f t="shared" si="15"/>
        <v>58</v>
      </c>
      <c r="AR28" s="594">
        <f t="shared" si="15"/>
        <v>58</v>
      </c>
      <c r="AS28" s="594">
        <f t="shared" si="15"/>
        <v>58</v>
      </c>
      <c r="AT28" s="594">
        <f t="shared" si="15"/>
        <v>58</v>
      </c>
      <c r="AU28" s="594">
        <f t="shared" si="15"/>
        <v>58</v>
      </c>
      <c r="AV28" s="594">
        <f t="shared" si="15"/>
        <v>58</v>
      </c>
      <c r="AW28" s="594">
        <f t="shared" si="15"/>
        <v>58</v>
      </c>
      <c r="AX28" s="594">
        <f t="shared" si="15"/>
        <v>58</v>
      </c>
      <c r="AY28" s="594">
        <f t="shared" si="15"/>
        <v>58</v>
      </c>
      <c r="AZ28" s="31" t="s">
        <v>268</v>
      </c>
      <c r="BB28" s="344" t="s">
        <v>409</v>
      </c>
      <c r="BC28" s="345">
        <v>1.18</v>
      </c>
      <c r="BD28" s="343"/>
      <c r="BE28" s="556"/>
      <c r="BF28" s="556"/>
      <c r="BG28" s="48"/>
      <c r="BH28" s="282"/>
      <c r="BI28" s="211" t="s">
        <v>1054</v>
      </c>
      <c r="BJ28" s="212"/>
      <c r="BK28" s="212"/>
      <c r="BL28" s="212"/>
      <c r="BM28" s="212"/>
      <c r="BN28" s="212"/>
      <c r="BO28" s="213"/>
    </row>
    <row r="29" spans="1:67" ht="12.75">
      <c r="A29" s="19"/>
      <c r="B29" s="10"/>
      <c r="C29" s="215" t="s">
        <v>1055</v>
      </c>
      <c r="D29" s="216" t="s">
        <v>1055</v>
      </c>
      <c r="E29" s="217" t="s">
        <v>153</v>
      </c>
      <c r="F29" s="218" t="s">
        <v>1165</v>
      </c>
      <c r="G29" s="219"/>
      <c r="H29" s="218" t="s">
        <v>1166</v>
      </c>
      <c r="I29" s="220"/>
      <c r="J29" s="10"/>
      <c r="K29" s="14"/>
      <c r="L29" s="209"/>
      <c r="M29" s="34"/>
      <c r="N29" s="60"/>
      <c r="O29" s="33" t="s">
        <v>253</v>
      </c>
      <c r="P29" s="41">
        <f aca="true" t="shared" si="16" ref="P29:AY29">P$25</f>
        <v>3</v>
      </c>
      <c r="Q29" s="41">
        <f t="shared" si="16"/>
        <v>4.5</v>
      </c>
      <c r="R29" s="41">
        <f t="shared" si="16"/>
        <v>5.25</v>
      </c>
      <c r="S29" s="41">
        <f t="shared" si="16"/>
        <v>5.25</v>
      </c>
      <c r="T29" s="41">
        <f t="shared" si="16"/>
        <v>6.75</v>
      </c>
      <c r="U29" s="41">
        <f t="shared" si="16"/>
        <v>7.5</v>
      </c>
      <c r="V29" s="41">
        <f t="shared" si="16"/>
        <v>7.5</v>
      </c>
      <c r="W29" s="41">
        <f t="shared" si="16"/>
        <v>9</v>
      </c>
      <c r="X29" s="41">
        <f t="shared" si="16"/>
        <v>7.5</v>
      </c>
      <c r="Y29" s="41">
        <f t="shared" si="16"/>
        <v>9</v>
      </c>
      <c r="Z29" s="41">
        <f t="shared" si="16"/>
        <v>10.5</v>
      </c>
      <c r="AA29" s="41">
        <f t="shared" si="16"/>
        <v>10.5</v>
      </c>
      <c r="AB29" s="41">
        <f t="shared" si="16"/>
        <v>12</v>
      </c>
      <c r="AC29" s="41">
        <f t="shared" si="16"/>
        <v>13.5</v>
      </c>
      <c r="AD29" s="41">
        <f t="shared" si="16"/>
        <v>12</v>
      </c>
      <c r="AE29" s="41">
        <f t="shared" si="16"/>
        <v>13.5</v>
      </c>
      <c r="AF29" s="41">
        <f t="shared" si="16"/>
        <v>15</v>
      </c>
      <c r="AG29" s="41">
        <f t="shared" si="16"/>
        <v>12</v>
      </c>
      <c r="AH29" s="41">
        <f t="shared" si="16"/>
        <v>13.5</v>
      </c>
      <c r="AI29" s="41">
        <f t="shared" si="16"/>
        <v>15</v>
      </c>
      <c r="AJ29" s="41">
        <f t="shared" si="16"/>
        <v>16.5</v>
      </c>
      <c r="AK29" s="41">
        <f t="shared" si="16"/>
        <v>15</v>
      </c>
      <c r="AL29" s="41">
        <f t="shared" si="16"/>
        <v>16.5</v>
      </c>
      <c r="AM29" s="41">
        <f t="shared" si="16"/>
        <v>18</v>
      </c>
      <c r="AN29" s="41">
        <f t="shared" si="16"/>
        <v>19.5</v>
      </c>
      <c r="AO29" s="41">
        <f t="shared" si="16"/>
        <v>15</v>
      </c>
      <c r="AP29" s="41">
        <f t="shared" si="16"/>
        <v>16.5</v>
      </c>
      <c r="AQ29" s="41">
        <f t="shared" si="16"/>
        <v>18</v>
      </c>
      <c r="AR29" s="41">
        <f t="shared" si="16"/>
        <v>19.5</v>
      </c>
      <c r="AS29" s="41">
        <f t="shared" si="16"/>
        <v>21</v>
      </c>
      <c r="AT29" s="41">
        <f t="shared" si="16"/>
        <v>16.5</v>
      </c>
      <c r="AU29" s="41">
        <f t="shared" si="16"/>
        <v>18</v>
      </c>
      <c r="AV29" s="41">
        <f t="shared" si="16"/>
        <v>19.5</v>
      </c>
      <c r="AW29" s="41">
        <f t="shared" si="16"/>
        <v>21</v>
      </c>
      <c r="AX29" s="41">
        <f t="shared" si="16"/>
        <v>22.5</v>
      </c>
      <c r="AY29" s="41">
        <f t="shared" si="16"/>
        <v>3</v>
      </c>
      <c r="AZ29" s="31" t="s">
        <v>243</v>
      </c>
      <c r="BB29" s="344" t="s">
        <v>1136</v>
      </c>
      <c r="BC29" s="345">
        <v>1</v>
      </c>
      <c r="BD29" s="343"/>
      <c r="BE29" s="577"/>
      <c r="BF29" s="577"/>
      <c r="BG29" s="48"/>
      <c r="BH29" s="26"/>
      <c r="BI29" s="357" t="s">
        <v>1055</v>
      </c>
      <c r="BJ29" s="351" t="s">
        <v>1055</v>
      </c>
      <c r="BK29" s="217" t="s">
        <v>153</v>
      </c>
      <c r="BL29" s="358" t="s">
        <v>1056</v>
      </c>
      <c r="BM29" s="335"/>
      <c r="BN29" s="358" t="s">
        <v>1056</v>
      </c>
      <c r="BO29" s="335"/>
    </row>
    <row r="30" spans="1:67" ht="13.5" customHeight="1">
      <c r="A30" s="19"/>
      <c r="B30" s="10"/>
      <c r="C30" s="215" t="s">
        <v>1057</v>
      </c>
      <c r="D30" s="216" t="s">
        <v>1058</v>
      </c>
      <c r="E30" s="217" t="s">
        <v>152</v>
      </c>
      <c r="F30" s="221" t="s">
        <v>597</v>
      </c>
      <c r="G30" s="219"/>
      <c r="H30" s="221" t="s">
        <v>597</v>
      </c>
      <c r="I30" s="220"/>
      <c r="J30" s="10"/>
      <c r="K30" s="14"/>
      <c r="L30" s="55"/>
      <c r="M30" s="34"/>
      <c r="N30" s="50"/>
      <c r="O30" s="33" t="s">
        <v>254</v>
      </c>
      <c r="P30" s="41">
        <f aca="true" t="shared" si="17" ref="P30:AY30">0.5*0.6*P$28*P$29</f>
        <v>52.199999999999996</v>
      </c>
      <c r="Q30" s="41">
        <f t="shared" si="17"/>
        <v>78.3</v>
      </c>
      <c r="R30" s="41">
        <f t="shared" si="17"/>
        <v>91.35</v>
      </c>
      <c r="S30" s="41">
        <f t="shared" si="17"/>
        <v>91.35</v>
      </c>
      <c r="T30" s="41">
        <f t="shared" si="17"/>
        <v>117.44999999999999</v>
      </c>
      <c r="U30" s="41">
        <f t="shared" si="17"/>
        <v>130.5</v>
      </c>
      <c r="V30" s="41">
        <f t="shared" si="17"/>
        <v>130.5</v>
      </c>
      <c r="W30" s="41">
        <f t="shared" si="17"/>
        <v>156.6</v>
      </c>
      <c r="X30" s="41">
        <f t="shared" si="17"/>
        <v>130.5</v>
      </c>
      <c r="Y30" s="41">
        <f t="shared" si="17"/>
        <v>156.6</v>
      </c>
      <c r="Z30" s="41">
        <f t="shared" si="17"/>
        <v>182.7</v>
      </c>
      <c r="AA30" s="41">
        <f t="shared" si="17"/>
        <v>182.7</v>
      </c>
      <c r="AB30" s="41">
        <f t="shared" si="17"/>
        <v>208.79999999999998</v>
      </c>
      <c r="AC30" s="41">
        <f t="shared" si="17"/>
        <v>234.89999999999998</v>
      </c>
      <c r="AD30" s="41">
        <f t="shared" si="17"/>
        <v>208.79999999999998</v>
      </c>
      <c r="AE30" s="41">
        <f t="shared" si="17"/>
        <v>234.89999999999998</v>
      </c>
      <c r="AF30" s="41">
        <f t="shared" si="17"/>
        <v>261</v>
      </c>
      <c r="AG30" s="41">
        <f t="shared" si="17"/>
        <v>208.79999999999998</v>
      </c>
      <c r="AH30" s="41">
        <f t="shared" si="17"/>
        <v>234.89999999999998</v>
      </c>
      <c r="AI30" s="41">
        <f t="shared" si="17"/>
        <v>261</v>
      </c>
      <c r="AJ30" s="41">
        <f t="shared" si="17"/>
        <v>287.09999999999997</v>
      </c>
      <c r="AK30" s="41">
        <f t="shared" si="17"/>
        <v>261</v>
      </c>
      <c r="AL30" s="41">
        <f t="shared" si="17"/>
        <v>287.09999999999997</v>
      </c>
      <c r="AM30" s="41">
        <f t="shared" si="17"/>
        <v>313.2</v>
      </c>
      <c r="AN30" s="41">
        <f t="shared" si="17"/>
        <v>339.29999999999995</v>
      </c>
      <c r="AO30" s="41">
        <f t="shared" si="17"/>
        <v>261</v>
      </c>
      <c r="AP30" s="41">
        <f t="shared" si="17"/>
        <v>287.09999999999997</v>
      </c>
      <c r="AQ30" s="41">
        <f t="shared" si="17"/>
        <v>313.2</v>
      </c>
      <c r="AR30" s="41">
        <f t="shared" si="17"/>
        <v>339.29999999999995</v>
      </c>
      <c r="AS30" s="41">
        <f t="shared" si="17"/>
        <v>365.4</v>
      </c>
      <c r="AT30" s="41">
        <f t="shared" si="17"/>
        <v>287.09999999999997</v>
      </c>
      <c r="AU30" s="41">
        <f t="shared" si="17"/>
        <v>313.2</v>
      </c>
      <c r="AV30" s="41">
        <f t="shared" si="17"/>
        <v>339.29999999999995</v>
      </c>
      <c r="AW30" s="41">
        <f t="shared" si="17"/>
        <v>365.4</v>
      </c>
      <c r="AX30" s="41">
        <f t="shared" si="17"/>
        <v>391.49999999999994</v>
      </c>
      <c r="AY30" s="41">
        <f t="shared" si="17"/>
        <v>52.199999999999996</v>
      </c>
      <c r="AZ30" s="31" t="s">
        <v>237</v>
      </c>
      <c r="BB30" s="344" t="s">
        <v>438</v>
      </c>
      <c r="BC30" s="345">
        <v>1</v>
      </c>
      <c r="BD30" s="343"/>
      <c r="BE30" s="577"/>
      <c r="BF30" s="577"/>
      <c r="BG30" s="48"/>
      <c r="BH30" s="26"/>
      <c r="BI30" s="215" t="s">
        <v>1057</v>
      </c>
      <c r="BJ30" s="216" t="s">
        <v>1058</v>
      </c>
      <c r="BK30" s="217" t="s">
        <v>152</v>
      </c>
      <c r="BL30" s="221" t="s">
        <v>1059</v>
      </c>
      <c r="BM30" s="220"/>
      <c r="BN30" s="221" t="s">
        <v>1060</v>
      </c>
      <c r="BO30" s="220"/>
    </row>
    <row r="31" spans="1:67" ht="13.5" customHeight="1">
      <c r="A31" s="19"/>
      <c r="B31" s="10"/>
      <c r="C31" s="222" t="s">
        <v>1061</v>
      </c>
      <c r="D31" s="223" t="s">
        <v>1062</v>
      </c>
      <c r="E31" s="224" t="s">
        <v>1062</v>
      </c>
      <c r="F31" s="225" t="s">
        <v>598</v>
      </c>
      <c r="G31" s="226"/>
      <c r="H31" s="225" t="s">
        <v>598</v>
      </c>
      <c r="I31" s="227"/>
      <c r="J31" s="10"/>
      <c r="K31" s="14"/>
      <c r="L31" s="55"/>
      <c r="M31" s="34"/>
      <c r="N31" s="50"/>
      <c r="BB31" s="344" t="s">
        <v>1135</v>
      </c>
      <c r="BC31" s="345">
        <v>0.83</v>
      </c>
      <c r="BD31" s="343"/>
      <c r="BE31" s="577"/>
      <c r="BF31" s="577"/>
      <c r="BG31" s="37"/>
      <c r="BH31" s="26"/>
      <c r="BI31" s="222" t="s">
        <v>1061</v>
      </c>
      <c r="BJ31" s="223" t="s">
        <v>1062</v>
      </c>
      <c r="BK31" s="224" t="s">
        <v>1062</v>
      </c>
      <c r="BL31" s="225" t="s">
        <v>1063</v>
      </c>
      <c r="BM31" s="227"/>
      <c r="BN31" s="225" t="s">
        <v>1063</v>
      </c>
      <c r="BO31" s="227"/>
    </row>
    <row r="32" spans="1:67" ht="12.75">
      <c r="A32" s="605"/>
      <c r="B32" s="10"/>
      <c r="C32" s="228" t="s">
        <v>1037</v>
      </c>
      <c r="D32" s="229">
        <v>0.17</v>
      </c>
      <c r="E32" s="230">
        <v>4</v>
      </c>
      <c r="F32" s="630">
        <f>$P$32</f>
        <v>21.622297253634905</v>
      </c>
      <c r="G32" s="626"/>
      <c r="H32" s="630">
        <f>$P$34</f>
        <v>12.892308888171808</v>
      </c>
      <c r="I32" s="626"/>
      <c r="J32" s="10"/>
      <c r="K32" s="14"/>
      <c r="L32" s="10"/>
      <c r="M32" s="34"/>
      <c r="N32" s="50"/>
      <c r="O32" s="33" t="s">
        <v>1154</v>
      </c>
      <c r="P32" s="61">
        <f aca="true" t="shared" si="18" ref="P32:AY32">MIN(P$26,P$30,P$23)</f>
        <v>21.622297253634905</v>
      </c>
      <c r="Q32" s="61">
        <f t="shared" si="18"/>
        <v>30.94178513731825</v>
      </c>
      <c r="R32" s="61">
        <f t="shared" si="18"/>
        <v>39.711876759750744</v>
      </c>
      <c r="S32" s="61">
        <f t="shared" si="18"/>
        <v>41.80197553657973</v>
      </c>
      <c r="T32" s="61">
        <f t="shared" si="18"/>
        <v>69.70436187399034</v>
      </c>
      <c r="U32" s="61">
        <f t="shared" si="18"/>
        <v>65.47568659127626</v>
      </c>
      <c r="V32" s="61">
        <f t="shared" si="18"/>
        <v>71.16922455573506</v>
      </c>
      <c r="W32" s="61">
        <f t="shared" si="18"/>
        <v>82.66432754442648</v>
      </c>
      <c r="X32" s="61">
        <f t="shared" si="18"/>
        <v>85.40306946688207</v>
      </c>
      <c r="Y32" s="61">
        <f t="shared" si="18"/>
        <v>99.19719305331178</v>
      </c>
      <c r="Z32" s="61">
        <f t="shared" si="18"/>
        <v>112.58214516501269</v>
      </c>
      <c r="AA32" s="61">
        <f t="shared" si="18"/>
        <v>131.34583602584814</v>
      </c>
      <c r="AB32" s="61">
        <f t="shared" si="18"/>
        <v>146.38021657915994</v>
      </c>
      <c r="AC32" s="61">
        <f t="shared" si="18"/>
        <v>161.14387318255245</v>
      </c>
      <c r="AD32" s="61">
        <f t="shared" si="18"/>
        <v>159.31315</v>
      </c>
      <c r="AE32" s="61">
        <f t="shared" si="18"/>
        <v>175.38119999999998</v>
      </c>
      <c r="AF32" s="61">
        <f t="shared" si="18"/>
        <v>190.342</v>
      </c>
      <c r="AG32" s="61">
        <f t="shared" si="18"/>
        <v>159.31315</v>
      </c>
      <c r="AH32" s="61">
        <f t="shared" si="18"/>
        <v>175.38119999999998</v>
      </c>
      <c r="AI32" s="61">
        <f t="shared" si="18"/>
        <v>190.342</v>
      </c>
      <c r="AJ32" s="61">
        <f t="shared" si="18"/>
        <v>205.17119999999997</v>
      </c>
      <c r="AK32" s="61">
        <f t="shared" si="18"/>
        <v>190.342</v>
      </c>
      <c r="AL32" s="61">
        <f t="shared" si="18"/>
        <v>205.17119999999997</v>
      </c>
      <c r="AM32" s="61">
        <f t="shared" si="18"/>
        <v>219.92539999999997</v>
      </c>
      <c r="AN32" s="61">
        <f t="shared" si="18"/>
        <v>234.96</v>
      </c>
      <c r="AO32" s="61">
        <f t="shared" si="18"/>
        <v>190.342</v>
      </c>
      <c r="AP32" s="61">
        <f t="shared" si="18"/>
        <v>205.17119999999997</v>
      </c>
      <c r="AQ32" s="61">
        <f t="shared" si="18"/>
        <v>219.92539999999997</v>
      </c>
      <c r="AR32" s="61">
        <f t="shared" si="18"/>
        <v>234.96</v>
      </c>
      <c r="AS32" s="61">
        <f t="shared" si="18"/>
        <v>250.31999999999994</v>
      </c>
      <c r="AT32" s="61">
        <f t="shared" si="18"/>
        <v>205.17119999999997</v>
      </c>
      <c r="AU32" s="61">
        <f t="shared" si="18"/>
        <v>219.92539999999997</v>
      </c>
      <c r="AV32" s="61">
        <f t="shared" si="18"/>
        <v>234.96</v>
      </c>
      <c r="AW32" s="61">
        <f t="shared" si="18"/>
        <v>250.31999999999994</v>
      </c>
      <c r="AX32" s="61">
        <f t="shared" si="18"/>
        <v>263.4933333333333</v>
      </c>
      <c r="AY32" s="61">
        <f t="shared" si="18"/>
        <v>21.622297253634905</v>
      </c>
      <c r="AZ32" s="31" t="s">
        <v>237</v>
      </c>
      <c r="BB32" s="344" t="s">
        <v>1134</v>
      </c>
      <c r="BC32" s="345">
        <v>0.93</v>
      </c>
      <c r="BD32" s="343"/>
      <c r="BE32" s="577"/>
      <c r="BF32" s="577"/>
      <c r="BG32" s="25"/>
      <c r="BH32" s="6"/>
      <c r="BI32" s="229" t="s">
        <v>298</v>
      </c>
      <c r="BJ32" s="352">
        <f>VLOOKUP($BI$32,$BB$6:$BC$391,2,FALSE)</f>
        <v>0.17</v>
      </c>
      <c r="BK32" s="353">
        <v>4</v>
      </c>
      <c r="BL32" s="636">
        <f>$AY$32</f>
        <v>21.622297253634905</v>
      </c>
      <c r="BM32" s="637"/>
      <c r="BN32" s="636">
        <f>$AY$34</f>
        <v>12.892308888171808</v>
      </c>
      <c r="BO32" s="638"/>
    </row>
    <row r="33" spans="1:66" ht="12.75">
      <c r="A33" s="605"/>
      <c r="B33" s="10"/>
      <c r="C33" s="228" t="s">
        <v>1038</v>
      </c>
      <c r="D33" s="229">
        <v>0.17</v>
      </c>
      <c r="E33" s="230">
        <v>6</v>
      </c>
      <c r="F33" s="630">
        <f>$Q$32</f>
        <v>30.94178513731825</v>
      </c>
      <c r="G33" s="626"/>
      <c r="H33" s="630">
        <f>$Q$34</f>
        <v>27.040598408026238</v>
      </c>
      <c r="I33" s="626"/>
      <c r="J33" s="10"/>
      <c r="K33" s="14"/>
      <c r="L33" s="214"/>
      <c r="M33" s="34"/>
      <c r="N33" s="50"/>
      <c r="O33" s="3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31"/>
      <c r="BB33" s="344" t="s">
        <v>214</v>
      </c>
      <c r="BC33" s="345">
        <v>1.02</v>
      </c>
      <c r="BD33" s="343"/>
      <c r="BE33" s="577"/>
      <c r="BF33" s="577"/>
      <c r="BG33" s="48"/>
      <c r="BH33" s="9"/>
      <c r="BI33" s="52"/>
      <c r="BJ33" s="55"/>
      <c r="BK33" s="55"/>
      <c r="BL33" s="55"/>
      <c r="BM33" s="55"/>
      <c r="BN33" s="55"/>
    </row>
    <row r="34" spans="1:59" ht="12.75">
      <c r="A34" s="605"/>
      <c r="B34" s="10"/>
      <c r="C34" s="228" t="s">
        <v>1039</v>
      </c>
      <c r="D34" s="229">
        <v>0.19</v>
      </c>
      <c r="E34" s="230">
        <v>7</v>
      </c>
      <c r="F34" s="625">
        <f>$R$32</f>
        <v>39.711876759750744</v>
      </c>
      <c r="G34" s="626"/>
      <c r="H34" s="625">
        <f>$R$34</f>
        <v>35.33144870805198</v>
      </c>
      <c r="I34" s="626"/>
      <c r="J34" s="10"/>
      <c r="K34" s="14"/>
      <c r="L34" s="209"/>
      <c r="M34" s="34"/>
      <c r="O34" s="33" t="s">
        <v>1155</v>
      </c>
      <c r="P34" s="61">
        <f aca="true" t="shared" si="19" ref="P34:AY34">MIN(P$26,P$30,P$9)</f>
        <v>12.892308888171808</v>
      </c>
      <c r="Q34" s="61">
        <f t="shared" si="19"/>
        <v>27.040598408026238</v>
      </c>
      <c r="R34" s="61">
        <f t="shared" si="19"/>
        <v>35.33144870805198</v>
      </c>
      <c r="S34" s="61">
        <f t="shared" si="19"/>
        <v>35.33144870805198</v>
      </c>
      <c r="T34" s="61">
        <f t="shared" si="19"/>
        <v>53.46820105997736</v>
      </c>
      <c r="U34" s="61">
        <f t="shared" si="19"/>
        <v>63.049065323042704</v>
      </c>
      <c r="V34" s="61">
        <f t="shared" si="19"/>
        <v>63.049065323042704</v>
      </c>
      <c r="W34" s="61">
        <f t="shared" si="19"/>
        <v>82.77323612608444</v>
      </c>
      <c r="X34" s="61">
        <f t="shared" si="19"/>
        <v>63.049065323042704</v>
      </c>
      <c r="Y34" s="61">
        <f t="shared" si="19"/>
        <v>82.77323612608444</v>
      </c>
      <c r="Z34" s="61">
        <f t="shared" si="19"/>
        <v>102.86835064280628</v>
      </c>
      <c r="AA34" s="61">
        <f t="shared" si="19"/>
        <v>102.86835064280628</v>
      </c>
      <c r="AB34" s="61">
        <f t="shared" si="19"/>
        <v>123.06745112675226</v>
      </c>
      <c r="AC34" s="61">
        <f t="shared" si="19"/>
        <v>130.4363259293638</v>
      </c>
      <c r="AD34" s="61">
        <f t="shared" si="19"/>
        <v>123.06745112675226</v>
      </c>
      <c r="AE34" s="61">
        <f t="shared" si="19"/>
        <v>130.4363259293638</v>
      </c>
      <c r="AF34" s="61">
        <f t="shared" si="19"/>
        <v>150.62077377339736</v>
      </c>
      <c r="AG34" s="61">
        <f t="shared" si="19"/>
        <v>123.06745112675226</v>
      </c>
      <c r="AH34" s="61">
        <f t="shared" si="19"/>
        <v>130.4363259293638</v>
      </c>
      <c r="AI34" s="61">
        <f t="shared" si="19"/>
        <v>150.62077377339736</v>
      </c>
      <c r="AJ34" s="61">
        <f t="shared" si="19"/>
        <v>170.82098168912069</v>
      </c>
      <c r="AK34" s="61">
        <f t="shared" si="19"/>
        <v>150.62077377339736</v>
      </c>
      <c r="AL34" s="61">
        <f t="shared" si="19"/>
        <v>170.82098168912069</v>
      </c>
      <c r="AM34" s="61">
        <f t="shared" si="19"/>
        <v>190.98082441469785</v>
      </c>
      <c r="AN34" s="61">
        <f t="shared" si="19"/>
        <v>211.06965839628913</v>
      </c>
      <c r="AO34" s="61">
        <f t="shared" si="19"/>
        <v>150.62077377339736</v>
      </c>
      <c r="AP34" s="61">
        <f t="shared" si="19"/>
        <v>170.82098168912069</v>
      </c>
      <c r="AQ34" s="61">
        <f t="shared" si="19"/>
        <v>190.98082441469785</v>
      </c>
      <c r="AR34" s="61">
        <f t="shared" si="19"/>
        <v>211.06965839628913</v>
      </c>
      <c r="AS34" s="61">
        <f t="shared" si="19"/>
        <v>231.07254255434736</v>
      </c>
      <c r="AT34" s="61">
        <f t="shared" si="19"/>
        <v>170.82098168912069</v>
      </c>
      <c r="AU34" s="61">
        <f t="shared" si="19"/>
        <v>190.98082441469785</v>
      </c>
      <c r="AV34" s="61">
        <f t="shared" si="19"/>
        <v>211.06965839628913</v>
      </c>
      <c r="AW34" s="61">
        <f t="shared" si="19"/>
        <v>231.07254255434736</v>
      </c>
      <c r="AX34" s="61">
        <f t="shared" si="19"/>
        <v>250.98401919916742</v>
      </c>
      <c r="AY34" s="61">
        <f t="shared" si="19"/>
        <v>12.892308888171808</v>
      </c>
      <c r="AZ34" s="31" t="s">
        <v>237</v>
      </c>
      <c r="BB34" s="344" t="s">
        <v>1133</v>
      </c>
      <c r="BC34" s="345">
        <v>0.83</v>
      </c>
      <c r="BD34" s="343"/>
      <c r="BE34" s="577"/>
      <c r="BF34" s="577"/>
      <c r="BG34" s="25"/>
    </row>
    <row r="35" spans="1:59" ht="12.75">
      <c r="A35" s="605"/>
      <c r="B35" s="10"/>
      <c r="C35" s="635" t="s">
        <v>1040</v>
      </c>
      <c r="D35" s="634">
        <v>0.2</v>
      </c>
      <c r="E35" s="283">
        <v>7</v>
      </c>
      <c r="F35" s="627">
        <f>$S$32</f>
        <v>41.80197553657973</v>
      </c>
      <c r="G35" s="628"/>
      <c r="H35" s="627">
        <f>$S$34</f>
        <v>35.33144870805198</v>
      </c>
      <c r="I35" s="629"/>
      <c r="J35" s="10"/>
      <c r="K35" s="14"/>
      <c r="L35" s="231"/>
      <c r="M35" s="34"/>
      <c r="AO35" s="29"/>
      <c r="BB35" s="344" t="s">
        <v>273</v>
      </c>
      <c r="BC35" s="345">
        <v>0.75</v>
      </c>
      <c r="BD35" s="343"/>
      <c r="BE35" s="577"/>
      <c r="BF35" s="577"/>
      <c r="BG35" s="92"/>
    </row>
    <row r="36" spans="1:59" ht="12.75" customHeight="1">
      <c r="A36" s="605"/>
      <c r="B36" s="10"/>
      <c r="C36" s="633"/>
      <c r="D36" s="633"/>
      <c r="E36" s="284">
        <v>9</v>
      </c>
      <c r="F36" s="616">
        <f>$T$32</f>
        <v>69.70436187399034</v>
      </c>
      <c r="G36" s="617"/>
      <c r="H36" s="616">
        <f>$T$34</f>
        <v>53.46820105997736</v>
      </c>
      <c r="I36" s="617"/>
      <c r="J36" s="10"/>
      <c r="K36" s="14"/>
      <c r="L36" s="89"/>
      <c r="M36" s="116"/>
      <c r="N36" s="50"/>
      <c r="U36" s="29"/>
      <c r="V36" s="29"/>
      <c r="AD36" s="545" t="s">
        <v>1148</v>
      </c>
      <c r="AE36" s="545" t="s">
        <v>526</v>
      </c>
      <c r="AF36" s="545" t="s">
        <v>16</v>
      </c>
      <c r="BB36" s="344" t="s">
        <v>215</v>
      </c>
      <c r="BC36" s="345">
        <v>0.96</v>
      </c>
      <c r="BD36" s="343"/>
      <c r="BE36" s="577"/>
      <c r="BF36" s="577"/>
      <c r="BG36" s="92"/>
    </row>
    <row r="37" spans="1:59" ht="12.75" customHeight="1">
      <c r="A37" s="605"/>
      <c r="B37" s="10"/>
      <c r="C37" s="233" t="s">
        <v>1041</v>
      </c>
      <c r="D37" s="229">
        <v>0.23</v>
      </c>
      <c r="E37" s="234">
        <v>10</v>
      </c>
      <c r="F37" s="625">
        <f>$U$32</f>
        <v>65.47568659127626</v>
      </c>
      <c r="G37" s="626"/>
      <c r="H37" s="625">
        <f>$U$34</f>
        <v>63.049065323042704</v>
      </c>
      <c r="I37" s="626"/>
      <c r="J37" s="10"/>
      <c r="K37" s="14"/>
      <c r="L37" s="38"/>
      <c r="N37" s="33"/>
      <c r="U37" s="29"/>
      <c r="V37" s="29"/>
      <c r="AD37" s="546">
        <v>4</v>
      </c>
      <c r="AE37" s="451">
        <f>$AH$81</f>
        <v>0.17400000000000002</v>
      </c>
      <c r="AF37" s="451">
        <f>$AH$84</f>
        <v>3.028100000000001</v>
      </c>
      <c r="AY37" s="347"/>
      <c r="BB37" s="344" t="s">
        <v>221</v>
      </c>
      <c r="BC37" s="345">
        <v>0.75</v>
      </c>
      <c r="BD37" s="343"/>
      <c r="BE37" s="209"/>
      <c r="BF37" s="343"/>
      <c r="BG37" s="31"/>
    </row>
    <row r="38" spans="1:59" ht="12.75" customHeight="1">
      <c r="A38" s="605"/>
      <c r="B38" s="10"/>
      <c r="C38" s="631" t="s">
        <v>1042</v>
      </c>
      <c r="D38" s="634">
        <v>0.25</v>
      </c>
      <c r="E38" s="283">
        <v>10</v>
      </c>
      <c r="F38" s="619">
        <f>$V$32</f>
        <v>71.16922455573506</v>
      </c>
      <c r="G38" s="620"/>
      <c r="H38" s="619">
        <f>$V$34</f>
        <v>63.049065323042704</v>
      </c>
      <c r="I38" s="620"/>
      <c r="J38" s="10"/>
      <c r="K38" s="14"/>
      <c r="L38" s="57"/>
      <c r="N38" s="33"/>
      <c r="U38" s="29"/>
      <c r="V38" s="29"/>
      <c r="AD38" s="546">
        <v>6</v>
      </c>
      <c r="AE38" s="451">
        <f>$AK$81</f>
        <v>0.09500000000000001</v>
      </c>
      <c r="AF38" s="451">
        <f>$AK$84</f>
        <v>2.8888333333333325</v>
      </c>
      <c r="BB38" s="344" t="s">
        <v>49</v>
      </c>
      <c r="BC38" s="345">
        <v>0.71</v>
      </c>
      <c r="BD38" s="343"/>
      <c r="BE38" s="209"/>
      <c r="BF38" s="343"/>
      <c r="BG38" s="31"/>
    </row>
    <row r="39" spans="1:65" ht="12.75" customHeight="1">
      <c r="A39" s="605"/>
      <c r="B39" s="10"/>
      <c r="C39" s="633"/>
      <c r="D39" s="633"/>
      <c r="E39" s="284">
        <v>12</v>
      </c>
      <c r="F39" s="616">
        <f>$W$32</f>
        <v>82.66432754442648</v>
      </c>
      <c r="G39" s="617"/>
      <c r="H39" s="616">
        <f>$W$34</f>
        <v>82.77323612608444</v>
      </c>
      <c r="I39" s="617"/>
      <c r="J39" s="10"/>
      <c r="K39" s="14"/>
      <c r="L39" s="48"/>
      <c r="N39" s="33"/>
      <c r="U39" s="29"/>
      <c r="V39" s="29"/>
      <c r="AD39" s="546">
        <v>7</v>
      </c>
      <c r="AE39" s="451">
        <f>$AN$81</f>
        <v>0.07485714285714286</v>
      </c>
      <c r="AF39" s="451">
        <f>$AN$84</f>
        <v>2.8434530612244897</v>
      </c>
      <c r="BB39" s="344" t="s">
        <v>216</v>
      </c>
      <c r="BC39" s="345">
        <v>0.83</v>
      </c>
      <c r="BD39" s="343"/>
      <c r="BE39" s="209"/>
      <c r="BF39" s="343"/>
      <c r="BG39" s="31"/>
      <c r="BM39" s="29"/>
    </row>
    <row r="40" spans="1:65" ht="12.75" customHeight="1">
      <c r="A40" s="605"/>
      <c r="B40" s="10"/>
      <c r="C40" s="631" t="s">
        <v>1043</v>
      </c>
      <c r="D40" s="634">
        <v>0.3</v>
      </c>
      <c r="E40" s="283">
        <v>10</v>
      </c>
      <c r="F40" s="619">
        <f>$X$32</f>
        <v>85.40306946688207</v>
      </c>
      <c r="G40" s="620"/>
      <c r="H40" s="619">
        <f>$X$34</f>
        <v>63.049065323042704</v>
      </c>
      <c r="I40" s="620"/>
      <c r="J40" s="10"/>
      <c r="K40" s="14"/>
      <c r="L40" s="48"/>
      <c r="N40" s="33"/>
      <c r="U40" s="29"/>
      <c r="V40" s="29"/>
      <c r="AD40" s="546">
        <v>9</v>
      </c>
      <c r="AE40" s="451">
        <f>$AQ$81</f>
        <v>0.05000000000000001</v>
      </c>
      <c r="AF40" s="451">
        <f>$AQ$84</f>
        <v>3.687777777777779</v>
      </c>
      <c r="BA40" s="31"/>
      <c r="BB40" s="344" t="s">
        <v>175</v>
      </c>
      <c r="BC40" s="345">
        <v>0.71</v>
      </c>
      <c r="BD40" s="343"/>
      <c r="BE40" s="209"/>
      <c r="BF40" s="343"/>
      <c r="BG40" s="38"/>
      <c r="BM40" s="33"/>
    </row>
    <row r="41" spans="1:65" ht="12.75" customHeight="1">
      <c r="A41" s="605"/>
      <c r="B41" s="10"/>
      <c r="C41" s="632"/>
      <c r="D41" s="632"/>
      <c r="E41" s="285">
        <v>12</v>
      </c>
      <c r="F41" s="622">
        <f>$Y$32</f>
        <v>99.19719305331178</v>
      </c>
      <c r="G41" s="623"/>
      <c r="H41" s="622">
        <f>$Y$34</f>
        <v>82.77323612608444</v>
      </c>
      <c r="I41" s="623"/>
      <c r="J41" s="10"/>
      <c r="K41" s="14"/>
      <c r="L41" s="48"/>
      <c r="N41" s="33"/>
      <c r="U41" s="29"/>
      <c r="V41" s="29"/>
      <c r="AD41" s="546">
        <v>10</v>
      </c>
      <c r="AE41" s="451">
        <f>$AT$81</f>
        <v>0.0425</v>
      </c>
      <c r="AF41" s="451">
        <f>$AT$84</f>
        <v>2.7110000000000003</v>
      </c>
      <c r="BA41" s="29"/>
      <c r="BB41" s="344" t="s">
        <v>174</v>
      </c>
      <c r="BC41" s="345">
        <v>0.65</v>
      </c>
      <c r="BD41" s="343"/>
      <c r="BE41" s="209"/>
      <c r="BF41" s="343"/>
      <c r="BG41" s="75"/>
      <c r="BH41" s="38"/>
      <c r="BM41" s="33"/>
    </row>
    <row r="42" spans="1:65" ht="12.75">
      <c r="A42" s="605"/>
      <c r="B42" s="10"/>
      <c r="C42" s="633"/>
      <c r="D42" s="633"/>
      <c r="E42" s="284">
        <v>14</v>
      </c>
      <c r="F42" s="616">
        <f>$Z$32</f>
        <v>112.58214516501269</v>
      </c>
      <c r="G42" s="617"/>
      <c r="H42" s="616">
        <f>$Z$34</f>
        <v>102.86835064280628</v>
      </c>
      <c r="I42" s="617"/>
      <c r="J42" s="10"/>
      <c r="K42" s="14"/>
      <c r="L42" s="48"/>
      <c r="N42" s="33"/>
      <c r="U42" s="29"/>
      <c r="V42" s="29"/>
      <c r="AD42" s="546">
        <v>12</v>
      </c>
      <c r="AE42" s="451">
        <f>$AH$122</f>
        <v>0.03125</v>
      </c>
      <c r="AF42" s="451">
        <f>$AH$125</f>
        <v>2.6240625</v>
      </c>
      <c r="BA42" s="31"/>
      <c r="BB42" s="344" t="s">
        <v>217</v>
      </c>
      <c r="BC42" s="345">
        <v>0.75</v>
      </c>
      <c r="BD42" s="343"/>
      <c r="BE42" s="209"/>
      <c r="BF42" s="343"/>
      <c r="BM42" s="33"/>
    </row>
    <row r="43" spans="1:65" ht="12.75">
      <c r="A43" s="605"/>
      <c r="B43" s="10"/>
      <c r="C43" s="631" t="s">
        <v>1044</v>
      </c>
      <c r="D43" s="634">
        <v>0.35</v>
      </c>
      <c r="E43" s="283">
        <v>14</v>
      </c>
      <c r="F43" s="619">
        <f>$AA$32</f>
        <v>131.34583602584814</v>
      </c>
      <c r="G43" s="620"/>
      <c r="H43" s="619">
        <f>$AA$34</f>
        <v>102.86835064280628</v>
      </c>
      <c r="I43" s="620"/>
      <c r="J43" s="10"/>
      <c r="K43" s="14"/>
      <c r="L43" s="48"/>
      <c r="N43" s="33"/>
      <c r="U43" s="29"/>
      <c r="V43" s="29"/>
      <c r="AD43" s="546">
        <v>14</v>
      </c>
      <c r="AE43" s="451">
        <f>$AK$122</f>
        <v>0.0245</v>
      </c>
      <c r="AF43" s="451">
        <f>$AK$125</f>
        <v>2.5526867346938777</v>
      </c>
      <c r="BA43" s="31"/>
      <c r="BB43" s="344" t="s">
        <v>173</v>
      </c>
      <c r="BC43" s="345">
        <v>0.65</v>
      </c>
      <c r="BD43" s="343"/>
      <c r="BE43" s="209"/>
      <c r="BF43" s="343"/>
      <c r="BM43" s="33"/>
    </row>
    <row r="44" spans="1:65" ht="12.75" customHeight="1">
      <c r="A44" s="605"/>
      <c r="B44" s="10"/>
      <c r="C44" s="632"/>
      <c r="D44" s="632"/>
      <c r="E44" s="285">
        <v>16</v>
      </c>
      <c r="F44" s="622">
        <f>$AB$32</f>
        <v>146.38021657915994</v>
      </c>
      <c r="G44" s="623"/>
      <c r="H44" s="622">
        <f>$AB$34</f>
        <v>123.06745112675226</v>
      </c>
      <c r="I44" s="623"/>
      <c r="J44" s="10"/>
      <c r="K44" s="14"/>
      <c r="L44" s="48"/>
      <c r="N44" s="33"/>
      <c r="P44" s="37"/>
      <c r="U44" s="29"/>
      <c r="V44" s="29"/>
      <c r="AD44" s="546">
        <v>16</v>
      </c>
      <c r="AE44" s="451">
        <f>$AN$122</f>
        <v>0.019812500000000004</v>
      </c>
      <c r="AF44" s="451">
        <f>$AN$125</f>
        <v>2.48926796875</v>
      </c>
      <c r="BA44" s="31"/>
      <c r="BB44" s="344" t="s">
        <v>172</v>
      </c>
      <c r="BC44" s="345">
        <v>0.71</v>
      </c>
      <c r="BD44" s="343"/>
      <c r="BE44" s="209"/>
      <c r="BF44" s="343"/>
      <c r="BG44" s="48"/>
      <c r="BM44" s="33"/>
    </row>
    <row r="45" spans="1:65" ht="12.75">
      <c r="A45" s="605"/>
      <c r="B45" s="10"/>
      <c r="C45" s="633"/>
      <c r="D45" s="633"/>
      <c r="E45" s="284">
        <v>18</v>
      </c>
      <c r="F45" s="616">
        <f>$AC$32</f>
        <v>161.14387318255245</v>
      </c>
      <c r="G45" s="617"/>
      <c r="H45" s="616">
        <f>$AC$34</f>
        <v>130.4363259293638</v>
      </c>
      <c r="I45" s="617"/>
      <c r="J45" s="10"/>
      <c r="K45" s="14"/>
      <c r="L45" s="37"/>
      <c r="N45" s="33"/>
      <c r="U45" s="29"/>
      <c r="V45" s="29"/>
      <c r="AD45" s="546">
        <v>18</v>
      </c>
      <c r="AE45" s="451">
        <f>$AQ$122</f>
        <v>0.01616666666666667</v>
      </c>
      <c r="AF45" s="451">
        <f>$AQ$125</f>
        <v>2.43585</v>
      </c>
      <c r="BA45" s="38"/>
      <c r="BB45" s="344" t="s">
        <v>485</v>
      </c>
      <c r="BC45" s="345">
        <v>0.65</v>
      </c>
      <c r="BD45" s="343"/>
      <c r="BE45" s="209"/>
      <c r="BF45" s="343"/>
      <c r="BG45" s="31"/>
      <c r="BM45" s="33"/>
    </row>
    <row r="46" spans="1:65" ht="12.75">
      <c r="A46" s="605"/>
      <c r="B46" s="10"/>
      <c r="C46" s="631" t="s">
        <v>1045</v>
      </c>
      <c r="D46" s="634">
        <v>0.395</v>
      </c>
      <c r="E46" s="283">
        <v>16</v>
      </c>
      <c r="F46" s="619">
        <f>$AD$32</f>
        <v>159.31315</v>
      </c>
      <c r="G46" s="620"/>
      <c r="H46" s="619">
        <f>$AD$34</f>
        <v>123.06745112675226</v>
      </c>
      <c r="I46" s="620"/>
      <c r="J46" s="10"/>
      <c r="K46" s="14"/>
      <c r="L46" s="115"/>
      <c r="N46" s="74"/>
      <c r="U46" s="29"/>
      <c r="V46" s="29"/>
      <c r="AD46" s="546">
        <v>20</v>
      </c>
      <c r="AE46" s="451">
        <f>$AT$122</f>
        <v>0.013250000000000001</v>
      </c>
      <c r="AF46" s="451">
        <f>$AT$125</f>
        <v>2.3792750000000003</v>
      </c>
      <c r="AH46" s="247" t="s">
        <v>1149</v>
      </c>
      <c r="AK46" s="247" t="s">
        <v>1150</v>
      </c>
      <c r="AN46" s="247" t="s">
        <v>1151</v>
      </c>
      <c r="AQ46" s="247" t="s">
        <v>1152</v>
      </c>
      <c r="AT46" s="247" t="s">
        <v>1153</v>
      </c>
      <c r="BA46" s="31"/>
      <c r="BB46" s="344" t="s">
        <v>1132</v>
      </c>
      <c r="BC46" s="345">
        <v>0.65</v>
      </c>
      <c r="BD46" s="343"/>
      <c r="BE46" s="209"/>
      <c r="BF46" s="343"/>
      <c r="BG46" s="72"/>
      <c r="BM46" s="33"/>
    </row>
    <row r="47" spans="1:65" ht="12.75">
      <c r="A47" s="605"/>
      <c r="B47" s="10"/>
      <c r="C47" s="632"/>
      <c r="D47" s="632"/>
      <c r="E47" s="285">
        <v>18</v>
      </c>
      <c r="F47" s="622">
        <f>$AE$32</f>
        <v>175.38119999999998</v>
      </c>
      <c r="G47" s="623"/>
      <c r="H47" s="622">
        <f>$AE$34</f>
        <v>130.4363259293638</v>
      </c>
      <c r="I47" s="623"/>
      <c r="J47" s="10"/>
      <c r="K47" s="14"/>
      <c r="L47" s="75"/>
      <c r="N47" s="48"/>
      <c r="U47" s="29"/>
      <c r="V47" s="29"/>
      <c r="AD47" s="546">
        <v>22</v>
      </c>
      <c r="AE47" s="451">
        <f>$AH$163</f>
        <v>0.010863636363636364</v>
      </c>
      <c r="AF47" s="451">
        <f>$AH$166</f>
        <v>2.331490909090909</v>
      </c>
      <c r="AH47" s="460" t="s">
        <v>521</v>
      </c>
      <c r="AK47" s="460" t="s">
        <v>521</v>
      </c>
      <c r="AN47" s="460" t="s">
        <v>521</v>
      </c>
      <c r="AQ47" s="460" t="s">
        <v>521</v>
      </c>
      <c r="AT47" s="460" t="s">
        <v>521</v>
      </c>
      <c r="BA47" s="31"/>
      <c r="BB47" s="344" t="s">
        <v>484</v>
      </c>
      <c r="BC47" s="345">
        <v>0.65</v>
      </c>
      <c r="BD47" s="343"/>
      <c r="BE47" s="209"/>
      <c r="BF47" s="343"/>
      <c r="BG47" s="72"/>
      <c r="BM47" s="33"/>
    </row>
    <row r="48" spans="1:65" ht="12.75" customHeight="1">
      <c r="A48" s="605"/>
      <c r="B48" s="10"/>
      <c r="C48" s="633"/>
      <c r="D48" s="633"/>
      <c r="E48" s="284">
        <v>20</v>
      </c>
      <c r="F48" s="616">
        <f>$AF$32</f>
        <v>190.342</v>
      </c>
      <c r="G48" s="617"/>
      <c r="H48" s="616">
        <f>$AF$34</f>
        <v>150.62077377339736</v>
      </c>
      <c r="I48" s="617"/>
      <c r="J48" s="10"/>
      <c r="K48" s="14"/>
      <c r="L48" s="75"/>
      <c r="N48" s="33"/>
      <c r="U48" s="29"/>
      <c r="V48" s="29"/>
      <c r="AD48" s="546">
        <v>24</v>
      </c>
      <c r="AE48" s="451">
        <f>$AK$163</f>
        <v>0.008875000000000001</v>
      </c>
      <c r="AF48" s="451">
        <f>$AK$166</f>
        <v>2.290889583333333</v>
      </c>
      <c r="AH48" s="460" t="s">
        <v>522</v>
      </c>
      <c r="AK48" s="460" t="s">
        <v>522</v>
      </c>
      <c r="AN48" s="460" t="s">
        <v>522</v>
      </c>
      <c r="AQ48" s="460" t="s">
        <v>522</v>
      </c>
      <c r="AT48" s="460" t="s">
        <v>522</v>
      </c>
      <c r="BA48" s="31"/>
      <c r="BB48" s="344" t="s">
        <v>483</v>
      </c>
      <c r="BC48" s="345">
        <v>0.63</v>
      </c>
      <c r="BD48" s="343"/>
      <c r="BE48" s="209"/>
      <c r="BF48" s="343"/>
      <c r="BG48" s="38"/>
      <c r="BM48" s="33"/>
    </row>
    <row r="49" spans="1:65" ht="12.75">
      <c r="A49" s="605"/>
      <c r="B49" s="10"/>
      <c r="C49" s="631" t="s">
        <v>1046</v>
      </c>
      <c r="D49" s="634">
        <v>0.46</v>
      </c>
      <c r="E49" s="283">
        <v>16</v>
      </c>
      <c r="F49" s="619">
        <f>$AG$32</f>
        <v>159.31315</v>
      </c>
      <c r="G49" s="620"/>
      <c r="H49" s="619">
        <f>$AG$34</f>
        <v>123.06745112675226</v>
      </c>
      <c r="I49" s="621"/>
      <c r="J49" s="10"/>
      <c r="K49" s="14"/>
      <c r="L49" s="75"/>
      <c r="N49" s="33"/>
      <c r="AD49" s="546">
        <v>26</v>
      </c>
      <c r="AE49" s="451">
        <f>$AN$163</f>
        <v>0.007692307692307693</v>
      </c>
      <c r="AF49" s="451">
        <f>$AN$166</f>
        <v>2.2592307692307694</v>
      </c>
      <c r="AH49" s="461">
        <f>IF($AH$57&lt;0.1,1,MATCH($AH$57,$P$57:$AE$57))</f>
        <v>7</v>
      </c>
      <c r="AK49" s="461">
        <f>IF($AK$57&lt;0.1,1,MATCH($AK$57,$P$57:$AE$57))</f>
        <v>5</v>
      </c>
      <c r="AN49" s="461">
        <f>IF($AN$57&lt;0.1,1,MATCH($AN$57,$P$57:$AE$57))</f>
        <v>4</v>
      </c>
      <c r="AQ49" s="461">
        <f>IF($AQ$57&lt;0.1,1,MATCH($AQ$57,$P$57:$AE$57))</f>
        <v>3</v>
      </c>
      <c r="AT49" s="461">
        <f>IF($AT$57&lt;0.1,1,MATCH($AT$57,$P$57:$AE$57))</f>
        <v>3</v>
      </c>
      <c r="BA49" s="31"/>
      <c r="BB49" s="344" t="s">
        <v>482</v>
      </c>
      <c r="BC49" s="345">
        <v>2.52</v>
      </c>
      <c r="BD49" s="343"/>
      <c r="BE49" s="209"/>
      <c r="BF49" s="343"/>
      <c r="BM49" s="74"/>
    </row>
    <row r="50" spans="1:65" ht="12.75">
      <c r="A50" s="605"/>
      <c r="B50" s="10"/>
      <c r="C50" s="632"/>
      <c r="D50" s="632"/>
      <c r="E50" s="285">
        <v>18</v>
      </c>
      <c r="F50" s="622">
        <f>$AH$32</f>
        <v>175.38119999999998</v>
      </c>
      <c r="G50" s="623"/>
      <c r="H50" s="622">
        <f>$AH$34</f>
        <v>130.4363259293638</v>
      </c>
      <c r="I50" s="624"/>
      <c r="J50" s="10"/>
      <c r="K50" s="14"/>
      <c r="L50" s="92"/>
      <c r="N50" s="33"/>
      <c r="AD50" s="546">
        <v>28</v>
      </c>
      <c r="AE50" s="451">
        <f>$AQ$163</f>
        <v>0.007142857142857143</v>
      </c>
      <c r="AF50" s="451">
        <f>$AQ$166</f>
        <v>2.2349999999999994</v>
      </c>
      <c r="AH50" s="462"/>
      <c r="AK50" s="462"/>
      <c r="AN50" s="462"/>
      <c r="AQ50" s="462"/>
      <c r="AT50" s="462"/>
      <c r="BA50" s="31"/>
      <c r="BB50" s="344" t="s">
        <v>481</v>
      </c>
      <c r="BC50" s="345">
        <v>2.38</v>
      </c>
      <c r="BD50" s="343"/>
      <c r="BE50" s="209"/>
      <c r="BF50" s="343"/>
      <c r="BM50" s="74"/>
    </row>
    <row r="51" spans="1:59" ht="12.75">
      <c r="A51" s="605"/>
      <c r="B51" s="10"/>
      <c r="C51" s="632"/>
      <c r="D51" s="632"/>
      <c r="E51" s="285">
        <v>20</v>
      </c>
      <c r="F51" s="622">
        <f>$AI$32</f>
        <v>190.342</v>
      </c>
      <c r="G51" s="623"/>
      <c r="H51" s="622">
        <f>$AI$34</f>
        <v>150.62077377339736</v>
      </c>
      <c r="I51" s="624"/>
      <c r="J51" s="10"/>
      <c r="K51" s="14"/>
      <c r="L51" s="29"/>
      <c r="N51" s="33"/>
      <c r="AD51" s="547">
        <v>30</v>
      </c>
      <c r="AE51" s="548">
        <f>$AT$163</f>
        <v>0.006666666666666666</v>
      </c>
      <c r="AF51" s="548">
        <f>$AT$166</f>
        <v>2.1957777777777774</v>
      </c>
      <c r="AH51" s="460" t="s">
        <v>523</v>
      </c>
      <c r="AK51" s="460" t="s">
        <v>523</v>
      </c>
      <c r="AN51" s="460" t="s">
        <v>523</v>
      </c>
      <c r="AQ51" s="460" t="s">
        <v>523</v>
      </c>
      <c r="AT51" s="460" t="s">
        <v>523</v>
      </c>
      <c r="BA51" s="31"/>
      <c r="BB51" s="344" t="s">
        <v>480</v>
      </c>
      <c r="BC51" s="345">
        <v>2.165</v>
      </c>
      <c r="BD51" s="343"/>
      <c r="BE51" s="209"/>
      <c r="BF51" s="343"/>
      <c r="BG51" s="31"/>
    </row>
    <row r="52" spans="1:58" ht="12.75">
      <c r="A52" s="605"/>
      <c r="B52" s="10"/>
      <c r="C52" s="633"/>
      <c r="D52" s="633"/>
      <c r="E52" s="284">
        <v>22</v>
      </c>
      <c r="F52" s="616">
        <f>$AJ$32</f>
        <v>205.17119999999997</v>
      </c>
      <c r="G52" s="617"/>
      <c r="H52" s="616">
        <f>$AJ$34</f>
        <v>170.82098168912069</v>
      </c>
      <c r="I52" s="618"/>
      <c r="J52" s="10"/>
      <c r="K52" s="14"/>
      <c r="L52" s="29"/>
      <c r="N52" s="33"/>
      <c r="AH52" s="460" t="s">
        <v>524</v>
      </c>
      <c r="AK52" s="460" t="s">
        <v>524</v>
      </c>
      <c r="AN52" s="460" t="s">
        <v>524</v>
      </c>
      <c r="AQ52" s="460" t="s">
        <v>524</v>
      </c>
      <c r="AT52" s="460" t="s">
        <v>524</v>
      </c>
      <c r="BA52" s="31"/>
      <c r="BB52" s="344" t="s">
        <v>479</v>
      </c>
      <c r="BC52" s="345">
        <v>1.97</v>
      </c>
      <c r="BD52" s="343"/>
      <c r="BE52" s="209"/>
      <c r="BF52" s="343"/>
    </row>
    <row r="53" spans="1:58" ht="12.75">
      <c r="A53" s="605"/>
      <c r="B53" s="10"/>
      <c r="C53" s="631" t="s">
        <v>1047</v>
      </c>
      <c r="D53" s="634">
        <v>0.47</v>
      </c>
      <c r="E53" s="283">
        <v>20</v>
      </c>
      <c r="F53" s="619">
        <f>$AK$32</f>
        <v>190.342</v>
      </c>
      <c r="G53" s="620"/>
      <c r="H53" s="619">
        <f>$AK$34</f>
        <v>150.62077377339736</v>
      </c>
      <c r="I53" s="621"/>
      <c r="J53" s="10"/>
      <c r="K53" s="14"/>
      <c r="L53" s="155"/>
      <c r="N53" s="33"/>
      <c r="AH53" s="461">
        <f>MATCH($P$17,$O$58:$O$80)</f>
        <v>8</v>
      </c>
      <c r="AK53" s="461">
        <f>MATCH($Q$17,$O$58:$O$80)</f>
        <v>7</v>
      </c>
      <c r="AN53" s="461">
        <f>MATCH($R$17,$O$58:$O$80)</f>
        <v>6</v>
      </c>
      <c r="AQ53" s="461">
        <f>MATCH($T$17,$O$58:$O$80)</f>
        <v>5</v>
      </c>
      <c r="AT53" s="461">
        <f>MATCH($U$17,$O$58:$O$80)</f>
        <v>5</v>
      </c>
      <c r="BA53" s="31"/>
      <c r="BB53" s="344" t="s">
        <v>478</v>
      </c>
      <c r="BC53" s="345">
        <v>1.79</v>
      </c>
      <c r="BD53" s="343"/>
      <c r="BE53" s="209"/>
      <c r="BF53" s="343"/>
    </row>
    <row r="54" spans="1:59" ht="12.75">
      <c r="A54" s="605"/>
      <c r="B54" s="10"/>
      <c r="C54" s="632"/>
      <c r="D54" s="632"/>
      <c r="E54" s="285">
        <v>22</v>
      </c>
      <c r="F54" s="622">
        <f>$AL$32</f>
        <v>205.17119999999997</v>
      </c>
      <c r="G54" s="623"/>
      <c r="H54" s="622">
        <f>$AL$34</f>
        <v>170.82098168912069</v>
      </c>
      <c r="I54" s="624"/>
      <c r="J54" s="10"/>
      <c r="K54" s="14"/>
      <c r="L54" s="92"/>
      <c r="N54" s="33"/>
      <c r="BA54" s="31"/>
      <c r="BB54" s="344" t="s">
        <v>477</v>
      </c>
      <c r="BC54" s="345">
        <v>1.61</v>
      </c>
      <c r="BD54" s="343"/>
      <c r="BE54" s="209"/>
      <c r="BF54" s="343"/>
      <c r="BG54" s="210"/>
    </row>
    <row r="55" spans="1:61" ht="12.75">
      <c r="A55" s="605"/>
      <c r="B55" s="10"/>
      <c r="C55" s="632"/>
      <c r="D55" s="632"/>
      <c r="E55" s="285">
        <v>24</v>
      </c>
      <c r="F55" s="622">
        <f>$AM$32</f>
        <v>219.92539999999997</v>
      </c>
      <c r="G55" s="623"/>
      <c r="H55" s="622">
        <f>$AM$34</f>
        <v>190.98082441469785</v>
      </c>
      <c r="I55" s="624"/>
      <c r="J55" s="10"/>
      <c r="K55" s="14"/>
      <c r="L55" s="92"/>
      <c r="M55" s="61"/>
      <c r="N55" s="33"/>
      <c r="O55" s="141" t="s">
        <v>525</v>
      </c>
      <c r="P55" s="463"/>
      <c r="Q55" s="107"/>
      <c r="R55" s="463"/>
      <c r="S55" s="463"/>
      <c r="T55" s="143"/>
      <c r="U55" s="143"/>
      <c r="V55" s="143"/>
      <c r="W55" s="142"/>
      <c r="X55" s="143"/>
      <c r="Y55" s="143"/>
      <c r="Z55" s="143"/>
      <c r="AA55" s="143"/>
      <c r="AB55" s="144"/>
      <c r="AC55" s="143"/>
      <c r="AD55" s="143"/>
      <c r="AE55" s="144"/>
      <c r="BA55" s="31"/>
      <c r="BB55" s="344" t="s">
        <v>475</v>
      </c>
      <c r="BC55" s="345">
        <v>1.5</v>
      </c>
      <c r="BD55" s="343"/>
      <c r="BE55" s="209"/>
      <c r="BF55" s="343"/>
      <c r="BG55" s="210"/>
      <c r="BH55" s="57"/>
      <c r="BI55" s="57"/>
    </row>
    <row r="56" spans="1:61" ht="12.75">
      <c r="A56" s="605"/>
      <c r="B56" s="10"/>
      <c r="C56" s="633"/>
      <c r="D56" s="633"/>
      <c r="E56" s="284">
        <v>26</v>
      </c>
      <c r="F56" s="616">
        <f>$AN$32</f>
        <v>234.96</v>
      </c>
      <c r="G56" s="617"/>
      <c r="H56" s="616">
        <f>$AN$34</f>
        <v>211.06965839628913</v>
      </c>
      <c r="I56" s="618"/>
      <c r="J56" s="10"/>
      <c r="K56" s="14"/>
      <c r="L56" s="55"/>
      <c r="N56" s="33"/>
      <c r="O56" s="464"/>
      <c r="P56" s="141" t="s">
        <v>323</v>
      </c>
      <c r="Q56" s="107"/>
      <c r="R56" s="143"/>
      <c r="S56" s="143"/>
      <c r="T56" s="143"/>
      <c r="U56" s="143"/>
      <c r="V56" s="465"/>
      <c r="W56" s="143"/>
      <c r="X56" s="143"/>
      <c r="Y56" s="143"/>
      <c r="Z56" s="143"/>
      <c r="AA56" s="156"/>
      <c r="AB56" s="144"/>
      <c r="AC56" s="143"/>
      <c r="AD56" s="156"/>
      <c r="AE56" s="144"/>
      <c r="BA56" s="31"/>
      <c r="BB56" s="344" t="s">
        <v>474</v>
      </c>
      <c r="BC56" s="345">
        <v>1.36</v>
      </c>
      <c r="BD56" s="343"/>
      <c r="BE56" s="209"/>
      <c r="BF56" s="343"/>
      <c r="BG56" s="31"/>
      <c r="BH56" s="57"/>
      <c r="BI56" s="57"/>
    </row>
    <row r="57" spans="1:64" ht="12.75">
      <c r="A57" s="605"/>
      <c r="B57" s="10"/>
      <c r="C57" s="631" t="s">
        <v>1048</v>
      </c>
      <c r="D57" s="634">
        <v>0.55</v>
      </c>
      <c r="E57" s="283">
        <v>20</v>
      </c>
      <c r="F57" s="619">
        <f>$AO$32</f>
        <v>190.342</v>
      </c>
      <c r="G57" s="620"/>
      <c r="H57" s="619">
        <f>$AO$34</f>
        <v>150.62077377339736</v>
      </c>
      <c r="I57" s="621"/>
      <c r="J57" s="10"/>
      <c r="K57" s="14"/>
      <c r="L57" s="45"/>
      <c r="O57" s="467" t="s">
        <v>18</v>
      </c>
      <c r="P57" s="468">
        <v>0</v>
      </c>
      <c r="Q57" s="140">
        <v>0.1</v>
      </c>
      <c r="R57" s="140">
        <v>0.2</v>
      </c>
      <c r="S57" s="469">
        <v>0.3</v>
      </c>
      <c r="T57" s="140">
        <v>0.4</v>
      </c>
      <c r="U57" s="469">
        <v>0.5</v>
      </c>
      <c r="V57" s="140">
        <v>0.6</v>
      </c>
      <c r="W57" s="469">
        <v>0.7</v>
      </c>
      <c r="X57" s="140">
        <v>0.8</v>
      </c>
      <c r="Y57" s="469">
        <v>0.9</v>
      </c>
      <c r="Z57" s="140">
        <v>1</v>
      </c>
      <c r="AA57" s="469">
        <v>1.2</v>
      </c>
      <c r="AB57" s="140">
        <v>1.4</v>
      </c>
      <c r="AC57" s="140">
        <v>1.6</v>
      </c>
      <c r="AD57" s="469">
        <v>1.8</v>
      </c>
      <c r="AE57" s="140">
        <v>2</v>
      </c>
      <c r="AG57" s="543" t="s">
        <v>18</v>
      </c>
      <c r="AH57" s="470">
        <f>$P$18</f>
        <v>0.625</v>
      </c>
      <c r="AJ57" s="543" t="s">
        <v>18</v>
      </c>
      <c r="AK57" s="470">
        <f>$Q$18</f>
        <v>0.4166666666666667</v>
      </c>
      <c r="AM57" s="543" t="s">
        <v>18</v>
      </c>
      <c r="AN57" s="470">
        <f>$R$18</f>
        <v>0.35714285714285715</v>
      </c>
      <c r="AP57" s="543" t="s">
        <v>18</v>
      </c>
      <c r="AQ57" s="470">
        <f>$T$18</f>
        <v>0.2777777777777778</v>
      </c>
      <c r="AS57" s="543" t="s">
        <v>18</v>
      </c>
      <c r="AT57" s="470">
        <f>$U$18</f>
        <v>0.25</v>
      </c>
      <c r="BA57" s="29"/>
      <c r="BB57" s="344" t="s">
        <v>23</v>
      </c>
      <c r="BC57" s="345">
        <v>1.22</v>
      </c>
      <c r="BD57" s="343"/>
      <c r="BE57" s="209"/>
      <c r="BF57" s="343"/>
      <c r="BK57" s="57"/>
      <c r="BL57" s="57"/>
    </row>
    <row r="58" spans="1:64" ht="12.75">
      <c r="A58" s="605"/>
      <c r="B58" s="10"/>
      <c r="C58" s="632"/>
      <c r="D58" s="632"/>
      <c r="E58" s="285">
        <v>22</v>
      </c>
      <c r="F58" s="622">
        <f>$AP$32</f>
        <v>205.17119999999997</v>
      </c>
      <c r="G58" s="623"/>
      <c r="H58" s="622">
        <f>$AP$34</f>
        <v>170.82098168912069</v>
      </c>
      <c r="I58" s="624"/>
      <c r="J58" s="10"/>
      <c r="K58" s="14"/>
      <c r="L58" s="45"/>
      <c r="O58" s="471">
        <v>0</v>
      </c>
      <c r="P58" s="472">
        <v>1.53</v>
      </c>
      <c r="Q58" s="473">
        <v>2.09</v>
      </c>
      <c r="R58" s="474">
        <v>2.64</v>
      </c>
      <c r="S58" s="318">
        <v>3.2</v>
      </c>
      <c r="T58" s="474">
        <v>3.76</v>
      </c>
      <c r="U58" s="474">
        <v>4.32</v>
      </c>
      <c r="V58" s="474">
        <v>4.87</v>
      </c>
      <c r="W58" s="474">
        <v>5.43</v>
      </c>
      <c r="X58" s="474">
        <v>5.99</v>
      </c>
      <c r="Y58" s="474">
        <v>6.54</v>
      </c>
      <c r="Z58" s="318">
        <v>7.1</v>
      </c>
      <c r="AA58" s="474">
        <v>8.21</v>
      </c>
      <c r="AB58" s="475">
        <v>9.33</v>
      </c>
      <c r="AC58" s="474">
        <v>10.4</v>
      </c>
      <c r="AD58" s="474">
        <v>11.6</v>
      </c>
      <c r="AE58" s="476">
        <v>12.7</v>
      </c>
      <c r="AG58" s="471">
        <v>0</v>
      </c>
      <c r="AH58" s="542">
        <f ca="1">IF($AH$57=2,AE$58,IF($AH$57&gt;2,"ERROR",FORECAST($AH$57,OFFSET($O58,0,$AH$49):OFFSET($O58,0,$AH$49+1),OFFSET($O$57,0,$AH$49):OFFSET($O$57,0,$AH$49+1))))</f>
        <v>5.010000000000002</v>
      </c>
      <c r="AJ58" s="471">
        <v>0</v>
      </c>
      <c r="AK58" s="542">
        <f ca="1">IF($AK$57=2,$AE58,IF($AK$57&gt;2,"ERROR",FORECAST($AK$57,OFFSET($O58,0,$AK$49):OFFSET($O58,0,$AK$49+1),OFFSET($O$57,0,$AK$49):OFFSET($O$57,0,$AK$49+1))))</f>
        <v>3.853333333333333</v>
      </c>
      <c r="AM58" s="471">
        <v>0</v>
      </c>
      <c r="AN58" s="542">
        <f ca="1">IF($AN$57=2,$AE58,IF($AN$57&gt;2,"ERROR",FORECAST($AN$57,OFFSET($O58,0,$AN$49):OFFSET($O58,0,$AN$49+1),OFFSET($O$57,0,$AN$49):OFFSET($O$57,0,$AN$49+1))))</f>
        <v>3.52</v>
      </c>
      <c r="AP58" s="471">
        <v>0</v>
      </c>
      <c r="AQ58" s="542">
        <f ca="1">IF($AQ$57=2,$AE58,IF($AQ$57&gt;2,"ERROR",FORECAST($AQ$57,OFFSET($O58,0,$AQ$49):OFFSET($O58,0,$AQ$49+1),OFFSET($O$57,0,$AQ$49):OFFSET($O$57,0,$AQ$49+1))))</f>
        <v>3.075555555555556</v>
      </c>
      <c r="AS58" s="471">
        <v>0</v>
      </c>
      <c r="AT58" s="542">
        <f ca="1">IF($AT$57=2,$AE58,IF($AT$57&gt;2,"ERROR",FORECAST($AT$57,OFFSET($O58,0,$AT$49):OFFSET($O58,0,$AT$49+1),OFFSET($O$57,0,$AT$49):OFFSET($O$57,0,$AT$49+1))))</f>
        <v>2.92</v>
      </c>
      <c r="BA58" s="31"/>
      <c r="BB58" s="344" t="s">
        <v>39</v>
      </c>
      <c r="BC58" s="345">
        <v>1.12</v>
      </c>
      <c r="BD58" s="343"/>
      <c r="BE58" s="209"/>
      <c r="BF58" s="343"/>
      <c r="BK58" s="57"/>
      <c r="BL58" s="57"/>
    </row>
    <row r="59" spans="1:62" ht="12.75">
      <c r="A59" s="605"/>
      <c r="B59" s="10"/>
      <c r="C59" s="632"/>
      <c r="D59" s="632"/>
      <c r="E59" s="285">
        <v>24</v>
      </c>
      <c r="F59" s="622">
        <f>$AQ$32</f>
        <v>219.92539999999997</v>
      </c>
      <c r="G59" s="623"/>
      <c r="H59" s="622">
        <f>$AQ$34</f>
        <v>190.98082441469785</v>
      </c>
      <c r="I59" s="624"/>
      <c r="J59" s="10"/>
      <c r="K59" s="14"/>
      <c r="L59" s="55"/>
      <c r="O59" s="477">
        <v>0.1</v>
      </c>
      <c r="P59" s="478">
        <v>1.86</v>
      </c>
      <c r="Q59" s="479">
        <v>2.28</v>
      </c>
      <c r="R59" s="480">
        <v>2.78</v>
      </c>
      <c r="S59" s="320">
        <v>3.3</v>
      </c>
      <c r="T59" s="480">
        <v>3.84</v>
      </c>
      <c r="U59" s="480">
        <v>4.37</v>
      </c>
      <c r="V59" s="480">
        <v>4.92</v>
      </c>
      <c r="W59" s="480">
        <v>5.46</v>
      </c>
      <c r="X59" s="480">
        <v>6.01</v>
      </c>
      <c r="Y59" s="480">
        <v>6.56</v>
      </c>
      <c r="Z59" s="480">
        <v>7.11</v>
      </c>
      <c r="AA59" s="480">
        <v>8.21</v>
      </c>
      <c r="AB59" s="481">
        <v>9.32</v>
      </c>
      <c r="AC59" s="480">
        <v>10.4</v>
      </c>
      <c r="AD59" s="480">
        <v>11.5</v>
      </c>
      <c r="AE59" s="482">
        <v>12.6</v>
      </c>
      <c r="AG59" s="477">
        <v>0.1</v>
      </c>
      <c r="AH59" s="513">
        <f ca="1">IF($AH$57=2,AE$58,IF($AH$57&gt;2,"ERROR",FORECAST($AH$57,OFFSET($O59,0,$AH$49):OFFSET($O59,0,$AH$49+1),OFFSET($O$57,0,$AH$49):OFFSET($O$57,0,$AH$49+1))))</f>
        <v>5.055</v>
      </c>
      <c r="AJ59" s="477">
        <v>0.1</v>
      </c>
      <c r="AK59" s="513">
        <f ca="1">IF($AK$57=2,$AE59,IF($AK$57&gt;2,"ERROR",FORECAST($AK$57,OFFSET($O59,0,$AK$49):OFFSET($O59,0,$AK$49+1),OFFSET($O$57,0,$AK$49):OFFSET($O$57,0,$AK$49+1))))</f>
        <v>3.9283333333333337</v>
      </c>
      <c r="AM59" s="477">
        <v>0.1</v>
      </c>
      <c r="AN59" s="513">
        <f ca="1">IF($AN$57=2,$AE59,IF($AN$57&gt;2,"ERROR",FORECAST($AN$57,OFFSET($O59,0,$AN$49):OFFSET($O59,0,$AN$49+1),OFFSET($O$57,0,$AN$49):OFFSET($O$57,0,$AN$49+1))))</f>
        <v>3.6085714285714285</v>
      </c>
      <c r="AP59" s="477">
        <v>0.1</v>
      </c>
      <c r="AQ59" s="513">
        <f ca="1">IF($AQ$57=2,$AE59,IF($AQ$57&gt;2,"ERROR",FORECAST($AQ$57,OFFSET($O59,0,$AQ$49):OFFSET($O59,0,$AQ$49+1),OFFSET($O$57,0,$AQ$49):OFFSET($O$57,0,$AQ$49+1))))</f>
        <v>3.184444444444445</v>
      </c>
      <c r="AS59" s="477">
        <v>0.1</v>
      </c>
      <c r="AT59" s="513">
        <f ca="1">IF($AT$57=2,$AE59,IF($AT$57&gt;2,"ERROR",FORECAST($AT$57,OFFSET($O59,0,$AT$49):OFFSET($O59,0,$AT$49+1),OFFSET($O$57,0,$AT$49):OFFSET($O$57,0,$AT$49+1))))</f>
        <v>3.04</v>
      </c>
      <c r="BA59" s="31"/>
      <c r="BB59" s="344" t="s">
        <v>38</v>
      </c>
      <c r="BC59" s="345">
        <v>1.02</v>
      </c>
      <c r="BD59" s="343"/>
      <c r="BE59" s="209"/>
      <c r="BF59" s="343"/>
      <c r="BJ59" s="57"/>
    </row>
    <row r="60" spans="1:74" ht="12.75">
      <c r="A60" s="605"/>
      <c r="B60" s="10"/>
      <c r="C60" s="632"/>
      <c r="D60" s="632"/>
      <c r="E60" s="285">
        <v>26</v>
      </c>
      <c r="F60" s="622">
        <f>$AR$32</f>
        <v>234.96</v>
      </c>
      <c r="G60" s="623"/>
      <c r="H60" s="622">
        <f>$AR$34</f>
        <v>211.06965839628913</v>
      </c>
      <c r="I60" s="624"/>
      <c r="J60" s="10"/>
      <c r="K60" s="14"/>
      <c r="L60" s="55"/>
      <c r="O60" s="483">
        <v>0.15</v>
      </c>
      <c r="P60" s="478">
        <v>1.83</v>
      </c>
      <c r="Q60" s="479">
        <v>2.25</v>
      </c>
      <c r="R60" s="480">
        <v>2.73</v>
      </c>
      <c r="S60" s="480">
        <v>3.23</v>
      </c>
      <c r="T60" s="480">
        <v>3.75</v>
      </c>
      <c r="U60" s="480">
        <v>4.27</v>
      </c>
      <c r="V60" s="320">
        <v>4.8</v>
      </c>
      <c r="W60" s="480">
        <v>5.33</v>
      </c>
      <c r="X60" s="480">
        <v>5.87</v>
      </c>
      <c r="Y60" s="320">
        <v>6.4</v>
      </c>
      <c r="Z60" s="480">
        <v>6.94</v>
      </c>
      <c r="AA60" s="480">
        <v>8.02</v>
      </c>
      <c r="AB60" s="481">
        <v>9.12</v>
      </c>
      <c r="AC60" s="480">
        <v>10.2</v>
      </c>
      <c r="AD60" s="480">
        <v>11.3</v>
      </c>
      <c r="AE60" s="482">
        <v>12.4</v>
      </c>
      <c r="AG60" s="483">
        <v>0.15</v>
      </c>
      <c r="AH60" s="513">
        <f ca="1">IF($AH$57=2,AE$58,IF($AH$57&gt;2,"ERROR",FORECAST($AH$57,OFFSET($O60,0,$AH$49):OFFSET($O60,0,$AH$49+1),OFFSET($O$57,0,$AH$49):OFFSET($O$57,0,$AH$49+1))))</f>
        <v>4.932499999999999</v>
      </c>
      <c r="AJ60" s="483">
        <v>0.15</v>
      </c>
      <c r="AK60" s="513">
        <f ca="1">IF($AK$57=2,$AE60,IF($AK$57&gt;2,"ERROR",FORECAST($AK$57,OFFSET($O60,0,$AK$49):OFFSET($O60,0,$AK$49+1),OFFSET($O$57,0,$AK$49):OFFSET($O$57,0,$AK$49+1))))</f>
        <v>3.8366666666666664</v>
      </c>
      <c r="AM60" s="483">
        <v>0.15</v>
      </c>
      <c r="AN60" s="513">
        <f ca="1">IF($AN$57=2,$AE60,IF($AN$57&gt;2,"ERROR",FORECAST($AN$57,OFFSET($O60,0,$AN$49):OFFSET($O60,0,$AN$49+1),OFFSET($O$57,0,$AN$49):OFFSET($O$57,0,$AN$49+1))))</f>
        <v>3.5271428571428576</v>
      </c>
      <c r="AP60" s="483">
        <v>0.15</v>
      </c>
      <c r="AQ60" s="513">
        <f ca="1">IF($AQ$57=2,$AE60,IF($AQ$57&gt;2,"ERROR",FORECAST($AQ$57,OFFSET($O60,0,$AQ$49):OFFSET($O60,0,$AQ$49+1),OFFSET($O$57,0,$AQ$49):OFFSET($O$57,0,$AQ$49+1))))</f>
        <v>3.118888888888889</v>
      </c>
      <c r="AS60" s="483">
        <v>0.15</v>
      </c>
      <c r="AT60" s="513">
        <f ca="1">IF($AT$57=2,$AE60,IF($AT$57&gt;2,"ERROR",FORECAST($AT$57,OFFSET($O60,0,$AT$49):OFFSET($O60,0,$AT$49+1),OFFSET($O$57,0,$AT$49):OFFSET($O$57,0,$AT$49+1))))</f>
        <v>2.98</v>
      </c>
      <c r="BA60" s="31"/>
      <c r="BB60" s="344" t="s">
        <v>241</v>
      </c>
      <c r="BC60" s="345">
        <v>0.945</v>
      </c>
      <c r="BD60" s="343"/>
      <c r="BE60" s="209"/>
      <c r="BF60" s="343"/>
      <c r="BG60" s="9"/>
      <c r="BH60" s="9"/>
      <c r="BI60" s="9"/>
      <c r="BJ60" s="9"/>
      <c r="BK60" s="9"/>
      <c r="BL60" s="9"/>
      <c r="BM60" s="9"/>
      <c r="BN60" s="9"/>
      <c r="BO60" s="9"/>
      <c r="BP60" s="9"/>
      <c r="BQ60" s="9"/>
      <c r="BR60" s="9"/>
      <c r="BS60" s="9"/>
      <c r="BT60" s="9"/>
      <c r="BU60" s="9"/>
      <c r="BV60" s="9"/>
    </row>
    <row r="61" spans="1:74" ht="12.75">
      <c r="A61" s="605"/>
      <c r="B61" s="10"/>
      <c r="C61" s="633"/>
      <c r="D61" s="633"/>
      <c r="E61" s="284">
        <v>28</v>
      </c>
      <c r="F61" s="616">
        <f>$AS$32</f>
        <v>250.31999999999994</v>
      </c>
      <c r="G61" s="617"/>
      <c r="H61" s="616">
        <f>$AS$34</f>
        <v>231.07254255434736</v>
      </c>
      <c r="I61" s="618"/>
      <c r="J61" s="10"/>
      <c r="K61" s="14"/>
      <c r="L61" s="55"/>
      <c r="O61" s="483">
        <v>0.2</v>
      </c>
      <c r="P61" s="478">
        <v>1.76</v>
      </c>
      <c r="Q61" s="479">
        <v>2.18</v>
      </c>
      <c r="R61" s="480">
        <v>2.63</v>
      </c>
      <c r="S61" s="480">
        <v>3.11</v>
      </c>
      <c r="T61" s="320">
        <v>3.6</v>
      </c>
      <c r="U61" s="480">
        <v>4.1</v>
      </c>
      <c r="V61" s="480">
        <v>4.61</v>
      </c>
      <c r="W61" s="480">
        <v>5.13</v>
      </c>
      <c r="X61" s="480">
        <v>5.64</v>
      </c>
      <c r="Y61" s="480">
        <v>6.16</v>
      </c>
      <c r="Z61" s="480">
        <v>6.65</v>
      </c>
      <c r="AA61" s="480">
        <v>7.73</v>
      </c>
      <c r="AB61" s="481">
        <v>8.78</v>
      </c>
      <c r="AC61" s="480">
        <v>9.83</v>
      </c>
      <c r="AD61" s="480">
        <v>10.9</v>
      </c>
      <c r="AE61" s="484">
        <v>12</v>
      </c>
      <c r="AG61" s="483">
        <v>0.2</v>
      </c>
      <c r="AH61" s="513">
        <f ca="1">IF($AH$57=2,AE$58,IF($AH$57&gt;2,"ERROR",FORECAST($AH$57,OFFSET($O61,0,$AH$49):OFFSET($O61,0,$AH$49+1),OFFSET($O$57,0,$AH$49):OFFSET($O$57,0,$AH$49+1))))</f>
        <v>4.74</v>
      </c>
      <c r="AJ61" s="483">
        <v>0.2</v>
      </c>
      <c r="AK61" s="513">
        <f ca="1">IF($AK$57=2,$AE61,IF($AK$57&gt;2,"ERROR",FORECAST($AK$57,OFFSET($O61,0,$AK$49):OFFSET($O61,0,$AK$49+1),OFFSET($O$57,0,$AK$49):OFFSET($O$57,0,$AK$49+1))))</f>
        <v>3.683333333333333</v>
      </c>
      <c r="AM61" s="483">
        <v>0.2</v>
      </c>
      <c r="AN61" s="513">
        <f ca="1">IF($AN$57=2,$AE61,IF($AN$57&gt;2,"ERROR",FORECAST($AN$57,OFFSET($O61,0,$AN$49):OFFSET($O61,0,$AN$49+1),OFFSET($O$57,0,$AN$49):OFFSET($O$57,0,$AN$49+1))))</f>
        <v>3.39</v>
      </c>
      <c r="AP61" s="483">
        <v>0.2</v>
      </c>
      <c r="AQ61" s="513">
        <f ca="1">IF($AQ$57=2,$AE61,IF($AQ$57&gt;2,"ERROR",FORECAST($AQ$57,OFFSET($O61,0,$AQ$49):OFFSET($O61,0,$AQ$49+1),OFFSET($O$57,0,$AQ$49):OFFSET($O$57,0,$AQ$49+1))))</f>
        <v>3.0033333333333334</v>
      </c>
      <c r="AS61" s="483">
        <v>0.2</v>
      </c>
      <c r="AT61" s="513">
        <f ca="1">IF($AT$57=2,$AE61,IF($AT$57&gt;2,"ERROR",FORECAST($AT$57,OFFSET($O61,0,$AT$49):OFFSET($O61,0,$AT$49+1),OFFSET($O$57,0,$AT$49):OFFSET($O$57,0,$AT$49+1))))</f>
        <v>2.87</v>
      </c>
      <c r="BA61" s="31"/>
      <c r="BB61" s="344" t="s">
        <v>240</v>
      </c>
      <c r="BC61" s="345">
        <v>0.885</v>
      </c>
      <c r="BD61" s="343"/>
      <c r="BE61" s="209"/>
      <c r="BF61" s="343"/>
      <c r="BG61" s="9"/>
      <c r="BH61" s="9"/>
      <c r="BI61" s="9"/>
      <c r="BJ61" s="9"/>
      <c r="BK61" s="9"/>
      <c r="BL61" s="9"/>
      <c r="BM61" s="9"/>
      <c r="BN61" s="9"/>
      <c r="BO61" s="9"/>
      <c r="BP61" s="9"/>
      <c r="BQ61" s="9"/>
      <c r="BR61" s="9"/>
      <c r="BS61" s="9"/>
      <c r="BT61" s="9"/>
      <c r="BU61" s="9"/>
      <c r="BV61" s="9"/>
    </row>
    <row r="62" spans="1:74" ht="12.75">
      <c r="A62" s="605"/>
      <c r="B62" s="10"/>
      <c r="C62" s="631" t="s">
        <v>1049</v>
      </c>
      <c r="D62" s="634">
        <v>0.6</v>
      </c>
      <c r="E62" s="286">
        <v>22</v>
      </c>
      <c r="F62" s="619">
        <f>$AT$32</f>
        <v>205.17119999999997</v>
      </c>
      <c r="G62" s="620"/>
      <c r="H62" s="619">
        <f>$AT$34</f>
        <v>170.82098168912069</v>
      </c>
      <c r="I62" s="621"/>
      <c r="J62" s="10"/>
      <c r="K62" s="14"/>
      <c r="L62" s="55"/>
      <c r="O62" s="483">
        <v>0.25</v>
      </c>
      <c r="P62" s="478">
        <v>1.66</v>
      </c>
      <c r="Q62" s="479">
        <v>2.07</v>
      </c>
      <c r="R62" s="480">
        <v>2.51</v>
      </c>
      <c r="S62" s="480">
        <v>2.96</v>
      </c>
      <c r="T62" s="480">
        <v>3.42</v>
      </c>
      <c r="U62" s="480">
        <v>3.9</v>
      </c>
      <c r="V62" s="480">
        <v>4.38</v>
      </c>
      <c r="W62" s="480">
        <v>4.87</v>
      </c>
      <c r="X62" s="480">
        <v>5.37</v>
      </c>
      <c r="Y62" s="480">
        <v>5.86</v>
      </c>
      <c r="Z62" s="480">
        <v>6.36</v>
      </c>
      <c r="AA62" s="480">
        <v>7.37</v>
      </c>
      <c r="AB62" s="481">
        <v>8.39</v>
      </c>
      <c r="AC62" s="480">
        <v>9.42</v>
      </c>
      <c r="AD62" s="480">
        <v>10.5</v>
      </c>
      <c r="AE62" s="482">
        <v>11.5</v>
      </c>
      <c r="AG62" s="483">
        <v>0.25</v>
      </c>
      <c r="AH62" s="513">
        <f ca="1">IF($AH$57=2,AE$58,IF($AH$57&gt;2,"ERROR",FORECAST($AH$57,OFFSET($O62,0,$AH$49):OFFSET($O62,0,$AH$49+1),OFFSET($O$57,0,$AH$49):OFFSET($O$57,0,$AH$49+1))))</f>
        <v>4.5025</v>
      </c>
      <c r="AJ62" s="483">
        <v>0.25</v>
      </c>
      <c r="AK62" s="513">
        <f ca="1">IF($AK$57=2,$AE62,IF($AK$57&gt;2,"ERROR",FORECAST($AK$57,OFFSET($O62,0,$AK$49):OFFSET($O62,0,$AK$49+1),OFFSET($O$57,0,$AK$49):OFFSET($O$57,0,$AK$49+1))))</f>
        <v>3.5</v>
      </c>
      <c r="AM62" s="483">
        <v>0.25</v>
      </c>
      <c r="AN62" s="513">
        <f ca="1">IF($AN$57=2,$AE62,IF($AN$57&gt;2,"ERROR",FORECAST($AN$57,OFFSET($O62,0,$AN$49):OFFSET($O62,0,$AN$49+1),OFFSET($O$57,0,$AN$49):OFFSET($O$57,0,$AN$49+1))))</f>
        <v>3.222857142857143</v>
      </c>
      <c r="AP62" s="483">
        <v>0.25</v>
      </c>
      <c r="AQ62" s="513">
        <f ca="1">IF($AQ$57=2,$AE62,IF($AQ$57&gt;2,"ERROR",FORECAST($AQ$57,OFFSET($O62,0,$AQ$49):OFFSET($O62,0,$AQ$49+1),OFFSET($O$57,0,$AQ$49):OFFSET($O$57,0,$AQ$49+1))))</f>
        <v>2.8600000000000003</v>
      </c>
      <c r="AS62" s="483">
        <v>0.25</v>
      </c>
      <c r="AT62" s="513">
        <f ca="1">IF($AT$57=2,$AE62,IF($AT$57&gt;2,"ERROR",FORECAST($AT$57,OFFSET($O62,0,$AT$49):OFFSET($O62,0,$AT$49+1),OFFSET($O$57,0,$AT$49):OFFSET($O$57,0,$AT$49+1))))</f>
        <v>2.735</v>
      </c>
      <c r="BA62" s="29"/>
      <c r="BB62" s="344" t="s">
        <v>98</v>
      </c>
      <c r="BC62" s="345">
        <v>0.84</v>
      </c>
      <c r="BD62" s="343"/>
      <c r="BE62" s="209"/>
      <c r="BF62" s="343"/>
      <c r="BG62" s="9"/>
      <c r="BH62" s="9"/>
      <c r="BI62" s="9"/>
      <c r="BJ62" s="9"/>
      <c r="BK62" s="9"/>
      <c r="BL62" s="9"/>
      <c r="BM62" s="9"/>
      <c r="BN62" s="9"/>
      <c r="BO62" s="9"/>
      <c r="BP62" s="9"/>
      <c r="BQ62" s="9"/>
      <c r="BR62" s="9"/>
      <c r="BS62" s="9"/>
      <c r="BT62" s="9"/>
      <c r="BU62" s="9"/>
      <c r="BV62" s="9"/>
    </row>
    <row r="63" spans="1:74" ht="12.75">
      <c r="A63" s="605"/>
      <c r="B63" s="10"/>
      <c r="C63" s="632"/>
      <c r="D63" s="632"/>
      <c r="E63" s="287">
        <v>24</v>
      </c>
      <c r="F63" s="622">
        <f>$AU$32</f>
        <v>219.92539999999997</v>
      </c>
      <c r="G63" s="623"/>
      <c r="H63" s="622">
        <f>$AU$34</f>
        <v>190.98082441469785</v>
      </c>
      <c r="I63" s="624"/>
      <c r="J63" s="10"/>
      <c r="K63" s="14"/>
      <c r="L63" s="55"/>
      <c r="O63" s="483">
        <v>0.3</v>
      </c>
      <c r="P63" s="478">
        <v>1.55</v>
      </c>
      <c r="Q63" s="479">
        <v>1.95</v>
      </c>
      <c r="R63" s="480">
        <v>2.36</v>
      </c>
      <c r="S63" s="480">
        <v>2.79</v>
      </c>
      <c r="T63" s="480">
        <v>3.23</v>
      </c>
      <c r="U63" s="480">
        <v>3.68</v>
      </c>
      <c r="V63" s="480">
        <v>4.14</v>
      </c>
      <c r="W63" s="320">
        <v>4.6</v>
      </c>
      <c r="X63" s="480">
        <v>5.07</v>
      </c>
      <c r="Y63" s="480">
        <v>5.55</v>
      </c>
      <c r="Z63" s="480">
        <v>6.03</v>
      </c>
      <c r="AA63" s="480">
        <v>7.01</v>
      </c>
      <c r="AB63" s="485">
        <v>8</v>
      </c>
      <c r="AC63" s="320">
        <v>9</v>
      </c>
      <c r="AD63" s="486">
        <v>10</v>
      </c>
      <c r="AE63" s="484">
        <v>11</v>
      </c>
      <c r="AG63" s="483">
        <v>0.3</v>
      </c>
      <c r="AH63" s="513">
        <f ca="1">IF($AH$57=2,AE$58,IF($AH$57&gt;2,"ERROR",FORECAST($AH$57,OFFSET($O63,0,$AH$49):OFFSET($O63,0,$AH$49+1),OFFSET($O$57,0,$AH$49):OFFSET($O$57,0,$AH$49+1))))</f>
        <v>4.255</v>
      </c>
      <c r="AJ63" s="483">
        <v>0.3</v>
      </c>
      <c r="AK63" s="513">
        <f ca="1">IF($AK$57=2,$AE63,IF($AK$57&gt;2,"ERROR",FORECAST($AK$57,OFFSET($O63,0,$AK$49):OFFSET($O63,0,$AK$49+1),OFFSET($O$57,0,$AK$49):OFFSET($O$57,0,$AK$49+1))))</f>
        <v>3.3049999999999997</v>
      </c>
      <c r="AM63" s="483">
        <v>0.3</v>
      </c>
      <c r="AN63" s="513">
        <f ca="1">IF($AN$57=2,$AE63,IF($AN$57&gt;2,"ERROR",FORECAST($AN$57,OFFSET($O63,0,$AN$49):OFFSET($O63,0,$AN$49+1),OFFSET($O$57,0,$AN$49):OFFSET($O$57,0,$AN$49+1))))</f>
        <v>3.0414285714285714</v>
      </c>
      <c r="AP63" s="483">
        <v>0.3</v>
      </c>
      <c r="AQ63" s="513">
        <f ca="1">IF($AQ$57=2,$AE63,IF($AQ$57&gt;2,"ERROR",FORECAST($AQ$57,OFFSET($O63,0,$AQ$49):OFFSET($O63,0,$AQ$49+1),OFFSET($O$57,0,$AQ$49):OFFSET($O$57,0,$AQ$49+1))))</f>
        <v>2.6944444444444446</v>
      </c>
      <c r="AS63" s="483">
        <v>0.3</v>
      </c>
      <c r="AT63" s="513">
        <f ca="1">IF($AT$57=2,$AE63,IF($AT$57&gt;2,"ERROR",FORECAST($AT$57,OFFSET($O63,0,$AT$49):OFFSET($O63,0,$AT$49+1),OFFSET($O$57,0,$AT$49):OFFSET($O$57,0,$AT$49+1))))</f>
        <v>2.575</v>
      </c>
      <c r="BA63" s="38"/>
      <c r="BB63" s="344" t="s">
        <v>97</v>
      </c>
      <c r="BC63" s="345">
        <v>0.96</v>
      </c>
      <c r="BD63" s="343"/>
      <c r="BE63" s="209"/>
      <c r="BF63" s="343"/>
      <c r="BG63" s="9"/>
      <c r="BH63" s="9"/>
      <c r="BI63" s="9"/>
      <c r="BJ63" s="9"/>
      <c r="BK63" s="9"/>
      <c r="BL63" s="9"/>
      <c r="BM63" s="9"/>
      <c r="BN63" s="9"/>
      <c r="BO63" s="9"/>
      <c r="BP63" s="9"/>
      <c r="BQ63" s="9"/>
      <c r="BR63" s="9"/>
      <c r="BS63" s="9"/>
      <c r="BT63" s="9"/>
      <c r="BU63" s="9"/>
      <c r="BV63" s="9"/>
    </row>
    <row r="64" spans="1:74" ht="12.75">
      <c r="A64" s="605"/>
      <c r="B64" s="10"/>
      <c r="C64" s="632"/>
      <c r="D64" s="632"/>
      <c r="E64" s="287">
        <v>26</v>
      </c>
      <c r="F64" s="622">
        <f>$AV$32</f>
        <v>234.96</v>
      </c>
      <c r="G64" s="623"/>
      <c r="H64" s="622">
        <f>$AV$34</f>
        <v>211.06965839628913</v>
      </c>
      <c r="I64" s="624"/>
      <c r="J64" s="10"/>
      <c r="K64" s="14"/>
      <c r="L64" s="55"/>
      <c r="O64" s="483">
        <v>0.4</v>
      </c>
      <c r="P64" s="478">
        <v>1.33</v>
      </c>
      <c r="Q64" s="479">
        <v>1.69</v>
      </c>
      <c r="R64" s="480">
        <v>2.07</v>
      </c>
      <c r="S64" s="480">
        <v>2.45</v>
      </c>
      <c r="T64" s="480">
        <v>2.84</v>
      </c>
      <c r="U64" s="480">
        <v>3.24</v>
      </c>
      <c r="V64" s="480">
        <v>3.65</v>
      </c>
      <c r="W64" s="480">
        <v>4.07</v>
      </c>
      <c r="X64" s="320">
        <v>4.5</v>
      </c>
      <c r="Y64" s="480">
        <v>4.94</v>
      </c>
      <c r="Z64" s="480">
        <v>5.39</v>
      </c>
      <c r="AA64" s="320">
        <v>6.3</v>
      </c>
      <c r="AB64" s="481">
        <v>7.24</v>
      </c>
      <c r="AC64" s="480">
        <v>8.19</v>
      </c>
      <c r="AD64" s="480">
        <v>9.16</v>
      </c>
      <c r="AE64" s="482">
        <v>10.1</v>
      </c>
      <c r="AG64" s="483">
        <v>0.4</v>
      </c>
      <c r="AH64" s="513">
        <f ca="1">IF($AH$57=2,AE$58,IF($AH$57&gt;2,"ERROR",FORECAST($AH$57,OFFSET($O64,0,$AH$49):OFFSET($O64,0,$AH$49+1),OFFSET($O$57,0,$AH$49):OFFSET($O$57,0,$AH$49+1))))</f>
        <v>3.7550000000000003</v>
      </c>
      <c r="AJ64" s="483">
        <v>0.4</v>
      </c>
      <c r="AK64" s="513">
        <f ca="1">IF($AK$57=2,$AE64,IF($AK$57&gt;2,"ERROR",FORECAST($AK$57,OFFSET($O64,0,$AK$49):OFFSET($O64,0,$AK$49+1),OFFSET($O$57,0,$AK$49):OFFSET($O$57,0,$AK$49+1))))</f>
        <v>2.9066666666666663</v>
      </c>
      <c r="AM64" s="483">
        <v>0.4</v>
      </c>
      <c r="AN64" s="513">
        <f ca="1">IF($AN$57=2,$AE64,IF($AN$57&gt;2,"ERROR",FORECAST($AN$57,OFFSET($O64,0,$AN$49):OFFSET($O64,0,$AN$49+1),OFFSET($O$57,0,$AN$49):OFFSET($O$57,0,$AN$49+1))))</f>
        <v>2.672857142857143</v>
      </c>
      <c r="AP64" s="483">
        <v>0.4</v>
      </c>
      <c r="AQ64" s="513">
        <f ca="1">IF($AQ$57=2,$AE64,IF($AQ$57&gt;2,"ERROR",FORECAST($AQ$57,OFFSET($O64,0,$AQ$49):OFFSET($O64,0,$AQ$49+1),OFFSET($O$57,0,$AQ$49):OFFSET($O$57,0,$AQ$49+1))))</f>
        <v>2.3655555555555554</v>
      </c>
      <c r="AS64" s="483">
        <v>0.4</v>
      </c>
      <c r="AT64" s="513">
        <f ca="1">IF($AT$57=2,$AE64,IF($AT$57&gt;2,"ERROR",FORECAST($AT$57,OFFSET($O64,0,$AT$49):OFFSET($O64,0,$AT$49+1),OFFSET($O$57,0,$AT$49):OFFSET($O$57,0,$AT$49+1))))</f>
        <v>2.26</v>
      </c>
      <c r="BA64" s="38"/>
      <c r="BB64" s="344" t="s">
        <v>96</v>
      </c>
      <c r="BC64" s="345">
        <v>0.8</v>
      </c>
      <c r="BD64" s="343"/>
      <c r="BE64" s="209"/>
      <c r="BF64" s="343"/>
      <c r="BG64" s="9"/>
      <c r="BH64" s="9"/>
      <c r="BI64" s="9"/>
      <c r="BJ64" s="9"/>
      <c r="BK64" s="9"/>
      <c r="BL64" s="9"/>
      <c r="BM64" s="9"/>
      <c r="BN64" s="9"/>
      <c r="BO64" s="9"/>
      <c r="BP64" s="9"/>
      <c r="BQ64" s="9"/>
      <c r="BR64" s="9"/>
      <c r="BS64" s="9"/>
      <c r="BT64" s="9"/>
      <c r="BU64" s="9"/>
      <c r="BV64" s="9"/>
    </row>
    <row r="65" spans="1:74" ht="12.75">
      <c r="A65" s="605"/>
      <c r="B65" s="10"/>
      <c r="C65" s="632"/>
      <c r="D65" s="632"/>
      <c r="E65" s="287">
        <v>28</v>
      </c>
      <c r="F65" s="622">
        <f>$AW$32</f>
        <v>250.31999999999994</v>
      </c>
      <c r="G65" s="623"/>
      <c r="H65" s="622">
        <f>$AW$34</f>
        <v>231.07254255434736</v>
      </c>
      <c r="I65" s="624"/>
      <c r="J65" s="10"/>
      <c r="K65" s="14"/>
      <c r="L65" s="55"/>
      <c r="O65" s="483">
        <v>0.5</v>
      </c>
      <c r="P65" s="478">
        <v>1.15</v>
      </c>
      <c r="Q65" s="479">
        <v>1.46</v>
      </c>
      <c r="R65" s="480">
        <v>1.79</v>
      </c>
      <c r="S65" s="480">
        <v>2.14</v>
      </c>
      <c r="T65" s="480">
        <v>2.49</v>
      </c>
      <c r="U65" s="480">
        <v>2.85</v>
      </c>
      <c r="V65" s="480">
        <v>3.22</v>
      </c>
      <c r="W65" s="320">
        <v>3.6</v>
      </c>
      <c r="X65" s="320">
        <v>4</v>
      </c>
      <c r="Y65" s="320">
        <v>4.4</v>
      </c>
      <c r="Z65" s="480">
        <v>4.81</v>
      </c>
      <c r="AA65" s="480">
        <v>5.67</v>
      </c>
      <c r="AB65" s="481">
        <v>6.56</v>
      </c>
      <c r="AC65" s="480">
        <v>7.47</v>
      </c>
      <c r="AD65" s="320">
        <v>8.4</v>
      </c>
      <c r="AE65" s="482">
        <v>9.35</v>
      </c>
      <c r="AG65" s="483">
        <v>0.5</v>
      </c>
      <c r="AH65" s="513">
        <f ca="1">IF($AH$57=2,AE$58,IF($AH$57&gt;2,"ERROR",FORECAST($AH$57,OFFSET($O65,0,$AH$49):OFFSET($O65,0,$AH$49+1),OFFSET($O$57,0,$AH$49):OFFSET($O$57,0,$AH$49+1))))</f>
        <v>3.3150000000000004</v>
      </c>
      <c r="AJ65" s="483">
        <v>0.5</v>
      </c>
      <c r="AK65" s="513">
        <f ca="1">IF($AK$57=2,$AE65,IF($AK$57&gt;2,"ERROR",FORECAST($AK$57,OFFSET($O65,0,$AK$49):OFFSET($O65,0,$AK$49+1),OFFSET($O$57,0,$AK$49):OFFSET($O$57,0,$AK$49+1))))</f>
        <v>2.55</v>
      </c>
      <c r="AM65" s="483">
        <v>0.5</v>
      </c>
      <c r="AN65" s="513">
        <f ca="1">IF($AN$57=2,$AE65,IF($AN$57&gt;2,"ERROR",FORECAST($AN$57,OFFSET($O65,0,$AN$49):OFFSET($O65,0,$AN$49+1),OFFSET($O$57,0,$AN$49):OFFSET($O$57,0,$AN$49+1))))</f>
        <v>2.3400000000000007</v>
      </c>
      <c r="AP65" s="483">
        <v>0.5</v>
      </c>
      <c r="AQ65" s="513">
        <f ca="1">IF($AQ$57=2,$AE65,IF($AQ$57&gt;2,"ERROR",FORECAST($AQ$57,OFFSET($O65,0,$AQ$49):OFFSET($O65,0,$AQ$49+1),OFFSET($O$57,0,$AQ$49):OFFSET($O$57,0,$AQ$49+1))))</f>
        <v>2.062222222222222</v>
      </c>
      <c r="AS65" s="483">
        <v>0.5</v>
      </c>
      <c r="AT65" s="513">
        <f ca="1">IF($AT$57=2,$AE65,IF($AT$57&gt;2,"ERROR",FORECAST($AT$57,OFFSET($O65,0,$AT$49):OFFSET($O65,0,$AT$49+1),OFFSET($O$57,0,$AT$49):OFFSET($O$57,0,$AT$49+1))))</f>
        <v>1.9649999999999999</v>
      </c>
      <c r="BA65" s="38"/>
      <c r="BB65" s="344" t="s">
        <v>246</v>
      </c>
      <c r="BC65" s="345">
        <v>0.87</v>
      </c>
      <c r="BD65" s="343"/>
      <c r="BE65" s="209"/>
      <c r="BF65" s="343"/>
      <c r="BG65" s="9"/>
      <c r="BH65" s="9"/>
      <c r="BI65" s="9"/>
      <c r="BJ65" s="9"/>
      <c r="BK65" s="9"/>
      <c r="BL65" s="9"/>
      <c r="BM65" s="9"/>
      <c r="BN65" s="9"/>
      <c r="BO65" s="9"/>
      <c r="BP65" s="9"/>
      <c r="BQ65" s="9"/>
      <c r="BR65" s="9"/>
      <c r="BS65" s="9"/>
      <c r="BT65" s="9"/>
      <c r="BU65" s="9"/>
      <c r="BV65" s="9"/>
    </row>
    <row r="66" spans="1:74" ht="12.75">
      <c r="A66" s="606"/>
      <c r="B66" s="21"/>
      <c r="C66" s="633"/>
      <c r="D66" s="633"/>
      <c r="E66" s="288">
        <v>30</v>
      </c>
      <c r="F66" s="616">
        <f>$AX$32</f>
        <v>263.4933333333333</v>
      </c>
      <c r="G66" s="617"/>
      <c r="H66" s="616">
        <f>$AX$34</f>
        <v>250.98401919916742</v>
      </c>
      <c r="I66" s="618"/>
      <c r="J66" s="21"/>
      <c r="K66" s="533"/>
      <c r="L66" s="45"/>
      <c r="O66" s="483">
        <v>0.6</v>
      </c>
      <c r="P66" s="478">
        <v>0.997</v>
      </c>
      <c r="Q66" s="479">
        <v>1.27</v>
      </c>
      <c r="R66" s="480">
        <v>1.57</v>
      </c>
      <c r="S66" s="480">
        <v>1.88</v>
      </c>
      <c r="T66" s="480">
        <v>2.19</v>
      </c>
      <c r="U66" s="480">
        <v>2.52</v>
      </c>
      <c r="V66" s="480">
        <v>2.85</v>
      </c>
      <c r="W66" s="320">
        <v>3.2</v>
      </c>
      <c r="X66" s="480">
        <v>3.56</v>
      </c>
      <c r="Y66" s="480">
        <v>3.94</v>
      </c>
      <c r="Z66" s="480">
        <v>4.32</v>
      </c>
      <c r="AA66" s="480">
        <v>5.13</v>
      </c>
      <c r="AB66" s="481">
        <v>5.97</v>
      </c>
      <c r="AC66" s="480">
        <v>6.84</v>
      </c>
      <c r="AD66" s="480">
        <v>7.73</v>
      </c>
      <c r="AE66" s="482">
        <v>8.65</v>
      </c>
      <c r="AG66" s="483">
        <v>0.6</v>
      </c>
      <c r="AH66" s="513">
        <f ca="1">IF($AH$57=2,AE$58,IF($AH$57&gt;2,"ERROR",FORECAST($AH$57,OFFSET($O66,0,$AH$49):OFFSET($O66,0,$AH$49+1),OFFSET($O$57,0,$AH$49):OFFSET($O$57,0,$AH$49+1))))</f>
        <v>2.9375000000000004</v>
      </c>
      <c r="AJ66" s="483">
        <v>0.6</v>
      </c>
      <c r="AK66" s="513">
        <f ca="1">IF($AK$57=2,$AE66,IF($AK$57&gt;2,"ERROR",FORECAST($AK$57,OFFSET($O66,0,$AK$49):OFFSET($O66,0,$AK$49+1),OFFSET($O$57,0,$AK$49):OFFSET($O$57,0,$AK$49+1))))</f>
        <v>2.245</v>
      </c>
      <c r="AM66" s="483">
        <v>0.6</v>
      </c>
      <c r="AN66" s="513">
        <f ca="1">IF($AN$57=2,$AE66,IF($AN$57&gt;2,"ERROR",FORECAST($AN$57,OFFSET($O66,0,$AN$49):OFFSET($O66,0,$AN$49+1),OFFSET($O$57,0,$AN$49):OFFSET($O$57,0,$AN$49+1))))</f>
        <v>2.0571428571428574</v>
      </c>
      <c r="AP66" s="483">
        <v>0.6</v>
      </c>
      <c r="AQ66" s="513">
        <f ca="1">IF($AQ$57=2,$AE66,IF($AQ$57&gt;2,"ERROR",FORECAST($AQ$57,OFFSET($O66,0,$AQ$49):OFFSET($O66,0,$AQ$49+1),OFFSET($O$57,0,$AQ$49):OFFSET($O$57,0,$AQ$49+1))))</f>
        <v>1.8111111111111113</v>
      </c>
      <c r="AS66" s="483">
        <v>0.6</v>
      </c>
      <c r="AT66" s="513">
        <f ca="1">IF($AT$57=2,$AE66,IF($AT$57&gt;2,"ERROR",FORECAST($AT$57,OFFSET($O66,0,$AT$49):OFFSET($O66,0,$AT$49+1),OFFSET($O$57,0,$AT$49):OFFSET($O$57,0,$AT$49+1))))</f>
        <v>1.725</v>
      </c>
      <c r="BB66" s="344" t="s">
        <v>310</v>
      </c>
      <c r="BC66" s="345">
        <v>0.76</v>
      </c>
      <c r="BD66" s="343"/>
      <c r="BE66" s="209"/>
      <c r="BF66" s="343"/>
      <c r="BG66" s="9"/>
      <c r="BH66" s="9"/>
      <c r="BI66" s="9"/>
      <c r="BJ66" s="9"/>
      <c r="BK66" s="9"/>
      <c r="BL66" s="9"/>
      <c r="BM66" s="9"/>
      <c r="BN66" s="9"/>
      <c r="BO66" s="9"/>
      <c r="BP66" s="9"/>
      <c r="BQ66" s="9"/>
      <c r="BR66" s="9"/>
      <c r="BS66" s="9"/>
      <c r="BT66" s="9"/>
      <c r="BU66" s="9"/>
      <c r="BV66" s="9"/>
    </row>
    <row r="67" spans="1:74" ht="12.75">
      <c r="A67" s="239"/>
      <c r="B67" s="240"/>
      <c r="C67" s="241"/>
      <c r="D67" s="242"/>
      <c r="E67" s="243"/>
      <c r="F67" s="565"/>
      <c r="G67" s="565"/>
      <c r="H67" s="243"/>
      <c r="I67" s="243"/>
      <c r="J67" s="240"/>
      <c r="K67" s="290"/>
      <c r="L67" s="55"/>
      <c r="O67" s="483">
        <v>0.7</v>
      </c>
      <c r="P67" s="478">
        <v>0.879</v>
      </c>
      <c r="Q67" s="479">
        <v>1.12</v>
      </c>
      <c r="R67" s="480">
        <v>1.38</v>
      </c>
      <c r="S67" s="480">
        <v>1.66</v>
      </c>
      <c r="T67" s="480">
        <v>1.95</v>
      </c>
      <c r="U67" s="480">
        <v>2.24</v>
      </c>
      <c r="V67" s="480">
        <v>2.55</v>
      </c>
      <c r="W67" s="480">
        <v>2.87</v>
      </c>
      <c r="X67" s="320">
        <v>3.2</v>
      </c>
      <c r="Y67" s="480">
        <v>3.55</v>
      </c>
      <c r="Z67" s="480">
        <v>3.91</v>
      </c>
      <c r="AA67" s="480">
        <v>4.66</v>
      </c>
      <c r="AB67" s="481">
        <v>5.46</v>
      </c>
      <c r="AC67" s="480">
        <v>6.29</v>
      </c>
      <c r="AD67" s="480">
        <v>7.15</v>
      </c>
      <c r="AE67" s="482">
        <v>8.04</v>
      </c>
      <c r="AG67" s="483">
        <v>0.7</v>
      </c>
      <c r="AH67" s="513">
        <f ca="1">IF($AH$57=2,AE$58,IF($AH$57&gt;2,"ERROR",FORECAST($AH$57,OFFSET($O67,0,$AH$49):OFFSET($O67,0,$AH$49+1),OFFSET($O$57,0,$AH$49):OFFSET($O$57,0,$AH$49+1))))</f>
        <v>2.63</v>
      </c>
      <c r="AJ67" s="483">
        <v>0.7</v>
      </c>
      <c r="AK67" s="513">
        <f ca="1">IF($AK$57=2,$AE67,IF($AK$57&gt;2,"ERROR",FORECAST($AK$57,OFFSET($O67,0,$AK$49):OFFSET($O67,0,$AK$49+1),OFFSET($O$57,0,$AK$49):OFFSET($O$57,0,$AK$49+1))))</f>
        <v>1.9983333333333335</v>
      </c>
      <c r="AM67" s="483">
        <v>0.7</v>
      </c>
      <c r="AN67" s="513">
        <f ca="1">IF($AN$57=2,$AE67,IF($AN$57&gt;2,"ERROR",FORECAST($AN$57,OFFSET($O67,0,$AN$49):OFFSET($O67,0,$AN$49+1),OFFSET($O$57,0,$AN$49):OFFSET($O$57,0,$AN$49+1))))</f>
        <v>1.8257142857142858</v>
      </c>
      <c r="AP67" s="483">
        <v>0.7</v>
      </c>
      <c r="AQ67" s="513">
        <f ca="1">IF($AQ$57=2,$AE67,IF($AQ$57&gt;2,"ERROR",FORECAST($AQ$57,OFFSET($O67,0,$AQ$49):OFFSET($O67,0,$AQ$49+1),OFFSET($O$57,0,$AQ$49):OFFSET($O$57,0,$AQ$49+1))))</f>
        <v>1.597777777777778</v>
      </c>
      <c r="AS67" s="483">
        <v>0.7</v>
      </c>
      <c r="AT67" s="513">
        <f ca="1">IF($AT$57=2,$AE67,IF($AT$57&gt;2,"ERROR",FORECAST($AT$57,OFFSET($O67,0,$AT$49):OFFSET($O67,0,$AT$49+1),OFFSET($O$57,0,$AT$49):OFFSET($O$57,0,$AT$49+1))))</f>
        <v>1.52</v>
      </c>
      <c r="BA67" s="31"/>
      <c r="BB67" s="344" t="s">
        <v>309</v>
      </c>
      <c r="BC67" s="345">
        <v>0.83</v>
      </c>
      <c r="BD67" s="343"/>
      <c r="BE67" s="209"/>
      <c r="BF67" s="343"/>
      <c r="BG67" s="9"/>
      <c r="BH67" s="9"/>
      <c r="BI67" s="9"/>
      <c r="BJ67" s="9"/>
      <c r="BK67" s="9"/>
      <c r="BL67" s="9"/>
      <c r="BM67" s="9"/>
      <c r="BN67" s="9"/>
      <c r="BO67" s="9"/>
      <c r="BP67" s="9"/>
      <c r="BQ67" s="9"/>
      <c r="BR67" s="9"/>
      <c r="BS67" s="9"/>
      <c r="BT67" s="9"/>
      <c r="BU67" s="9"/>
      <c r="BV67" s="9"/>
    </row>
    <row r="68" spans="1:74" ht="12.75">
      <c r="A68" s="11" t="s">
        <v>1068</v>
      </c>
      <c r="B68" s="10"/>
      <c r="C68" s="10"/>
      <c r="D68" s="10"/>
      <c r="E68" s="10"/>
      <c r="F68" s="10"/>
      <c r="G68" s="45"/>
      <c r="H68" s="99"/>
      <c r="I68" s="45"/>
      <c r="J68" s="7"/>
      <c r="K68" s="291"/>
      <c r="L68" s="45"/>
      <c r="O68" s="483">
        <v>0.8</v>
      </c>
      <c r="P68" s="478">
        <v>0.781</v>
      </c>
      <c r="Q68" s="479">
        <v>0.995</v>
      </c>
      <c r="R68" s="480">
        <v>1.23</v>
      </c>
      <c r="S68" s="480">
        <v>1.48</v>
      </c>
      <c r="T68" s="480">
        <v>1.75</v>
      </c>
      <c r="U68" s="480">
        <v>2.02</v>
      </c>
      <c r="V68" s="320">
        <v>2.3</v>
      </c>
      <c r="W68" s="480">
        <v>2.59</v>
      </c>
      <c r="X68" s="320">
        <v>2.9</v>
      </c>
      <c r="Y68" s="480">
        <v>3.22</v>
      </c>
      <c r="Z68" s="480">
        <v>3.56</v>
      </c>
      <c r="AA68" s="480">
        <v>4.27</v>
      </c>
      <c r="AB68" s="481">
        <v>5.02</v>
      </c>
      <c r="AC68" s="480">
        <v>5.81</v>
      </c>
      <c r="AD68" s="480">
        <v>6.64</v>
      </c>
      <c r="AE68" s="321">
        <v>7.5</v>
      </c>
      <c r="AG68" s="483">
        <v>0.8</v>
      </c>
      <c r="AH68" s="513">
        <f ca="1">IF($AH$57=2,AE$58,IF($AH$57&gt;2,"ERROR",FORECAST($AH$57,OFFSET($O68,0,$AH$49):OFFSET($O68,0,$AH$49+1),OFFSET($O$57,0,$AH$49):OFFSET($O$57,0,$AH$49+1))))</f>
        <v>2.3725000000000005</v>
      </c>
      <c r="AJ68" s="483">
        <v>0.8</v>
      </c>
      <c r="AK68" s="513">
        <f ca="1">IF($AK$57=2,$AE68,IF($AK$57&gt;2,"ERROR",FORECAST($AK$57,OFFSET($O68,0,$AK$49):OFFSET($O68,0,$AK$49+1),OFFSET($O$57,0,$AK$49):OFFSET($O$57,0,$AK$49+1))))</f>
        <v>1.795</v>
      </c>
      <c r="AM68" s="483">
        <v>0.8</v>
      </c>
      <c r="AN68" s="513">
        <f ca="1">IF($AN$57=2,$AE68,IF($AN$57&gt;2,"ERROR",FORECAST($AN$57,OFFSET($O68,0,$AN$49):OFFSET($O68,0,$AN$49+1),OFFSET($O$57,0,$AN$49):OFFSET($O$57,0,$AN$49+1))))</f>
        <v>1.6342857142857143</v>
      </c>
      <c r="AP68" s="483">
        <v>0.8</v>
      </c>
      <c r="AQ68" s="513">
        <f ca="1">IF($AQ$57=2,$AE68,IF($AQ$57&gt;2,"ERROR",FORECAST($AQ$57,OFFSET($O68,0,$AQ$49):OFFSET($O68,0,$AQ$49+1),OFFSET($O$57,0,$AQ$49):OFFSET($O$57,0,$AQ$49+1))))</f>
        <v>1.4244444444444446</v>
      </c>
      <c r="AS68" s="483">
        <v>0.8</v>
      </c>
      <c r="AT68" s="513">
        <f ca="1">IF($AT$57=2,$AE68,IF($AT$57&gt;2,"ERROR",FORECAST($AT$57,OFFSET($O68,0,$AT$49):OFFSET($O68,0,$AT$49+1),OFFSET($O$57,0,$AT$49):OFFSET($O$57,0,$AT$49+1))))</f>
        <v>1.355</v>
      </c>
      <c r="BA68" s="31"/>
      <c r="BB68" s="344" t="s">
        <v>308</v>
      </c>
      <c r="BC68" s="345">
        <v>0.765</v>
      </c>
      <c r="BD68" s="343"/>
      <c r="BE68" s="209"/>
      <c r="BF68" s="343"/>
      <c r="BG68" s="9"/>
      <c r="BH68" s="9"/>
      <c r="BI68" s="9"/>
      <c r="BJ68" s="9"/>
      <c r="BK68" s="9"/>
      <c r="BL68" s="9"/>
      <c r="BM68" s="9"/>
      <c r="BN68" s="9"/>
      <c r="BO68" s="9"/>
      <c r="BP68" s="9"/>
      <c r="BQ68" s="9"/>
      <c r="BR68" s="9"/>
      <c r="BS68" s="9"/>
      <c r="BT68" s="9"/>
      <c r="BU68" s="9"/>
      <c r="BV68" s="9"/>
    </row>
    <row r="69" spans="1:74" ht="12.75">
      <c r="A69" s="19"/>
      <c r="B69" s="10"/>
      <c r="C69" s="10"/>
      <c r="D69" s="10"/>
      <c r="E69" s="10"/>
      <c r="F69" s="10"/>
      <c r="G69" s="10"/>
      <c r="H69" s="10"/>
      <c r="I69" s="45"/>
      <c r="J69" s="7"/>
      <c r="K69" s="291"/>
      <c r="L69" s="45"/>
      <c r="O69" s="483">
        <v>0.9</v>
      </c>
      <c r="P69" s="478">
        <v>0.709</v>
      </c>
      <c r="Q69" s="479">
        <v>0.895</v>
      </c>
      <c r="R69" s="480">
        <v>1.11</v>
      </c>
      <c r="S69" s="480">
        <v>1.33</v>
      </c>
      <c r="T69" s="480">
        <v>1.58</v>
      </c>
      <c r="U69" s="480">
        <v>1.83</v>
      </c>
      <c r="V69" s="480">
        <v>2.09</v>
      </c>
      <c r="W69" s="480">
        <v>2.36</v>
      </c>
      <c r="X69" s="480">
        <v>2.64</v>
      </c>
      <c r="Y69" s="480">
        <v>2.94</v>
      </c>
      <c r="Z69" s="480">
        <v>3.26</v>
      </c>
      <c r="AA69" s="480">
        <v>3.93</v>
      </c>
      <c r="AB69" s="481">
        <v>4.64</v>
      </c>
      <c r="AC69" s="320">
        <v>5.4</v>
      </c>
      <c r="AD69" s="480">
        <v>6.18</v>
      </c>
      <c r="AE69" s="321">
        <v>7</v>
      </c>
      <c r="AG69" s="483">
        <v>0.9</v>
      </c>
      <c r="AH69" s="513">
        <f ca="1">IF($AH$57=2,AE$58,IF($AH$57&gt;2,"ERROR",FORECAST($AH$57,OFFSET($O69,0,$AH$49):OFFSET($O69,0,$AH$49+1),OFFSET($O$57,0,$AH$49):OFFSET($O$57,0,$AH$49+1))))</f>
        <v>2.1574999999999998</v>
      </c>
      <c r="AJ69" s="483">
        <v>0.9</v>
      </c>
      <c r="AK69" s="513">
        <f ca="1">IF($AK$57=2,$AE69,IF($AK$57&gt;2,"ERROR",FORECAST($AK$57,OFFSET($O69,0,$AK$49):OFFSET($O69,0,$AK$49+1),OFFSET($O$57,0,$AK$49):OFFSET($O$57,0,$AK$49+1))))</f>
        <v>1.6216666666666668</v>
      </c>
      <c r="AM69" s="483">
        <v>0.9</v>
      </c>
      <c r="AN69" s="513">
        <f ca="1">IF($AN$57=2,$AE69,IF($AN$57&gt;2,"ERROR",FORECAST($AN$57,OFFSET($O69,0,$AN$49):OFFSET($O69,0,$AN$49+1),OFFSET($O$57,0,$AN$49):OFFSET($O$57,0,$AN$49+1))))</f>
        <v>1.4728571428571429</v>
      </c>
      <c r="AP69" s="483">
        <v>0.9</v>
      </c>
      <c r="AQ69" s="513">
        <f ca="1">IF($AQ$57=2,$AE69,IF($AQ$57&gt;2,"ERROR",FORECAST($AQ$57,OFFSET($O69,0,$AQ$49):OFFSET($O69,0,$AQ$49+1),OFFSET($O$57,0,$AQ$49):OFFSET($O$57,0,$AQ$49+1))))</f>
        <v>1.2811111111111113</v>
      </c>
      <c r="AS69" s="483">
        <v>0.9</v>
      </c>
      <c r="AT69" s="513">
        <f ca="1">IF($AT$57=2,$AE69,IF($AT$57&gt;2,"ERROR",FORECAST($AT$57,OFFSET($O69,0,$AT$49):OFFSET($O69,0,$AT$49+1),OFFSET($O$57,0,$AT$49):OFFSET($O$57,0,$AT$49+1))))</f>
        <v>1.2200000000000002</v>
      </c>
      <c r="BA69" s="31"/>
      <c r="BB69" s="344" t="s">
        <v>307</v>
      </c>
      <c r="BC69" s="345">
        <v>0.725</v>
      </c>
      <c r="BD69" s="343"/>
      <c r="BE69" s="209"/>
      <c r="BF69" s="343"/>
      <c r="BG69" s="9"/>
      <c r="BH69" s="9"/>
      <c r="BI69" s="9"/>
      <c r="BJ69" s="9"/>
      <c r="BK69" s="9"/>
      <c r="BL69" s="9"/>
      <c r="BM69" s="9"/>
      <c r="BN69" s="9"/>
      <c r="BO69" s="9"/>
      <c r="BP69" s="9"/>
      <c r="BQ69" s="9"/>
      <c r="BR69" s="9"/>
      <c r="BS69" s="9"/>
      <c r="BT69" s="9"/>
      <c r="BU69" s="9"/>
      <c r="BV69" s="9"/>
    </row>
    <row r="70" spans="1:74" ht="12.75">
      <c r="A70" s="67"/>
      <c r="B70" s="52" t="s">
        <v>1168</v>
      </c>
      <c r="C70" s="113"/>
      <c r="D70" s="52"/>
      <c r="E70" s="55"/>
      <c r="F70" s="45"/>
      <c r="G70" s="45"/>
      <c r="H70" s="99"/>
      <c r="I70" s="45"/>
      <c r="J70" s="45"/>
      <c r="K70" s="46"/>
      <c r="L70" s="45"/>
      <c r="O70" s="487">
        <v>1</v>
      </c>
      <c r="P70" s="478">
        <v>0.637</v>
      </c>
      <c r="Q70" s="479">
        <v>0.712</v>
      </c>
      <c r="R70" s="320">
        <v>1</v>
      </c>
      <c r="S70" s="480">
        <v>1.21</v>
      </c>
      <c r="T70" s="480">
        <v>1.44</v>
      </c>
      <c r="U70" s="480">
        <v>1.67</v>
      </c>
      <c r="V70" s="480">
        <v>1.91</v>
      </c>
      <c r="W70" s="480">
        <v>2.16</v>
      </c>
      <c r="X70" s="480">
        <v>2.43</v>
      </c>
      <c r="Y70" s="480">
        <v>2.71</v>
      </c>
      <c r="Z70" s="480">
        <v>3.01</v>
      </c>
      <c r="AA70" s="480">
        <v>3.63</v>
      </c>
      <c r="AB70" s="481">
        <v>4.31</v>
      </c>
      <c r="AC70" s="480">
        <v>5.02</v>
      </c>
      <c r="AD70" s="480">
        <v>5.77</v>
      </c>
      <c r="AE70" s="482">
        <v>6.56</v>
      </c>
      <c r="AG70" s="487">
        <v>1</v>
      </c>
      <c r="AH70" s="513">
        <f ca="1">IF($AH$57=2,AE$58,IF($AH$57&gt;2,"ERROR",FORECAST($AH$57,OFFSET($O70,0,$AH$49):OFFSET($O70,0,$AH$49+1),OFFSET($O$57,0,$AH$49):OFFSET($O$57,0,$AH$49+1))))</f>
        <v>1.9725000000000004</v>
      </c>
      <c r="AJ70" s="487">
        <v>1</v>
      </c>
      <c r="AK70" s="513">
        <f ca="1">IF($AK$57=2,$AE70,IF($AK$57&gt;2,"ERROR",FORECAST($AK$57,OFFSET($O70,0,$AK$49):OFFSET($O70,0,$AK$49+1),OFFSET($O$57,0,$AK$49):OFFSET($O$57,0,$AK$49+1))))</f>
        <v>1.4783333333333333</v>
      </c>
      <c r="AM70" s="487">
        <v>1</v>
      </c>
      <c r="AN70" s="513">
        <f ca="1">IF($AN$57=2,$AE70,IF($AN$57&gt;2,"ERROR",FORECAST($AN$57,OFFSET($O70,0,$AN$49):OFFSET($O70,0,$AN$49+1),OFFSET($O$57,0,$AN$49):OFFSET($O$57,0,$AN$49+1))))</f>
        <v>1.3414285714285714</v>
      </c>
      <c r="AP70" s="487">
        <v>1</v>
      </c>
      <c r="AQ70" s="513">
        <f ca="1">IF($AQ$57=2,$AE70,IF($AQ$57&gt;2,"ERROR",FORECAST($AQ$57,OFFSET($O70,0,$AQ$49):OFFSET($O70,0,$AQ$49+1),OFFSET($O$57,0,$AQ$49):OFFSET($O$57,0,$AQ$49+1))))</f>
        <v>1.1633333333333333</v>
      </c>
      <c r="AS70" s="487">
        <v>1</v>
      </c>
      <c r="AT70" s="513">
        <f ca="1">IF($AT$57=2,$AE70,IF($AT$57&gt;2,"ERROR",FORECAST($AT$57,OFFSET($O70,0,$AT$49):OFFSET($O70,0,$AT$49+1),OFFSET($O$57,0,$AT$49):OFFSET($O$57,0,$AT$49+1))))</f>
        <v>1.105</v>
      </c>
      <c r="AZ70" s="31"/>
      <c r="BA70" s="31"/>
      <c r="BB70" s="344" t="s">
        <v>306</v>
      </c>
      <c r="BC70" s="345">
        <v>0.68</v>
      </c>
      <c r="BD70" s="343"/>
      <c r="BE70" s="209"/>
      <c r="BF70" s="343"/>
      <c r="BG70" s="9"/>
      <c r="BH70" s="9"/>
      <c r="BI70" s="9"/>
      <c r="BJ70" s="9"/>
      <c r="BK70" s="9"/>
      <c r="BL70" s="9"/>
      <c r="BM70" s="9"/>
      <c r="BN70" s="9"/>
      <c r="BO70" s="9"/>
      <c r="BP70" s="9"/>
      <c r="BQ70" s="9"/>
      <c r="BR70" s="9"/>
      <c r="BS70" s="9"/>
      <c r="BT70" s="9"/>
      <c r="BU70" s="9"/>
      <c r="BV70" s="9"/>
    </row>
    <row r="71" spans="1:74" ht="12.75">
      <c r="A71" s="19"/>
      <c r="B71" s="10"/>
      <c r="C71" s="63" t="s">
        <v>1169</v>
      </c>
      <c r="D71" s="52"/>
      <c r="E71" s="45"/>
      <c r="F71" s="45"/>
      <c r="G71" s="45"/>
      <c r="H71" s="45"/>
      <c r="I71" s="45"/>
      <c r="J71" s="45"/>
      <c r="K71" s="46"/>
      <c r="L71" s="45"/>
      <c r="O71" s="487">
        <v>1.2</v>
      </c>
      <c r="P71" s="478">
        <v>0.537</v>
      </c>
      <c r="Q71" s="479">
        <v>0.683</v>
      </c>
      <c r="R71" s="480">
        <v>0.844</v>
      </c>
      <c r="S71" s="480">
        <v>1.02</v>
      </c>
      <c r="T71" s="480">
        <v>1.21</v>
      </c>
      <c r="U71" s="480">
        <v>1.42</v>
      </c>
      <c r="V71" s="480">
        <v>1.63</v>
      </c>
      <c r="W71" s="480">
        <v>1.85</v>
      </c>
      <c r="X71" s="480">
        <v>2.08</v>
      </c>
      <c r="Y71" s="480">
        <v>2.33</v>
      </c>
      <c r="Z71" s="480">
        <v>2.59</v>
      </c>
      <c r="AA71" s="480">
        <v>3.15</v>
      </c>
      <c r="AB71" s="481">
        <v>3.75</v>
      </c>
      <c r="AC71" s="480">
        <v>4.39</v>
      </c>
      <c r="AD71" s="480">
        <v>5.07</v>
      </c>
      <c r="AE71" s="482">
        <v>5.78</v>
      </c>
      <c r="AG71" s="487">
        <v>1.2</v>
      </c>
      <c r="AH71" s="513">
        <f ca="1">IF($AH$57=2,AE$58,IF($AH$57&gt;2,"ERROR",FORECAST($AH$57,OFFSET($O71,0,$AH$49):OFFSET($O71,0,$AH$49+1),OFFSET($O$57,0,$AH$49):OFFSET($O$57,0,$AH$49+1))))</f>
        <v>1.685</v>
      </c>
      <c r="AJ71" s="487">
        <v>1.2</v>
      </c>
      <c r="AK71" s="513">
        <f ca="1">IF($AK$57=2,$AE71,IF($AK$57&gt;2,"ERROR",FORECAST($AK$57,OFFSET($O71,0,$AK$49):OFFSET($O71,0,$AK$49+1),OFFSET($O$57,0,$AK$49):OFFSET($O$57,0,$AK$49+1))))</f>
        <v>1.245</v>
      </c>
      <c r="AM71" s="487">
        <v>1.2</v>
      </c>
      <c r="AN71" s="513">
        <f ca="1">IF($AN$57=2,$AE71,IF($AN$57&gt;2,"ERROR",FORECAST($AN$57,OFFSET($O71,0,$AN$49):OFFSET($O71,0,$AN$49+1),OFFSET($O$57,0,$AN$49):OFFSET($O$57,0,$AN$49+1))))</f>
        <v>1.1285714285714286</v>
      </c>
      <c r="AP71" s="487">
        <v>1.2</v>
      </c>
      <c r="AQ71" s="513">
        <f ca="1">IF($AQ$57=2,$AE71,IF($AQ$57&gt;2,"ERROR",FORECAST($AQ$57,OFFSET($O71,0,$AQ$49):OFFSET($O71,0,$AQ$49+1),OFFSET($O$57,0,$AQ$49):OFFSET($O$57,0,$AQ$49+1))))</f>
        <v>0.9808888888888889</v>
      </c>
      <c r="AS71" s="487">
        <v>1.2</v>
      </c>
      <c r="AT71" s="513">
        <f ca="1">IF($AT$57=2,$AE71,IF($AT$57&gt;2,"ERROR",FORECAST($AT$57,OFFSET($O71,0,$AT$49):OFFSET($O71,0,$AT$49+1),OFFSET($O$57,0,$AT$49):OFFSET($O$57,0,$AT$49+1))))</f>
        <v>0.9319999999999999</v>
      </c>
      <c r="AU71" s="41"/>
      <c r="AV71" s="41"/>
      <c r="AW71" s="41"/>
      <c r="AX71" s="41"/>
      <c r="AY71" s="41"/>
      <c r="BA71" s="31"/>
      <c r="BB71" s="344" t="s">
        <v>305</v>
      </c>
      <c r="BC71" s="345">
        <v>0.65</v>
      </c>
      <c r="BD71" s="343"/>
      <c r="BE71" s="209"/>
      <c r="BF71" s="343"/>
      <c r="BG71" s="9"/>
      <c r="BH71" s="9"/>
      <c r="BI71" s="9"/>
      <c r="BJ71" s="9"/>
      <c r="BK71" s="9"/>
      <c r="BL71" s="9"/>
      <c r="BM71" s="9"/>
      <c r="BN71" s="9"/>
      <c r="BO71" s="9"/>
      <c r="BP71" s="9"/>
      <c r="BQ71" s="9"/>
      <c r="BR71" s="9"/>
      <c r="BS71" s="9"/>
      <c r="BT71" s="9"/>
      <c r="BU71" s="9"/>
      <c r="BV71" s="9"/>
    </row>
    <row r="72" spans="1:74" ht="12.75">
      <c r="A72" s="19"/>
      <c r="B72" s="10"/>
      <c r="C72" s="459" t="s">
        <v>1170</v>
      </c>
      <c r="D72" s="10"/>
      <c r="E72" s="10"/>
      <c r="F72" s="10"/>
      <c r="G72" s="10"/>
      <c r="H72" s="10"/>
      <c r="I72" s="45"/>
      <c r="J72" s="45"/>
      <c r="K72" s="46"/>
      <c r="L72" s="45"/>
      <c r="O72" s="487">
        <v>1.4</v>
      </c>
      <c r="P72" s="478">
        <v>0.464</v>
      </c>
      <c r="Q72" s="479">
        <v>0.588</v>
      </c>
      <c r="R72" s="480">
        <v>0.728</v>
      </c>
      <c r="S72" s="480">
        <v>0.881</v>
      </c>
      <c r="T72" s="480">
        <v>1.05</v>
      </c>
      <c r="U72" s="480">
        <v>1.23</v>
      </c>
      <c r="V72" s="480">
        <v>1.41</v>
      </c>
      <c r="W72" s="480">
        <v>1.61</v>
      </c>
      <c r="X72" s="480">
        <v>1.82</v>
      </c>
      <c r="Y72" s="480">
        <v>2.04</v>
      </c>
      <c r="Z72" s="480">
        <v>2.27</v>
      </c>
      <c r="AA72" s="480">
        <v>2.77</v>
      </c>
      <c r="AB72" s="481">
        <v>3.31</v>
      </c>
      <c r="AC72" s="480">
        <v>3.89</v>
      </c>
      <c r="AD72" s="320">
        <v>4.5</v>
      </c>
      <c r="AE72" s="482">
        <v>5.15</v>
      </c>
      <c r="AG72" s="487">
        <v>1.4</v>
      </c>
      <c r="AH72" s="513">
        <f ca="1">IF($AH$57=2,AE$58,IF($AH$57&gt;2,"ERROR",FORECAST($AH$57,OFFSET($O72,0,$AH$49):OFFSET($O72,0,$AH$49+1),OFFSET($O$57,0,$AH$49):OFFSET($O$57,0,$AH$49+1))))</f>
        <v>1.4600000000000002</v>
      </c>
      <c r="AJ72" s="487">
        <v>1.4</v>
      </c>
      <c r="AK72" s="513">
        <f ca="1">IF($AK$57=2,$AE72,IF($AK$57&gt;2,"ERROR",FORECAST($AK$57,OFFSET($O72,0,$AK$49):OFFSET($O72,0,$AK$49+1),OFFSET($O$57,0,$AK$49):OFFSET($O$57,0,$AK$49+1))))</f>
        <v>1.08</v>
      </c>
      <c r="AM72" s="487">
        <v>1.4</v>
      </c>
      <c r="AN72" s="513">
        <f ca="1">IF($AN$57=2,$AE72,IF($AN$57&gt;2,"ERROR",FORECAST($AN$57,OFFSET($O72,0,$AN$49):OFFSET($O72,0,$AN$49+1),OFFSET($O$57,0,$AN$49):OFFSET($O$57,0,$AN$49+1))))</f>
        <v>0.9775714285714286</v>
      </c>
      <c r="AP72" s="487">
        <v>1.4</v>
      </c>
      <c r="AQ72" s="513">
        <f ca="1">IF($AQ$57=2,$AE72,IF($AQ$57&gt;2,"ERROR",FORECAST($AQ$57,OFFSET($O72,0,$AQ$49):OFFSET($O72,0,$AQ$49+1),OFFSET($O$57,0,$AQ$49):OFFSET($O$57,0,$AQ$49+1))))</f>
        <v>0.847</v>
      </c>
      <c r="AS72" s="487">
        <v>1.4</v>
      </c>
      <c r="AT72" s="513">
        <f ca="1">IF($AT$57=2,$AE72,IF($AT$57&gt;2,"ERROR",FORECAST($AT$57,OFFSET($O72,0,$AT$49):OFFSET($O72,0,$AT$49+1),OFFSET($O$57,0,$AT$49):OFFSET($O$57,0,$AT$49+1))))</f>
        <v>0.8045</v>
      </c>
      <c r="AU72" s="3"/>
      <c r="AV72" s="3"/>
      <c r="AW72" s="3"/>
      <c r="AX72" s="3"/>
      <c r="AY72" s="3"/>
      <c r="BA72" s="31"/>
      <c r="BB72" s="344" t="s">
        <v>443</v>
      </c>
      <c r="BC72" s="345">
        <v>0.625</v>
      </c>
      <c r="BD72" s="343"/>
      <c r="BE72" s="209"/>
      <c r="BF72" s="343"/>
      <c r="BG72" s="9"/>
      <c r="BH72" s="9"/>
      <c r="BI72" s="9"/>
      <c r="BJ72" s="9"/>
      <c r="BK72" s="9"/>
      <c r="BL72" s="9"/>
      <c r="BM72" s="9"/>
      <c r="BN72" s="9"/>
      <c r="BO72" s="9"/>
      <c r="BP72" s="9"/>
      <c r="BQ72" s="9"/>
      <c r="BR72" s="9"/>
      <c r="BS72" s="9"/>
      <c r="BT72" s="9"/>
      <c r="BU72" s="9"/>
      <c r="BV72" s="9"/>
    </row>
    <row r="73" spans="1:74" ht="12.75">
      <c r="A73" s="19"/>
      <c r="B73" s="10"/>
      <c r="C73" s="459"/>
      <c r="D73" s="10"/>
      <c r="E73" s="10"/>
      <c r="F73" s="10"/>
      <c r="G73" s="10"/>
      <c r="H73" s="10"/>
      <c r="I73" s="55"/>
      <c r="J73" s="55"/>
      <c r="K73" s="54"/>
      <c r="L73" s="45"/>
      <c r="O73" s="487">
        <v>1.6</v>
      </c>
      <c r="P73" s="478">
        <v>0.407</v>
      </c>
      <c r="Q73" s="479">
        <v>0.516</v>
      </c>
      <c r="R73" s="480">
        <v>0.639</v>
      </c>
      <c r="S73" s="480">
        <v>0.775</v>
      </c>
      <c r="T73" s="480">
        <v>0.923</v>
      </c>
      <c r="U73" s="480">
        <v>1.08</v>
      </c>
      <c r="V73" s="480">
        <v>1.25</v>
      </c>
      <c r="W73" s="480">
        <v>1.43</v>
      </c>
      <c r="X73" s="480">
        <v>1.61</v>
      </c>
      <c r="Y73" s="480">
        <v>1.81</v>
      </c>
      <c r="Z73" s="480">
        <v>2.02</v>
      </c>
      <c r="AA73" s="480">
        <v>2.46</v>
      </c>
      <c r="AB73" s="481">
        <v>2.95</v>
      </c>
      <c r="AC73" s="480">
        <v>3.47</v>
      </c>
      <c r="AD73" s="480">
        <v>4.04</v>
      </c>
      <c r="AE73" s="482">
        <v>4.63</v>
      </c>
      <c r="AG73" s="487">
        <v>1.6</v>
      </c>
      <c r="AH73" s="513">
        <f ca="1">IF($AH$57=2,AE$58,IF($AH$57&gt;2,"ERROR",FORECAST($AH$57,OFFSET($O73,0,$AH$49):OFFSET($O73,0,$AH$49+1),OFFSET($O$57,0,$AH$49):OFFSET($O$57,0,$AH$49+1))))</f>
        <v>1.2950000000000002</v>
      </c>
      <c r="AJ73" s="487">
        <v>1.6</v>
      </c>
      <c r="AK73" s="513">
        <f ca="1">IF($AK$57=2,$AE73,IF($AK$57&gt;2,"ERROR",FORECAST($AK$57,OFFSET($O73,0,$AK$49):OFFSET($O73,0,$AK$49+1),OFFSET($O$57,0,$AK$49):OFFSET($O$57,0,$AK$49+1))))</f>
        <v>0.9491666666666667</v>
      </c>
      <c r="AM73" s="487">
        <v>1.6</v>
      </c>
      <c r="AN73" s="513">
        <f ca="1">IF($AN$57=2,$AE73,IF($AN$57&gt;2,"ERROR",FORECAST($AN$57,OFFSET($O73,0,$AN$49):OFFSET($O73,0,$AN$49+1),OFFSET($O$57,0,$AN$49):OFFSET($O$57,0,$AN$49+1))))</f>
        <v>0.8595714285714285</v>
      </c>
      <c r="AP73" s="487">
        <v>1.6</v>
      </c>
      <c r="AQ73" s="513">
        <f ca="1">IF($AQ$57=2,$AE73,IF($AQ$57&gt;2,"ERROR",FORECAST($AQ$57,OFFSET($O73,0,$AQ$49):OFFSET($O73,0,$AQ$49+1),OFFSET($O$57,0,$AQ$49):OFFSET($O$57,0,$AQ$49+1))))</f>
        <v>0.7447777777777779</v>
      </c>
      <c r="AS73" s="487">
        <v>1.6</v>
      </c>
      <c r="AT73" s="513">
        <f ca="1">IF($AT$57=2,$AE73,IF($AT$57&gt;2,"ERROR",FORECAST($AT$57,OFFSET($O73,0,$AT$49):OFFSET($O73,0,$AT$49+1),OFFSET($O$57,0,$AT$49):OFFSET($O$57,0,$AT$49+1))))</f>
        <v>0.7070000000000001</v>
      </c>
      <c r="AU73" s="61"/>
      <c r="AV73" s="61"/>
      <c r="AW73" s="61"/>
      <c r="AX73" s="61"/>
      <c r="AY73" s="61"/>
      <c r="AZ73" s="31"/>
      <c r="BA73" s="31"/>
      <c r="BB73" s="344" t="s">
        <v>442</v>
      </c>
      <c r="BC73" s="345">
        <v>0.6</v>
      </c>
      <c r="BD73" s="343"/>
      <c r="BE73" s="209"/>
      <c r="BF73" s="343"/>
      <c r="BG73" s="9"/>
      <c r="BH73" s="9"/>
      <c r="BI73" s="9"/>
      <c r="BJ73" s="9"/>
      <c r="BK73" s="9"/>
      <c r="BL73" s="9"/>
      <c r="BM73" s="9"/>
      <c r="BN73" s="9"/>
      <c r="BO73" s="9"/>
      <c r="BP73" s="9"/>
      <c r="BQ73" s="9"/>
      <c r="BR73" s="9"/>
      <c r="BS73" s="9"/>
      <c r="BT73" s="9"/>
      <c r="BU73" s="9"/>
      <c r="BV73" s="9"/>
    </row>
    <row r="74" spans="1:74" ht="12.75">
      <c r="A74" s="19"/>
      <c r="B74" s="52" t="s">
        <v>1171</v>
      </c>
      <c r="C74" s="55"/>
      <c r="D74" s="10"/>
      <c r="E74" s="10"/>
      <c r="F74" s="10"/>
      <c r="G74" s="45"/>
      <c r="H74" s="10"/>
      <c r="I74" s="10"/>
      <c r="J74" s="7"/>
      <c r="K74" s="238"/>
      <c r="L74" s="55"/>
      <c r="O74" s="487">
        <v>1.8</v>
      </c>
      <c r="P74" s="478">
        <v>0.363</v>
      </c>
      <c r="Q74" s="324">
        <v>0.46</v>
      </c>
      <c r="R74" s="480">
        <v>0.569</v>
      </c>
      <c r="S74" s="480">
        <v>0.691</v>
      </c>
      <c r="T74" s="480">
        <v>0.824</v>
      </c>
      <c r="U74" s="480">
        <v>0.969</v>
      </c>
      <c r="V74" s="480">
        <v>1.12</v>
      </c>
      <c r="W74" s="480">
        <v>1.28</v>
      </c>
      <c r="X74" s="480">
        <v>1.45</v>
      </c>
      <c r="Y74" s="480">
        <v>1.62</v>
      </c>
      <c r="Z74" s="480">
        <v>1.81</v>
      </c>
      <c r="AA74" s="480">
        <v>2.22</v>
      </c>
      <c r="AB74" s="481">
        <v>2.66</v>
      </c>
      <c r="AC74" s="480">
        <v>3.14</v>
      </c>
      <c r="AD74" s="480">
        <v>3.65</v>
      </c>
      <c r="AE74" s="321">
        <v>4.2</v>
      </c>
      <c r="AG74" s="487">
        <v>1.8</v>
      </c>
      <c r="AH74" s="513">
        <f ca="1">IF($AH$57=2,AE$58,IF($AH$57&gt;2,"ERROR",FORECAST($AH$57,OFFSET($O74,0,$AH$49):OFFSET($O74,0,$AH$49+1),OFFSET($O$57,0,$AH$49):OFFSET($O$57,0,$AH$49+1))))</f>
        <v>1.1600000000000001</v>
      </c>
      <c r="AJ74" s="487">
        <v>1.8</v>
      </c>
      <c r="AK74" s="513">
        <f ca="1">IF($AK$57=2,$AE74,IF($AK$57&gt;2,"ERROR",FORECAST($AK$57,OFFSET($O74,0,$AK$49):OFFSET($O74,0,$AK$49+1),OFFSET($O$57,0,$AK$49):OFFSET($O$57,0,$AK$49+1))))</f>
        <v>0.8481666666666666</v>
      </c>
      <c r="AM74" s="487">
        <v>1.8</v>
      </c>
      <c r="AN74" s="513">
        <f ca="1">IF($AN$57=2,$AE74,IF($AN$57&gt;2,"ERROR",FORECAST($AN$57,OFFSET($O74,0,$AN$49):OFFSET($O74,0,$AN$49+1),OFFSET($O$57,0,$AN$49):OFFSET($O$57,0,$AN$49+1))))</f>
        <v>0.767</v>
      </c>
      <c r="AP74" s="487">
        <v>1.8</v>
      </c>
      <c r="AQ74" s="513">
        <f ca="1">IF($AQ$57=2,$AE74,IF($AQ$57&gt;2,"ERROR",FORECAST($AQ$57,OFFSET($O74,0,$AQ$49):OFFSET($O74,0,$AQ$49+1),OFFSET($O$57,0,$AQ$49):OFFSET($O$57,0,$AQ$49+1))))</f>
        <v>0.6638888888888888</v>
      </c>
      <c r="AS74" s="487">
        <v>1.8</v>
      </c>
      <c r="AT74" s="513">
        <f ca="1">IF($AT$57=2,$AE74,IF($AT$57&gt;2,"ERROR",FORECAST($AT$57,OFFSET($O74,0,$AT$49):OFFSET($O74,0,$AT$49+1),OFFSET($O$57,0,$AT$49):OFFSET($O$57,0,$AT$49+1))))</f>
        <v>0.6299999999999999</v>
      </c>
      <c r="AU74" s="41"/>
      <c r="AV74" s="41"/>
      <c r="AW74" s="41"/>
      <c r="AX74" s="41"/>
      <c r="AY74" s="41"/>
      <c r="AZ74" s="38"/>
      <c r="BA74" s="31"/>
      <c r="BB74" s="344" t="s">
        <v>441</v>
      </c>
      <c r="BC74" s="345">
        <v>1.97</v>
      </c>
      <c r="BD74" s="343"/>
      <c r="BE74" s="209"/>
      <c r="BF74" s="343"/>
      <c r="BG74" s="9"/>
      <c r="BH74" s="9"/>
      <c r="BI74" s="9"/>
      <c r="BJ74" s="9"/>
      <c r="BK74" s="9"/>
      <c r="BL74" s="9"/>
      <c r="BM74" s="9"/>
      <c r="BN74" s="9"/>
      <c r="BO74" s="9"/>
      <c r="BP74" s="9"/>
      <c r="BQ74" s="9"/>
      <c r="BR74" s="9"/>
      <c r="BS74" s="9"/>
      <c r="BT74" s="9"/>
      <c r="BU74" s="9"/>
      <c r="BV74" s="9"/>
    </row>
    <row r="75" spans="1:74" ht="12.75">
      <c r="A75" s="19"/>
      <c r="B75" s="55"/>
      <c r="C75" s="52" t="s">
        <v>661</v>
      </c>
      <c r="D75" s="55"/>
      <c r="E75" s="10"/>
      <c r="F75" s="10"/>
      <c r="G75" s="45"/>
      <c r="H75" s="10"/>
      <c r="I75" s="10"/>
      <c r="J75" s="7"/>
      <c r="K75" s="238"/>
      <c r="L75" s="7"/>
      <c r="O75" s="487">
        <v>2</v>
      </c>
      <c r="P75" s="478">
        <v>0.327</v>
      </c>
      <c r="Q75" s="488">
        <v>0.415</v>
      </c>
      <c r="R75" s="489">
        <v>0.513</v>
      </c>
      <c r="S75" s="489">
        <v>0.623</v>
      </c>
      <c r="T75" s="489">
        <v>0.744</v>
      </c>
      <c r="U75" s="489">
        <v>0.876</v>
      </c>
      <c r="V75" s="489">
        <v>1.01</v>
      </c>
      <c r="W75" s="489">
        <v>1.16</v>
      </c>
      <c r="X75" s="489">
        <v>1.31</v>
      </c>
      <c r="Y75" s="489">
        <v>1.47</v>
      </c>
      <c r="Z75" s="489">
        <v>1.64</v>
      </c>
      <c r="AA75" s="489">
        <v>2.01</v>
      </c>
      <c r="AB75" s="490">
        <v>2.42</v>
      </c>
      <c r="AC75" s="489">
        <v>2.86</v>
      </c>
      <c r="AD75" s="489">
        <v>3.33</v>
      </c>
      <c r="AE75" s="491">
        <v>3.85</v>
      </c>
      <c r="AG75" s="487">
        <v>2</v>
      </c>
      <c r="AH75" s="513">
        <f ca="1">IF($AH$57=2,AE$58,IF($AH$57&gt;2,"ERROR",FORECAST($AH$57,OFFSET($O75,0,$AH$49):OFFSET($O75,0,$AH$49+1),OFFSET($O$57,0,$AH$49):OFFSET($O$57,0,$AH$49+1))))</f>
        <v>1.0475000000000003</v>
      </c>
      <c r="AJ75" s="487">
        <v>2</v>
      </c>
      <c r="AK75" s="513">
        <f ca="1">IF($AK$57=2,$AE75,IF($AK$57&gt;2,"ERROR",FORECAST($AK$57,OFFSET($O75,0,$AK$49):OFFSET($O75,0,$AK$49+1),OFFSET($O$57,0,$AK$49):OFFSET($O$57,0,$AK$49+1))))</f>
        <v>0.766</v>
      </c>
      <c r="AM75" s="487">
        <v>2</v>
      </c>
      <c r="AN75" s="513">
        <f ca="1">IF($AN$57=2,$AE75,IF($AN$57&gt;2,"ERROR",FORECAST($AN$57,OFFSET($O75,0,$AN$49):OFFSET($O75,0,$AN$49+1),OFFSET($O$57,0,$AN$49):OFFSET($O$57,0,$AN$49+1))))</f>
        <v>0.6921428571428572</v>
      </c>
      <c r="AP75" s="487">
        <v>2</v>
      </c>
      <c r="AQ75" s="513">
        <f ca="1">IF($AQ$57=2,$AE75,IF($AQ$57&gt;2,"ERROR",FORECAST($AQ$57,OFFSET($O75,0,$AQ$49):OFFSET($O75,0,$AQ$49+1),OFFSET($O$57,0,$AQ$49):OFFSET($O$57,0,$AQ$49+1))))</f>
        <v>0.5985555555555556</v>
      </c>
      <c r="AS75" s="487">
        <v>2</v>
      </c>
      <c r="AT75" s="513">
        <f ca="1">IF($AT$57=2,$AE75,IF($AT$57&gt;2,"ERROR",FORECAST($AT$57,OFFSET($O75,0,$AT$49):OFFSET($O75,0,$AT$49+1),OFFSET($O$57,0,$AT$49):OFFSET($O$57,0,$AT$49+1))))</f>
        <v>0.5680000000000001</v>
      </c>
      <c r="AU75" s="61"/>
      <c r="AV75" s="61"/>
      <c r="AW75" s="61"/>
      <c r="AX75" s="61"/>
      <c r="AY75" s="61"/>
      <c r="AZ75" s="31"/>
      <c r="BA75" s="31"/>
      <c r="BB75" s="344" t="s">
        <v>440</v>
      </c>
      <c r="BC75" s="345">
        <v>1.81</v>
      </c>
      <c r="BD75" s="343"/>
      <c r="BE75" s="209"/>
      <c r="BF75" s="343"/>
      <c r="BG75" s="9"/>
      <c r="BH75" s="9"/>
      <c r="BI75" s="9"/>
      <c r="BJ75" s="9"/>
      <c r="BK75" s="9"/>
      <c r="BL75" s="9"/>
      <c r="BM75" s="9"/>
      <c r="BN75" s="9"/>
      <c r="BO75" s="9"/>
      <c r="BP75" s="9"/>
      <c r="BQ75" s="9"/>
      <c r="BR75" s="9"/>
      <c r="BS75" s="9"/>
      <c r="BT75" s="9"/>
      <c r="BU75" s="9"/>
      <c r="BV75" s="9"/>
    </row>
    <row r="76" spans="1:74" ht="12.75">
      <c r="A76" s="19"/>
      <c r="B76" s="10"/>
      <c r="C76" s="45" t="s">
        <v>1066</v>
      </c>
      <c r="D76" s="55"/>
      <c r="E76" s="10"/>
      <c r="F76" s="10"/>
      <c r="G76" s="10"/>
      <c r="H76" s="10"/>
      <c r="I76" s="10"/>
      <c r="J76" s="10"/>
      <c r="K76" s="14"/>
      <c r="L76" s="7"/>
      <c r="O76" s="487">
        <v>2.2</v>
      </c>
      <c r="P76" s="492">
        <v>0.297</v>
      </c>
      <c r="Q76" s="479">
        <v>0.377</v>
      </c>
      <c r="R76" s="480">
        <v>0.467</v>
      </c>
      <c r="S76" s="480">
        <v>0.567</v>
      </c>
      <c r="T76" s="480">
        <v>0.677</v>
      </c>
      <c r="U76" s="480">
        <v>0.799</v>
      </c>
      <c r="V76" s="480">
        <v>0.925</v>
      </c>
      <c r="W76" s="480">
        <v>1.06</v>
      </c>
      <c r="X76" s="320">
        <v>1.2</v>
      </c>
      <c r="Y76" s="480">
        <v>1.35</v>
      </c>
      <c r="Z76" s="320">
        <v>1.5</v>
      </c>
      <c r="AA76" s="480">
        <v>1.84</v>
      </c>
      <c r="AB76" s="480">
        <v>2.21</v>
      </c>
      <c r="AC76" s="480">
        <v>2.62</v>
      </c>
      <c r="AD76" s="480">
        <v>3.07</v>
      </c>
      <c r="AE76" s="482">
        <v>3.54</v>
      </c>
      <c r="AG76" s="487">
        <v>2.2</v>
      </c>
      <c r="AH76" s="513">
        <f ca="1">IF($AH$57=2,AE$58,IF($AH$57&gt;2,"ERROR",FORECAST($AH$57,OFFSET($O76,0,$AH$49):OFFSET($O76,0,$AH$49+1),OFFSET($O$57,0,$AH$49):OFFSET($O$57,0,$AH$49+1))))</f>
        <v>0.9587500000000001</v>
      </c>
      <c r="AJ76" s="487">
        <v>2.2</v>
      </c>
      <c r="AK76" s="513">
        <f ca="1">IF($AK$57=2,$AE76,IF($AK$57&gt;2,"ERROR",FORECAST($AK$57,OFFSET($O76,0,$AK$49):OFFSET($O76,0,$AK$49+1),OFFSET($O$57,0,$AK$49):OFFSET($O$57,0,$AK$49+1))))</f>
        <v>0.6973333333333332</v>
      </c>
      <c r="AM76" s="487">
        <v>2.2</v>
      </c>
      <c r="AN76" s="513">
        <f ca="1">IF($AN$57=2,$AE76,IF($AN$57&gt;2,"ERROR",FORECAST($AN$57,OFFSET($O76,0,$AN$49):OFFSET($O76,0,$AN$49+1),OFFSET($O$57,0,$AN$49):OFFSET($O$57,0,$AN$49+1))))</f>
        <v>0.6298571428571429</v>
      </c>
      <c r="AP76" s="487">
        <v>2.2</v>
      </c>
      <c r="AQ76" s="513">
        <f ca="1">IF($AQ$57=2,$AE76,IF($AQ$57&gt;2,"ERROR",FORECAST($AQ$57,OFFSET($O76,0,$AQ$49):OFFSET($O76,0,$AQ$49+1),OFFSET($O$57,0,$AQ$49):OFFSET($O$57,0,$AQ$49+1))))</f>
        <v>0.5447777777777778</v>
      </c>
      <c r="AS76" s="487">
        <v>2.2</v>
      </c>
      <c r="AT76" s="513">
        <f ca="1">IF($AT$57=2,$AE76,IF($AT$57&gt;2,"ERROR",FORECAST($AT$57,OFFSET($O76,0,$AT$49):OFFSET($O76,0,$AT$49+1),OFFSET($O$57,0,$AT$49):OFFSET($O$57,0,$AT$49+1))))</f>
        <v>0.517</v>
      </c>
      <c r="AZ76" s="31"/>
      <c r="BA76" s="31"/>
      <c r="BB76" s="344" t="s">
        <v>439</v>
      </c>
      <c r="BC76" s="345">
        <v>1.65</v>
      </c>
      <c r="BD76" s="343"/>
      <c r="BE76" s="209"/>
      <c r="BF76" s="343"/>
      <c r="BG76" s="9"/>
      <c r="BH76" s="9"/>
      <c r="BI76" s="9"/>
      <c r="BJ76" s="9"/>
      <c r="BK76" s="9"/>
      <c r="BL76" s="9"/>
      <c r="BM76" s="9"/>
      <c r="BN76" s="9"/>
      <c r="BO76" s="9"/>
      <c r="BP76" s="9"/>
      <c r="BQ76" s="9"/>
      <c r="BR76" s="9"/>
      <c r="BS76" s="9"/>
      <c r="BT76" s="9"/>
      <c r="BU76" s="9"/>
      <c r="BV76" s="9"/>
    </row>
    <row r="77" spans="1:74" ht="12.75">
      <c r="A77" s="19"/>
      <c r="B77" s="45"/>
      <c r="C77" s="63" t="s">
        <v>823</v>
      </c>
      <c r="D77" s="55"/>
      <c r="E77" s="55"/>
      <c r="F77" s="45"/>
      <c r="G77" s="10"/>
      <c r="H77" s="10"/>
      <c r="I77" s="10"/>
      <c r="J77" s="55"/>
      <c r="K77" s="54"/>
      <c r="L77" s="55"/>
      <c r="O77" s="487">
        <v>2.4</v>
      </c>
      <c r="P77" s="478">
        <v>0.273</v>
      </c>
      <c r="Q77" s="493">
        <v>0.347</v>
      </c>
      <c r="R77" s="494">
        <v>0.428</v>
      </c>
      <c r="S77" s="326">
        <v>0.52</v>
      </c>
      <c r="T77" s="494">
        <v>0.623</v>
      </c>
      <c r="U77" s="494">
        <v>0.735</v>
      </c>
      <c r="V77" s="494">
        <v>0.852</v>
      </c>
      <c r="W77" s="494">
        <v>0.972</v>
      </c>
      <c r="X77" s="495">
        <v>1.1</v>
      </c>
      <c r="Y77" s="494">
        <v>1.24</v>
      </c>
      <c r="Z77" s="494">
        <v>1.38</v>
      </c>
      <c r="AA77" s="495">
        <v>1.7</v>
      </c>
      <c r="AB77" s="496">
        <v>2.04</v>
      </c>
      <c r="AC77" s="494">
        <v>2.42</v>
      </c>
      <c r="AD77" s="494">
        <v>2.83</v>
      </c>
      <c r="AE77" s="497">
        <v>3.27</v>
      </c>
      <c r="AG77" s="487">
        <v>2.4</v>
      </c>
      <c r="AH77" s="513">
        <f ca="1">IF($AH$57=2,AE$58,IF($AH$57&gt;2,"ERROR",FORECAST($AH$57,OFFSET($O77,0,$AH$49):OFFSET($O77,0,$AH$49+1),OFFSET($O$57,0,$AH$49):OFFSET($O$57,0,$AH$49+1))))</f>
        <v>0.882</v>
      </c>
      <c r="AJ77" s="487">
        <v>2.4</v>
      </c>
      <c r="AK77" s="513">
        <f ca="1">IF($AK$57=2,$AE77,IF($AK$57&gt;2,"ERROR",FORECAST($AK$57,OFFSET($O77,0,$AK$49):OFFSET($O77,0,$AK$49+1),OFFSET($O$57,0,$AK$49):OFFSET($O$57,0,$AK$49+1))))</f>
        <v>0.6416666666666666</v>
      </c>
      <c r="AM77" s="487">
        <v>2.4</v>
      </c>
      <c r="AN77" s="513">
        <f ca="1">IF($AN$57=2,$AE77,IF($AN$57&gt;2,"ERROR",FORECAST($AN$57,OFFSET($O77,0,$AN$49):OFFSET($O77,0,$AN$49+1),OFFSET($O$57,0,$AN$49):OFFSET($O$57,0,$AN$49+1))))</f>
        <v>0.578857142857143</v>
      </c>
      <c r="AP77" s="487">
        <v>2.4</v>
      </c>
      <c r="AQ77" s="513">
        <f ca="1">IF($AQ$57=2,$AE77,IF($AQ$57&gt;2,"ERROR",FORECAST($AQ$57,OFFSET($O77,0,$AQ$49):OFFSET($O77,0,$AQ$49+1),OFFSET($O$57,0,$AQ$49):OFFSET($O$57,0,$AQ$49+1))))</f>
        <v>0.49955555555555553</v>
      </c>
      <c r="AS77" s="487">
        <v>2.4</v>
      </c>
      <c r="AT77" s="513">
        <f ca="1">IF($AT$57=2,$AE77,IF($AT$57&gt;2,"ERROR",FORECAST($AT$57,OFFSET($O77,0,$AT$49):OFFSET($O77,0,$AT$49+1),OFFSET($O$57,0,$AT$49):OFFSET($O$57,0,$AT$49+1))))</f>
        <v>0.474</v>
      </c>
      <c r="AU77" s="41"/>
      <c r="AV77" s="41"/>
      <c r="AW77" s="41"/>
      <c r="AX77" s="41"/>
      <c r="AY77" s="41"/>
      <c r="AZ77" s="31"/>
      <c r="BA77" s="38"/>
      <c r="BB77" s="344" t="s">
        <v>85</v>
      </c>
      <c r="BC77" s="345">
        <v>1.52</v>
      </c>
      <c r="BD77" s="343"/>
      <c r="BE77" s="209"/>
      <c r="BF77" s="346"/>
      <c r="BG77" s="9"/>
      <c r="BH77" s="9"/>
      <c r="BI77" s="9"/>
      <c r="BJ77" s="9"/>
      <c r="BK77" s="9"/>
      <c r="BL77" s="9"/>
      <c r="BM77" s="9"/>
      <c r="BN77" s="9"/>
      <c r="BO77" s="9"/>
      <c r="BP77" s="9"/>
      <c r="BQ77" s="9"/>
      <c r="BR77" s="9"/>
      <c r="BS77" s="9"/>
      <c r="BT77" s="9"/>
      <c r="BU77" s="9"/>
      <c r="BV77" s="9"/>
    </row>
    <row r="78" spans="1:74" ht="12.75">
      <c r="A78" s="79"/>
      <c r="B78" s="10"/>
      <c r="C78" s="63" t="s">
        <v>824</v>
      </c>
      <c r="D78" s="55"/>
      <c r="E78" s="45"/>
      <c r="F78" s="45"/>
      <c r="G78" s="10"/>
      <c r="H78" s="10"/>
      <c r="I78" s="45"/>
      <c r="J78" s="55"/>
      <c r="K78" s="54"/>
      <c r="L78" s="55"/>
      <c r="O78" s="487">
        <v>2.6</v>
      </c>
      <c r="P78" s="478">
        <v>0.252</v>
      </c>
      <c r="Q78" s="324">
        <v>0.32</v>
      </c>
      <c r="R78" s="480">
        <v>0.396</v>
      </c>
      <c r="S78" s="480">
        <v>0.48</v>
      </c>
      <c r="T78" s="480">
        <v>0.575</v>
      </c>
      <c r="U78" s="480">
        <v>0.679</v>
      </c>
      <c r="V78" s="480">
        <v>0.788</v>
      </c>
      <c r="W78" s="319">
        <v>0.9</v>
      </c>
      <c r="X78" s="480">
        <v>1.02</v>
      </c>
      <c r="Y78" s="480">
        <v>1.15</v>
      </c>
      <c r="Z78" s="480">
        <v>1.28</v>
      </c>
      <c r="AA78" s="480">
        <v>1.57</v>
      </c>
      <c r="AB78" s="485">
        <v>1.9</v>
      </c>
      <c r="AC78" s="480">
        <v>2.25</v>
      </c>
      <c r="AD78" s="480">
        <v>2.63</v>
      </c>
      <c r="AE78" s="482">
        <v>3.05</v>
      </c>
      <c r="AG78" s="487">
        <v>2.6</v>
      </c>
      <c r="AH78" s="513">
        <f ca="1">IF($AH$57=2,AE$58,IF($AH$57&gt;2,"ERROR",FORECAST($AH$57,OFFSET($O78,0,$AH$49):OFFSET($O78,0,$AH$49+1),OFFSET($O$57,0,$AH$49):OFFSET($O$57,0,$AH$49+1))))</f>
        <v>0.8160000000000002</v>
      </c>
      <c r="AJ78" s="487">
        <v>2.6</v>
      </c>
      <c r="AK78" s="513">
        <f ca="1">IF($AK$57=2,$AE78,IF($AK$57&gt;2,"ERROR",FORECAST($AK$57,OFFSET($O78,0,$AK$49):OFFSET($O78,0,$AK$49+1),OFFSET($O$57,0,$AK$49):OFFSET($O$57,0,$AK$49+1))))</f>
        <v>0.5923333333333334</v>
      </c>
      <c r="AM78" s="487">
        <v>2.6</v>
      </c>
      <c r="AN78" s="513">
        <f ca="1">IF($AN$57=2,$AE78,IF($AN$57&gt;2,"ERROR",FORECAST($AN$57,OFFSET($O78,0,$AN$49):OFFSET($O78,0,$AN$49+1),OFFSET($O$57,0,$AN$49):OFFSET($O$57,0,$AN$49+1))))</f>
        <v>0.5342857142857143</v>
      </c>
      <c r="AP78" s="487">
        <v>2.6</v>
      </c>
      <c r="AQ78" s="513">
        <f ca="1">IF($AQ$57=2,$AE78,IF($AQ$57&gt;2,"ERROR",FORECAST($AQ$57,OFFSET($O78,0,$AQ$49):OFFSET($O78,0,$AQ$49+1),OFFSET($O$57,0,$AQ$49):OFFSET($O$57,0,$AQ$49+1))))</f>
        <v>0.4613333333333334</v>
      </c>
      <c r="AS78" s="487">
        <v>2.6</v>
      </c>
      <c r="AT78" s="513">
        <f ca="1">IF($AT$57=2,$AE78,IF($AT$57&gt;2,"ERROR",FORECAST($AT$57,OFFSET($O78,0,$AT$49):OFFSET($O78,0,$AT$49+1),OFFSET($O$57,0,$AT$49):OFFSET($O$57,0,$AT$49+1))))</f>
        <v>0.438</v>
      </c>
      <c r="AU78" s="395"/>
      <c r="AV78" s="395"/>
      <c r="AW78" s="395"/>
      <c r="AX78" s="395"/>
      <c r="AY78" s="395"/>
      <c r="AZ78" s="31"/>
      <c r="BA78" s="31"/>
      <c r="BB78" s="344" t="s">
        <v>84</v>
      </c>
      <c r="BC78" s="345">
        <v>1.38</v>
      </c>
      <c r="BD78" s="343"/>
      <c r="BE78" s="209"/>
      <c r="BF78" s="346"/>
      <c r="BG78" s="9"/>
      <c r="BH78" s="9"/>
      <c r="BI78" s="9"/>
      <c r="BJ78" s="9"/>
      <c r="BK78" s="9"/>
      <c r="BL78" s="9"/>
      <c r="BM78" s="9"/>
      <c r="BN78" s="9"/>
      <c r="BO78" s="9"/>
      <c r="BP78" s="9"/>
      <c r="BQ78" s="9"/>
      <c r="BR78" s="9"/>
      <c r="BS78" s="9"/>
      <c r="BT78" s="9"/>
      <c r="BU78" s="9"/>
      <c r="BV78" s="9"/>
    </row>
    <row r="79" spans="1:74" ht="12.75">
      <c r="A79" s="79"/>
      <c r="B79" s="10"/>
      <c r="C79" s="63" t="s">
        <v>470</v>
      </c>
      <c r="D79" s="55"/>
      <c r="E79" s="55"/>
      <c r="F79" s="10"/>
      <c r="G79" s="10"/>
      <c r="H79" s="10"/>
      <c r="I79" s="47"/>
      <c r="J79" s="45"/>
      <c r="K79" s="46"/>
      <c r="L79" s="45"/>
      <c r="O79" s="487">
        <v>2.8</v>
      </c>
      <c r="P79" s="478">
        <v>0.235</v>
      </c>
      <c r="Q79" s="479">
        <v>0.297</v>
      </c>
      <c r="R79" s="480">
        <v>0.368</v>
      </c>
      <c r="S79" s="480">
        <v>0.447</v>
      </c>
      <c r="T79" s="480">
        <v>0.535</v>
      </c>
      <c r="U79" s="480">
        <v>0.632</v>
      </c>
      <c r="V79" s="480">
        <v>0.733</v>
      </c>
      <c r="W79" s="480">
        <v>0.837</v>
      </c>
      <c r="X79" s="480">
        <v>0.949</v>
      </c>
      <c r="Y79" s="480">
        <v>1.07</v>
      </c>
      <c r="Z79" s="480">
        <v>1.19</v>
      </c>
      <c r="AA79" s="480">
        <v>1.47</v>
      </c>
      <c r="AB79" s="481">
        <v>1.77</v>
      </c>
      <c r="AC79" s="320">
        <v>2.1</v>
      </c>
      <c r="AD79" s="480">
        <v>2.46</v>
      </c>
      <c r="AE79" s="482">
        <v>2.85</v>
      </c>
      <c r="AG79" s="487">
        <v>2.8</v>
      </c>
      <c r="AH79" s="513">
        <f ca="1">IF($AH$57=2,AE$58,IF($AH$57&gt;2,"ERROR",FORECAST($AH$57,OFFSET($O79,0,$AH$49):OFFSET($O79,0,$AH$49+1),OFFSET($O$57,0,$AH$49):OFFSET($O$57,0,$AH$49+1))))</f>
        <v>0.759</v>
      </c>
      <c r="AJ79" s="487">
        <v>2.8</v>
      </c>
      <c r="AK79" s="513">
        <f ca="1">IF($AK$57=2,$AE79,IF($AK$57&gt;2,"ERROR",FORECAST($AK$57,OFFSET($O79,0,$AK$49):OFFSET($O79,0,$AK$49+1),OFFSET($O$57,0,$AK$49):OFFSET($O$57,0,$AK$49+1))))</f>
        <v>0.5511666666666667</v>
      </c>
      <c r="AM79" s="487">
        <v>2.8</v>
      </c>
      <c r="AN79" s="513">
        <f ca="1">IF($AN$57=2,$AE79,IF($AN$57&gt;2,"ERROR",FORECAST($AN$57,OFFSET($O79,0,$AN$49):OFFSET($O79,0,$AN$49+1),OFFSET($O$57,0,$AN$49):OFFSET($O$57,0,$AN$49+1))))</f>
        <v>0.49728571428571433</v>
      </c>
      <c r="AP79" s="487">
        <v>2.8</v>
      </c>
      <c r="AQ79" s="513">
        <f ca="1">IF($AQ$57=2,$AE79,IF($AQ$57&gt;2,"ERROR",FORECAST($AQ$57,OFFSET($O79,0,$AQ$49):OFFSET($O79,0,$AQ$49+1),OFFSET($O$57,0,$AQ$49):OFFSET($O$57,0,$AQ$49+1))))</f>
        <v>0.4294444444444444</v>
      </c>
      <c r="AS79" s="487">
        <v>2.8</v>
      </c>
      <c r="AT79" s="513">
        <f ca="1">IF($AT$57=2,$AE79,IF($AT$57&gt;2,"ERROR",FORECAST($AT$57,OFFSET($O79,0,$AT$49):OFFSET($O79,0,$AT$49+1),OFFSET($O$57,0,$AT$49):OFFSET($O$57,0,$AT$49+1))))</f>
        <v>0.4075</v>
      </c>
      <c r="AU79" s="43"/>
      <c r="AV79" s="43"/>
      <c r="AW79" s="43"/>
      <c r="AX79" s="43"/>
      <c r="AY79" s="43"/>
      <c r="AZ79" s="31"/>
      <c r="BA79" s="29"/>
      <c r="BB79" s="344" t="s">
        <v>83</v>
      </c>
      <c r="BC79" s="345">
        <v>1.26</v>
      </c>
      <c r="BD79" s="343"/>
      <c r="BE79" s="209"/>
      <c r="BF79" s="343"/>
      <c r="BG79" s="9"/>
      <c r="BH79" s="9"/>
      <c r="BI79" s="9"/>
      <c r="BJ79" s="9"/>
      <c r="BK79" s="9"/>
      <c r="BL79" s="9"/>
      <c r="BM79" s="9"/>
      <c r="BN79" s="9"/>
      <c r="BO79" s="9"/>
      <c r="BP79" s="9"/>
      <c r="BQ79" s="9"/>
      <c r="BR79" s="9"/>
      <c r="BS79" s="9"/>
      <c r="BT79" s="9"/>
      <c r="BU79" s="9"/>
      <c r="BV79" s="9"/>
    </row>
    <row r="80" spans="1:74" ht="12.75">
      <c r="A80" s="19"/>
      <c r="B80" s="10"/>
      <c r="C80" s="63" t="s">
        <v>402</v>
      </c>
      <c r="D80" s="55"/>
      <c r="E80" s="45"/>
      <c r="F80" s="10"/>
      <c r="G80" s="10"/>
      <c r="H80" s="45"/>
      <c r="I80" s="47"/>
      <c r="J80" s="55"/>
      <c r="K80" s="54"/>
      <c r="L80" s="55"/>
      <c r="O80" s="498">
        <v>3</v>
      </c>
      <c r="P80" s="499">
        <v>0.219</v>
      </c>
      <c r="Q80" s="500">
        <v>0.277</v>
      </c>
      <c r="R80" s="501">
        <v>0.343</v>
      </c>
      <c r="S80" s="501">
        <v>0.417</v>
      </c>
      <c r="T80" s="322">
        <v>0.5</v>
      </c>
      <c r="U80" s="501">
        <v>0.591</v>
      </c>
      <c r="V80" s="501">
        <v>0.685</v>
      </c>
      <c r="W80" s="501">
        <v>0.784</v>
      </c>
      <c r="X80" s="501">
        <v>0.888</v>
      </c>
      <c r="Y80" s="501">
        <v>0.999</v>
      </c>
      <c r="Z80" s="501">
        <v>1.12</v>
      </c>
      <c r="AA80" s="501">
        <v>1.37</v>
      </c>
      <c r="AB80" s="502">
        <v>1.65</v>
      </c>
      <c r="AC80" s="501">
        <v>1.97</v>
      </c>
      <c r="AD80" s="501">
        <v>2.31</v>
      </c>
      <c r="AE80" s="503">
        <v>2.67</v>
      </c>
      <c r="AG80" s="498">
        <v>3</v>
      </c>
      <c r="AH80" s="540">
        <f ca="1">IF($AH$57=2,AE$58,IF($AH$57&gt;2,"ERROR",FORECAST($AH$57,OFFSET($O80,0,$AH$49):OFFSET($O80,0,$AH$49+1),OFFSET($O$57,0,$AH$49):OFFSET($O$57,0,$AH$49+1))))</f>
        <v>0.7097500000000001</v>
      </c>
      <c r="AJ80" s="498">
        <v>3</v>
      </c>
      <c r="AK80" s="540">
        <f ca="1">IF($AK$57=2,$AE80,IF($AK$57&gt;2,"ERROR",FORECAST($AK$57,OFFSET($O80,0,$AK$49):OFFSET($O80,0,$AK$49+1),OFFSET($O$57,0,$AK$49):OFFSET($O$57,0,$AK$49+1))))</f>
        <v>0.5151666666666667</v>
      </c>
      <c r="AM80" s="498">
        <v>3</v>
      </c>
      <c r="AN80" s="540">
        <f ca="1">IF($AN$57=2,$AE80,IF($AN$57&gt;2,"ERROR",FORECAST($AN$57,OFFSET($O80,0,$AN$49):OFFSET($O80,0,$AN$49+1),OFFSET($O$57,0,$AN$49):OFFSET($O$57,0,$AN$49+1))))</f>
        <v>0.4644285714285715</v>
      </c>
      <c r="AP80" s="498">
        <v>3</v>
      </c>
      <c r="AQ80" s="540">
        <f ca="1">IF($AQ$57=2,$AE80,IF($AQ$57&gt;2,"ERROR",FORECAST($AQ$57,OFFSET($O80,0,$AQ$49):OFFSET($O80,0,$AQ$49+1),OFFSET($O$57,0,$AQ$49):OFFSET($O$57,0,$AQ$49+1))))</f>
        <v>0.40055555555555555</v>
      </c>
      <c r="AS80" s="498">
        <v>3</v>
      </c>
      <c r="AT80" s="540">
        <f ca="1">IF($AT$57=2,$AE80,IF($AT$57&gt;2,"ERROR",FORECAST($AT$57,OFFSET($O80,0,$AT$49):OFFSET($O80,0,$AT$49+1),OFFSET($O$57,0,$AT$49):OFFSET($O$57,0,$AT$49+1))))</f>
        <v>0.38</v>
      </c>
      <c r="AU80" s="43"/>
      <c r="AV80" s="43"/>
      <c r="AW80" s="43"/>
      <c r="AX80" s="43"/>
      <c r="AY80" s="43"/>
      <c r="BA80" s="31"/>
      <c r="BB80" s="344" t="s">
        <v>82</v>
      </c>
      <c r="BC80" s="345">
        <v>1.16</v>
      </c>
      <c r="BD80" s="343"/>
      <c r="BE80" s="209"/>
      <c r="BF80" s="343"/>
      <c r="BG80" s="9"/>
      <c r="BH80" s="9"/>
      <c r="BI80" s="9"/>
      <c r="BJ80" s="9"/>
      <c r="BK80" s="9"/>
      <c r="BL80" s="9"/>
      <c r="BM80" s="9"/>
      <c r="BN80" s="9"/>
      <c r="BO80" s="9"/>
      <c r="BP80" s="9"/>
      <c r="BQ80" s="9"/>
      <c r="BR80" s="9"/>
      <c r="BS80" s="9"/>
      <c r="BT80" s="9"/>
      <c r="BU80" s="9"/>
      <c r="BV80" s="9"/>
    </row>
    <row r="81" spans="1:74" ht="12.75">
      <c r="A81" s="19"/>
      <c r="B81" s="10"/>
      <c r="C81" s="63" t="s">
        <v>382</v>
      </c>
      <c r="D81" s="55"/>
      <c r="E81" s="55"/>
      <c r="F81" s="10"/>
      <c r="G81" s="10"/>
      <c r="H81" s="56"/>
      <c r="I81" s="55"/>
      <c r="J81" s="10"/>
      <c r="K81" s="14"/>
      <c r="L81" s="55"/>
      <c r="O81" s="504" t="s">
        <v>526</v>
      </c>
      <c r="P81" s="505">
        <v>0</v>
      </c>
      <c r="Q81" s="325">
        <v>0.008</v>
      </c>
      <c r="R81" s="322">
        <v>0.029</v>
      </c>
      <c r="S81" s="322">
        <v>0.056</v>
      </c>
      <c r="T81" s="322">
        <v>0.089</v>
      </c>
      <c r="U81" s="322">
        <v>0.125</v>
      </c>
      <c r="V81" s="322">
        <v>0.164</v>
      </c>
      <c r="W81" s="322">
        <v>0.204</v>
      </c>
      <c r="X81" s="322">
        <v>0.246</v>
      </c>
      <c r="Y81" s="322">
        <v>0.289</v>
      </c>
      <c r="Z81" s="322">
        <v>0.333</v>
      </c>
      <c r="AA81" s="322">
        <v>0.424</v>
      </c>
      <c r="AB81" s="506">
        <v>0.516</v>
      </c>
      <c r="AC81" s="322">
        <v>0.61</v>
      </c>
      <c r="AD81" s="322">
        <v>0.704</v>
      </c>
      <c r="AE81" s="323">
        <v>0.8</v>
      </c>
      <c r="AG81" s="504" t="s">
        <v>526</v>
      </c>
      <c r="AH81" s="541">
        <f ca="1">IF($AH$57=2,AE$58,IF($AH$57&gt;2,"ERROR",FORECAST($AH$57,OFFSET($O81,0,$AH$49):OFFSET($O81,0,$AH$49+1),OFFSET($O$57,0,$AH$49):OFFSET($O$57,0,$AH$49+1))))</f>
        <v>0.17400000000000002</v>
      </c>
      <c r="AJ81" s="504" t="s">
        <v>526</v>
      </c>
      <c r="AK81" s="541">
        <f ca="1">IF($AK$57=2,$AE81,IF($AK$57&gt;2,"ERROR",FORECAST($AK$57,OFFSET($O81,0,$AK$49):OFFSET($O81,0,$AK$49+1),OFFSET($O$57,0,$AK$49):OFFSET($O$57,0,$AK$49+1))))</f>
        <v>0.09500000000000001</v>
      </c>
      <c r="AM81" s="504" t="s">
        <v>526</v>
      </c>
      <c r="AN81" s="541">
        <f ca="1">IF($AN$57=2,$AE81,IF($AN$57&gt;2,"ERROR",FORECAST($AN$57,OFFSET($O81,0,$AN$49):OFFSET($O81,0,$AN$49+1),OFFSET($O$57,0,$AN$49):OFFSET($O$57,0,$AN$49+1))))</f>
        <v>0.07485714285714286</v>
      </c>
      <c r="AP81" s="504" t="s">
        <v>526</v>
      </c>
      <c r="AQ81" s="541">
        <f ca="1">IF($AQ$57=2,$AE81,IF($AQ$57&gt;2,"ERROR",FORECAST($AQ$57,OFFSET($O81,0,$AQ$49):OFFSET($O81,0,$AQ$49+1),OFFSET($O$57,0,$AQ$49):OFFSET($O$57,0,$AQ$49+1))))</f>
        <v>0.05000000000000001</v>
      </c>
      <c r="AS81" s="504" t="s">
        <v>526</v>
      </c>
      <c r="AT81" s="541">
        <f ca="1">IF($AT$57=2,$AE81,IF($AT$57&gt;2,"ERROR",FORECAST($AT$57,OFFSET($O81,0,$AT$49):OFFSET($O81,0,$AT$49+1),OFFSET($O$57,0,$AT$49):OFFSET($O$57,0,$AT$49+1))))</f>
        <v>0.0425</v>
      </c>
      <c r="AU81" s="61"/>
      <c r="AV81" s="61"/>
      <c r="AW81" s="61"/>
      <c r="AX81" s="61"/>
      <c r="AY81" s="61"/>
      <c r="AZ81" s="31"/>
      <c r="BA81" s="31"/>
      <c r="BB81" s="344" t="s">
        <v>81</v>
      </c>
      <c r="BC81" s="345">
        <v>1.04</v>
      </c>
      <c r="BD81" s="343"/>
      <c r="BE81" s="209"/>
      <c r="BF81" s="343"/>
      <c r="BG81" s="9"/>
      <c r="BH81" s="9"/>
      <c r="BI81" s="9"/>
      <c r="BJ81" s="9"/>
      <c r="BK81" s="9"/>
      <c r="BL81" s="9"/>
      <c r="BM81" s="9"/>
      <c r="BN81" s="9"/>
      <c r="BO81" s="9"/>
      <c r="BP81" s="9"/>
      <c r="BQ81" s="9"/>
      <c r="BR81" s="9"/>
      <c r="BS81" s="9"/>
      <c r="BT81" s="9"/>
      <c r="BU81" s="9"/>
      <c r="BV81" s="9"/>
    </row>
    <row r="82" spans="1:74" ht="12.75">
      <c r="A82" s="19"/>
      <c r="B82" s="10"/>
      <c r="C82" s="52" t="s">
        <v>829</v>
      </c>
      <c r="D82" s="55"/>
      <c r="E82" s="45"/>
      <c r="F82" s="10"/>
      <c r="G82" s="45"/>
      <c r="H82" s="55"/>
      <c r="I82" s="235"/>
      <c r="J82" s="55"/>
      <c r="K82" s="54"/>
      <c r="L82" s="55"/>
      <c r="U82" s="29"/>
      <c r="V82" s="29"/>
      <c r="AU82" s="61"/>
      <c r="AV82" s="61"/>
      <c r="AW82" s="61"/>
      <c r="AX82" s="61"/>
      <c r="AY82" s="61"/>
      <c r="AZ82" s="31"/>
      <c r="BA82" s="31"/>
      <c r="BB82" s="344" t="s">
        <v>80</v>
      </c>
      <c r="BC82" s="345">
        <v>0.96</v>
      </c>
      <c r="BD82" s="343"/>
      <c r="BE82" s="209"/>
      <c r="BF82" s="343"/>
      <c r="BG82" s="9"/>
      <c r="BH82" s="9"/>
      <c r="BI82" s="9"/>
      <c r="BJ82" s="9"/>
      <c r="BK82" s="9"/>
      <c r="BL82" s="9"/>
      <c r="BM82" s="9"/>
      <c r="BN82" s="9"/>
      <c r="BO82" s="9"/>
      <c r="BP82" s="9"/>
      <c r="BQ82" s="9"/>
      <c r="BR82" s="9"/>
      <c r="BS82" s="9"/>
      <c r="BT82" s="9"/>
      <c r="BU82" s="9"/>
      <c r="BV82" s="9"/>
    </row>
    <row r="83" spans="1:74" ht="12.75">
      <c r="A83" s="19"/>
      <c r="B83" s="10"/>
      <c r="C83" s="45" t="s">
        <v>826</v>
      </c>
      <c r="D83" s="52"/>
      <c r="E83" s="10"/>
      <c r="F83" s="10"/>
      <c r="G83" s="55"/>
      <c r="H83" s="55"/>
      <c r="I83" s="236"/>
      <c r="J83" s="10"/>
      <c r="K83" s="14"/>
      <c r="L83" s="45"/>
      <c r="U83" s="29"/>
      <c r="V83" s="29"/>
      <c r="AG83" s="186" t="s">
        <v>18</v>
      </c>
      <c r="AH83" s="509">
        <f>$AH$57</f>
        <v>0.625</v>
      </c>
      <c r="AJ83" s="186" t="s">
        <v>18</v>
      </c>
      <c r="AK83" s="509">
        <f>$AK$57</f>
        <v>0.4166666666666667</v>
      </c>
      <c r="AM83" s="186" t="s">
        <v>18</v>
      </c>
      <c r="AN83" s="509">
        <f>$AN$57</f>
        <v>0.35714285714285715</v>
      </c>
      <c r="AP83" s="186" t="s">
        <v>18</v>
      </c>
      <c r="AQ83" s="509">
        <f>$AQ$57</f>
        <v>0.2777777777777778</v>
      </c>
      <c r="AS83" s="186" t="s">
        <v>18</v>
      </c>
      <c r="AT83" s="509">
        <f>$AT$57</f>
        <v>0.25</v>
      </c>
      <c r="BA83" s="38"/>
      <c r="BB83" s="344" t="s">
        <v>95</v>
      </c>
      <c r="BC83" s="345">
        <v>0.87</v>
      </c>
      <c r="BD83" s="343"/>
      <c r="BE83" s="209"/>
      <c r="BF83" s="343"/>
      <c r="BG83" s="9"/>
      <c r="BH83" s="9"/>
      <c r="BI83" s="9"/>
      <c r="BJ83" s="9"/>
      <c r="BK83" s="9"/>
      <c r="BL83" s="9"/>
      <c r="BM83" s="9"/>
      <c r="BN83" s="9"/>
      <c r="BO83" s="9"/>
      <c r="BP83" s="9"/>
      <c r="BQ83" s="9"/>
      <c r="BR83" s="9"/>
      <c r="BS83" s="9"/>
      <c r="BT83" s="9"/>
      <c r="BU83" s="9"/>
      <c r="BV83" s="9"/>
    </row>
    <row r="84" spans="1:74" ht="12.75">
      <c r="A84" s="19"/>
      <c r="B84" s="10"/>
      <c r="C84" s="9" t="s">
        <v>827</v>
      </c>
      <c r="D84" s="52"/>
      <c r="F84" s="10"/>
      <c r="G84" s="99"/>
      <c r="H84" s="55"/>
      <c r="I84" s="237"/>
      <c r="J84" s="55"/>
      <c r="K84" s="54"/>
      <c r="L84" s="55"/>
      <c r="U84" s="29"/>
      <c r="V84" s="29"/>
      <c r="AG84" s="511">
        <f>$P$17</f>
        <v>0.576</v>
      </c>
      <c r="AH84" s="511">
        <f ca="1">IF($AG$84&lt;=$O$80,IF($AH$57&gt;2,"ERROR",IF($AG$84&gt;3,"ERROR",FORECAST($AG$84,OFFSET($AH$57,$AH$53,0):OFFSET($AH$57,$AH$53+1,0),OFFSET($O$57,$AH$53,0):OFFSET($O$57,$AH$53+1,0)))),$AH$80)</f>
        <v>3.028100000000001</v>
      </c>
      <c r="AJ84" s="511">
        <f>$Q$17</f>
        <v>0.40499999999999997</v>
      </c>
      <c r="AK84" s="511">
        <f ca="1">IF($AJ$84&lt;=$O$80,IF($AK$57&gt;2,"ERROR",IF($AJ$84&gt;3,"ERROR",FORECAST($AJ$84,OFFSET($AK$57,$AK$53,0):OFFSET($AK$57,$AK$53+1,0),OFFSET($O$57,$AK$53,0):OFFSET($O$57,$AK$53+1,0)))),$AK$80)</f>
        <v>2.8888333333333325</v>
      </c>
      <c r="AM84" s="511">
        <f>$R$17</f>
        <v>0.3537142857142857</v>
      </c>
      <c r="AN84" s="511">
        <f ca="1">IF($AM$84&lt;=$O$80,IF($AN$57&gt;2,"ERROR",IF($AM$84&gt;3,"ERROR",FORECAST($AM$84,OFFSET($AN$57,$AN$53,0):OFFSET($AN$57,$AN$53+1,0),OFFSET($O$57,$AN$53,0):OFFSET($O$57,$AN$53+1,0)))),$AN$80)</f>
        <v>2.8434530612244897</v>
      </c>
      <c r="AP84" s="511">
        <f>$T$17</f>
        <v>0.2833333333333333</v>
      </c>
      <c r="AQ84" s="511">
        <f ca="1">IF($AP$84&lt;=$O$80,IF($AQ$57&gt;2,"ERROR",IF($AP$84&gt;3,"ERROR",FORECAST($AO$84,OFFSET($AQ$57,$AQ$53,0):OFFSET($AQ$57,$AQ$53+1,0),OFFSET($O$57,$AQ$53,0):OFFSET($O$57,$AQ$53+1,0)))),$AQ$80)</f>
        <v>3.687777777777779</v>
      </c>
      <c r="AS84" s="511">
        <f>$U$17</f>
        <v>0.2575</v>
      </c>
      <c r="AT84" s="511">
        <f ca="1">IF($AS$84&lt;=$O$80,IF($AT$57&gt;2,"ERROR",IF($AS$84&gt;3,"ERROR",FORECAST($AS$84,OFFSET($AT$57,$AT$53,0):OFFSET($AT$57,$AT$53+1,0),OFFSET($O$57,$AT$53,0):OFFSET($O$57,$AT$53+1,0)))),$AT$80)</f>
        <v>2.7110000000000003</v>
      </c>
      <c r="BA84" s="31"/>
      <c r="BB84" s="344" t="s">
        <v>94</v>
      </c>
      <c r="BC84" s="345">
        <v>0.83</v>
      </c>
      <c r="BD84" s="343"/>
      <c r="BE84" s="209"/>
      <c r="BF84" s="343"/>
      <c r="BG84" s="9"/>
      <c r="BH84" s="9"/>
      <c r="BI84" s="9"/>
      <c r="BJ84" s="9"/>
      <c r="BK84" s="9"/>
      <c r="BL84" s="9"/>
      <c r="BM84" s="9"/>
      <c r="BN84" s="9"/>
      <c r="BO84" s="9"/>
      <c r="BP84" s="9"/>
      <c r="BQ84" s="9"/>
      <c r="BR84" s="9"/>
      <c r="BS84" s="9"/>
      <c r="BT84" s="9"/>
      <c r="BU84" s="9"/>
      <c r="BV84" s="9"/>
    </row>
    <row r="85" spans="1:74" ht="12.75">
      <c r="A85" s="19"/>
      <c r="C85" s="9" t="s">
        <v>828</v>
      </c>
      <c r="F85" s="45"/>
      <c r="G85" s="55"/>
      <c r="H85" s="76"/>
      <c r="I85" s="7"/>
      <c r="J85" s="45"/>
      <c r="K85" s="46"/>
      <c r="L85" s="45"/>
      <c r="U85" s="29"/>
      <c r="V85" s="29"/>
      <c r="BB85" s="344" t="s">
        <v>231</v>
      </c>
      <c r="BC85" s="345">
        <v>0.775</v>
      </c>
      <c r="BD85" s="343"/>
      <c r="BE85" s="209"/>
      <c r="BF85" s="343"/>
      <c r="BG85" s="9"/>
      <c r="BH85" s="9"/>
      <c r="BI85" s="9"/>
      <c r="BJ85" s="9"/>
      <c r="BK85" s="9"/>
      <c r="BL85" s="9"/>
      <c r="BM85" s="9"/>
      <c r="BN85" s="9"/>
      <c r="BO85" s="9"/>
      <c r="BP85" s="9"/>
      <c r="BQ85" s="9"/>
      <c r="BR85" s="9"/>
      <c r="BS85" s="9"/>
      <c r="BT85" s="9"/>
      <c r="BU85" s="9"/>
      <c r="BV85" s="9"/>
    </row>
    <row r="86" spans="1:74" ht="12.75">
      <c r="A86" s="19"/>
      <c r="B86" s="10"/>
      <c r="C86" s="566"/>
      <c r="D86" s="52"/>
      <c r="E86" s="55"/>
      <c r="F86" s="55"/>
      <c r="G86" s="55"/>
      <c r="H86" s="10"/>
      <c r="I86" s="10"/>
      <c r="J86" s="55"/>
      <c r="K86" s="54"/>
      <c r="L86" s="45"/>
      <c r="U86" s="29"/>
      <c r="V86" s="29"/>
      <c r="BA86" s="31"/>
      <c r="BB86" s="344" t="s">
        <v>230</v>
      </c>
      <c r="BC86" s="345">
        <v>0.715</v>
      </c>
      <c r="BD86" s="343"/>
      <c r="BE86" s="209"/>
      <c r="BF86" s="343"/>
      <c r="BG86" s="9"/>
      <c r="BH86" s="9"/>
      <c r="BI86" s="9"/>
      <c r="BJ86" s="9"/>
      <c r="BK86" s="9"/>
      <c r="BL86" s="9"/>
      <c r="BM86" s="9"/>
      <c r="BN86" s="9"/>
      <c r="BO86" s="9"/>
      <c r="BP86" s="9"/>
      <c r="BQ86" s="9"/>
      <c r="BR86" s="9"/>
      <c r="BS86" s="9"/>
      <c r="BT86" s="9"/>
      <c r="BU86" s="9"/>
      <c r="BV86" s="9"/>
    </row>
    <row r="87" spans="1:74" ht="12.75">
      <c r="A87" s="19"/>
      <c r="G87" s="10"/>
      <c r="H87" s="10"/>
      <c r="I87" s="10"/>
      <c r="J87" s="10"/>
      <c r="K87" s="14"/>
      <c r="L87" s="45"/>
      <c r="U87" s="29"/>
      <c r="V87" s="29"/>
      <c r="AH87" s="247" t="s">
        <v>1156</v>
      </c>
      <c r="AK87" s="247" t="s">
        <v>1161</v>
      </c>
      <c r="AN87" s="247" t="s">
        <v>1162</v>
      </c>
      <c r="AQ87" s="247" t="s">
        <v>1163</v>
      </c>
      <c r="AT87" s="247" t="s">
        <v>1164</v>
      </c>
      <c r="BA87" s="31"/>
      <c r="BB87" s="344" t="s">
        <v>408</v>
      </c>
      <c r="BC87" s="345">
        <v>0.67</v>
      </c>
      <c r="BD87" s="343"/>
      <c r="BE87" s="209"/>
      <c r="BF87" s="343"/>
      <c r="BG87" s="9"/>
      <c r="BH87" s="9"/>
      <c r="BI87" s="9"/>
      <c r="BJ87" s="9"/>
      <c r="BK87" s="9"/>
      <c r="BL87" s="9"/>
      <c r="BM87" s="9"/>
      <c r="BN87" s="9"/>
      <c r="BO87" s="9"/>
      <c r="BP87" s="9"/>
      <c r="BQ87" s="9"/>
      <c r="BR87" s="9"/>
      <c r="BS87" s="9"/>
      <c r="BT87" s="9"/>
      <c r="BU87" s="9"/>
      <c r="BV87" s="9"/>
    </row>
    <row r="88" spans="1:74" ht="12.75">
      <c r="A88" s="19"/>
      <c r="B88" s="52" t="s">
        <v>821</v>
      </c>
      <c r="C88" s="55"/>
      <c r="D88" s="10"/>
      <c r="E88" s="10"/>
      <c r="F88" s="10"/>
      <c r="G88" s="10"/>
      <c r="H88" s="10"/>
      <c r="I88" s="10"/>
      <c r="J88" s="10"/>
      <c r="K88" s="14"/>
      <c r="L88" s="45"/>
      <c r="U88" s="29"/>
      <c r="V88" s="29"/>
      <c r="AH88" s="460" t="s">
        <v>521</v>
      </c>
      <c r="AK88" s="460" t="s">
        <v>521</v>
      </c>
      <c r="AN88" s="460" t="s">
        <v>521</v>
      </c>
      <c r="AQ88" s="460" t="s">
        <v>521</v>
      </c>
      <c r="AT88" s="460" t="s">
        <v>521</v>
      </c>
      <c r="BA88" s="31"/>
      <c r="BB88" s="344" t="s">
        <v>350</v>
      </c>
      <c r="BC88" s="345">
        <v>0.635</v>
      </c>
      <c r="BD88" s="343"/>
      <c r="BE88" s="209"/>
      <c r="BF88" s="343"/>
      <c r="BG88" s="9"/>
      <c r="BH88" s="9"/>
      <c r="BI88" s="9"/>
      <c r="BJ88" s="9"/>
      <c r="BK88" s="9"/>
      <c r="BL88" s="9"/>
      <c r="BM88" s="9"/>
      <c r="BN88" s="9"/>
      <c r="BO88" s="9"/>
      <c r="BP88" s="9"/>
      <c r="BQ88" s="9"/>
      <c r="BR88" s="9"/>
      <c r="BS88" s="9"/>
      <c r="BT88" s="9"/>
      <c r="BU88" s="9"/>
      <c r="BV88" s="9"/>
    </row>
    <row r="89" spans="1:70" ht="12.75">
      <c r="A89" s="19"/>
      <c r="B89" s="55"/>
      <c r="C89" s="52" t="s">
        <v>603</v>
      </c>
      <c r="D89" s="10"/>
      <c r="E89" s="10"/>
      <c r="F89" s="10"/>
      <c r="G89" s="10"/>
      <c r="H89" s="10"/>
      <c r="I89" s="10"/>
      <c r="J89" s="10"/>
      <c r="K89" s="14"/>
      <c r="L89" s="45"/>
      <c r="U89" s="29"/>
      <c r="V89" s="29"/>
      <c r="AH89" s="460" t="s">
        <v>522</v>
      </c>
      <c r="AK89" s="460" t="s">
        <v>522</v>
      </c>
      <c r="AN89" s="460" t="s">
        <v>522</v>
      </c>
      <c r="AQ89" s="460" t="s">
        <v>522</v>
      </c>
      <c r="AT89" s="460" t="s">
        <v>522</v>
      </c>
      <c r="BA89" s="31"/>
      <c r="BB89" s="344" t="s">
        <v>349</v>
      </c>
      <c r="BC89" s="345">
        <v>0.605</v>
      </c>
      <c r="BD89" s="343"/>
      <c r="BE89" s="209"/>
      <c r="BF89" s="343"/>
      <c r="BR89" s="9"/>
    </row>
    <row r="90" spans="1:70" ht="12.75">
      <c r="A90" s="19"/>
      <c r="B90" s="55"/>
      <c r="C90" s="459" t="s">
        <v>599</v>
      </c>
      <c r="D90" s="10"/>
      <c r="E90" s="10"/>
      <c r="F90" s="10"/>
      <c r="G90" s="10"/>
      <c r="H90" s="10"/>
      <c r="I90" s="10"/>
      <c r="J90" s="10"/>
      <c r="K90" s="14"/>
      <c r="L90" s="45"/>
      <c r="U90" s="29"/>
      <c r="V90" s="29"/>
      <c r="AH90" s="461">
        <f>IF($AH$98&lt;0.1,1,MATCH($AH$98,$P$57:$AE$57))</f>
        <v>3</v>
      </c>
      <c r="AK90" s="461">
        <f>IF($AK$98&lt;0.1,1,MATCH($AK$98,$P$57:$AE$57))</f>
        <v>2</v>
      </c>
      <c r="AN90" s="461">
        <f>IF($AN$98&lt;0.1,1,MATCH($AN$98,$P$57:$AE$57))</f>
        <v>2</v>
      </c>
      <c r="AQ90" s="461">
        <f>IF($AQ$98&lt;0.1,1,MATCH($AQ$98,$P$57:$AE$57))</f>
        <v>2</v>
      </c>
      <c r="AT90" s="461">
        <f>IF($AT$98&lt;0.1,1,MATCH($AT$98,$P$57:$AE$57))</f>
        <v>2</v>
      </c>
      <c r="BA90" s="31"/>
      <c r="BB90" s="344" t="s">
        <v>348</v>
      </c>
      <c r="BC90" s="345">
        <v>0.58</v>
      </c>
      <c r="BD90" s="343"/>
      <c r="BE90" s="209"/>
      <c r="BF90" s="343"/>
      <c r="BR90" s="9"/>
    </row>
    <row r="91" spans="1:70" ht="12.75">
      <c r="A91" s="19"/>
      <c r="F91" s="10"/>
      <c r="G91" s="10"/>
      <c r="H91" s="10"/>
      <c r="I91" s="10"/>
      <c r="J91" s="10"/>
      <c r="K91" s="14"/>
      <c r="L91" s="45"/>
      <c r="U91" s="29"/>
      <c r="V91" s="29"/>
      <c r="AH91" s="462"/>
      <c r="AK91" s="462"/>
      <c r="AN91" s="462"/>
      <c r="AQ91" s="462"/>
      <c r="AT91" s="462"/>
      <c r="BA91" s="31"/>
      <c r="BB91" s="344" t="s">
        <v>283</v>
      </c>
      <c r="BC91" s="345">
        <v>0.55</v>
      </c>
      <c r="BD91" s="343"/>
      <c r="BE91" s="209"/>
      <c r="BF91" s="343"/>
      <c r="BR91" s="9"/>
    </row>
    <row r="92" spans="1:70" ht="12.75">
      <c r="A92" s="19"/>
      <c r="B92" s="45" t="s">
        <v>822</v>
      </c>
      <c r="C92" s="55"/>
      <c r="D92" s="10"/>
      <c r="E92" s="10"/>
      <c r="F92" s="10"/>
      <c r="G92" s="10"/>
      <c r="H92" s="10"/>
      <c r="I92" s="10"/>
      <c r="J92" s="10"/>
      <c r="K92" s="14"/>
      <c r="L92" s="45"/>
      <c r="U92" s="29"/>
      <c r="V92" s="29"/>
      <c r="AH92" s="460" t="s">
        <v>523</v>
      </c>
      <c r="AK92" s="460" t="s">
        <v>523</v>
      </c>
      <c r="AN92" s="460" t="s">
        <v>523</v>
      </c>
      <c r="AQ92" s="460" t="s">
        <v>523</v>
      </c>
      <c r="AT92" s="460" t="s">
        <v>523</v>
      </c>
      <c r="AU92" s="39"/>
      <c r="AV92" s="39"/>
      <c r="AW92" s="39"/>
      <c r="AX92" s="39"/>
      <c r="AY92" s="39"/>
      <c r="AZ92" s="38"/>
      <c r="BA92" s="31"/>
      <c r="BB92" s="344" t="s">
        <v>282</v>
      </c>
      <c r="BC92" s="345">
        <v>1.97</v>
      </c>
      <c r="BD92" s="343"/>
      <c r="BE92" s="209"/>
      <c r="BF92" s="343"/>
      <c r="BR92" s="9"/>
    </row>
    <row r="93" spans="1:70" ht="12.75">
      <c r="A93" s="19"/>
      <c r="B93" s="55"/>
      <c r="C93" s="63" t="s">
        <v>604</v>
      </c>
      <c r="D93" s="10"/>
      <c r="E93" s="10"/>
      <c r="F93" s="10"/>
      <c r="G93" s="10"/>
      <c r="H93" s="10"/>
      <c r="I93" s="10"/>
      <c r="J93" s="10"/>
      <c r="K93" s="14"/>
      <c r="L93" s="45"/>
      <c r="U93" s="29"/>
      <c r="V93" s="29"/>
      <c r="AH93" s="460" t="s">
        <v>524</v>
      </c>
      <c r="AK93" s="460" t="s">
        <v>524</v>
      </c>
      <c r="AN93" s="460" t="s">
        <v>524</v>
      </c>
      <c r="AQ93" s="460" t="s">
        <v>524</v>
      </c>
      <c r="AT93" s="460" t="s">
        <v>524</v>
      </c>
      <c r="AU93" s="39"/>
      <c r="AV93" s="39"/>
      <c r="AW93" s="39"/>
      <c r="AX93" s="39"/>
      <c r="AY93" s="39"/>
      <c r="AZ93" s="38"/>
      <c r="BB93" s="344" t="s">
        <v>281</v>
      </c>
      <c r="BC93" s="345">
        <v>1.79</v>
      </c>
      <c r="BD93" s="343"/>
      <c r="BE93" s="209"/>
      <c r="BF93" s="343"/>
      <c r="BR93" s="9"/>
    </row>
    <row r="94" spans="1:70" ht="12.75">
      <c r="A94" s="19"/>
      <c r="B94" s="55"/>
      <c r="C94" s="455" t="s">
        <v>600</v>
      </c>
      <c r="D94" s="10"/>
      <c r="E94" s="10"/>
      <c r="F94" s="10"/>
      <c r="G94" s="10"/>
      <c r="H94" s="10"/>
      <c r="I94" s="10"/>
      <c r="J94" s="45"/>
      <c r="K94" s="46"/>
      <c r="L94" s="45"/>
      <c r="U94" s="29"/>
      <c r="V94" s="29"/>
      <c r="AH94" s="461">
        <f>MATCH($W$17,$O$58:$O$80)</f>
        <v>4</v>
      </c>
      <c r="AK94" s="461">
        <f>MATCH($Z$17,$O$58:$O$80)</f>
        <v>3</v>
      </c>
      <c r="AN94" s="461">
        <f>MATCH($AB$17,$O$58:$O$80)</f>
        <v>3</v>
      </c>
      <c r="AQ94" s="461">
        <f>MATCH($AC$17,$O$58:$O$80)</f>
        <v>3</v>
      </c>
      <c r="AT94" s="461">
        <f>MATCH($AF$17,$O$58:$O$80)</f>
        <v>2</v>
      </c>
      <c r="AU94" s="39"/>
      <c r="AV94" s="39"/>
      <c r="AW94" s="39"/>
      <c r="AX94" s="39"/>
      <c r="AY94" s="39"/>
      <c r="AZ94" s="38"/>
      <c r="BA94" s="9"/>
      <c r="BB94" s="344" t="s">
        <v>280</v>
      </c>
      <c r="BC94" s="345">
        <v>1.63</v>
      </c>
      <c r="BD94" s="343"/>
      <c r="BE94" s="209"/>
      <c r="BF94" s="346"/>
      <c r="BR94" s="9"/>
    </row>
    <row r="95" spans="1:70" ht="12.75">
      <c r="A95" s="19"/>
      <c r="B95" s="55"/>
      <c r="E95" s="10"/>
      <c r="F95" s="10"/>
      <c r="G95" s="10"/>
      <c r="H95" s="10"/>
      <c r="I95" s="10"/>
      <c r="J95" s="45"/>
      <c r="K95" s="46"/>
      <c r="L95" s="45"/>
      <c r="U95" s="29"/>
      <c r="V95" s="29"/>
      <c r="AU95" s="41"/>
      <c r="AV95" s="41"/>
      <c r="AW95" s="41"/>
      <c r="AX95" s="41"/>
      <c r="AY95" s="41"/>
      <c r="AZ95" s="38"/>
      <c r="BA95" s="9"/>
      <c r="BB95" s="344" t="s">
        <v>459</v>
      </c>
      <c r="BC95" s="345">
        <v>1.5</v>
      </c>
      <c r="BD95" s="343"/>
      <c r="BE95" s="209"/>
      <c r="BF95" s="346"/>
      <c r="BR95" s="9"/>
    </row>
    <row r="96" spans="1:70" ht="12.75">
      <c r="A96" s="19"/>
      <c r="F96" s="10"/>
      <c r="G96" s="10"/>
      <c r="H96" s="10"/>
      <c r="I96" s="10"/>
      <c r="J96" s="45"/>
      <c r="K96" s="46"/>
      <c r="L96" s="45"/>
      <c r="U96" s="29"/>
      <c r="V96" s="29"/>
      <c r="BA96" s="9"/>
      <c r="BB96" s="344" t="s">
        <v>296</v>
      </c>
      <c r="BC96" s="345">
        <v>1.36</v>
      </c>
      <c r="BD96" s="343"/>
      <c r="BE96" s="209"/>
      <c r="BF96" s="343"/>
      <c r="BR96" s="9"/>
    </row>
    <row r="97" spans="1:70" ht="12.75">
      <c r="A97" s="567"/>
      <c r="B97" s="45"/>
      <c r="C97" s="55"/>
      <c r="D97" s="10"/>
      <c r="E97" s="10"/>
      <c r="F97" s="45"/>
      <c r="G97" s="10"/>
      <c r="H97" s="10"/>
      <c r="I97" s="10"/>
      <c r="J97" s="45"/>
      <c r="K97" s="46"/>
      <c r="L97" s="47"/>
      <c r="U97" s="29"/>
      <c r="V97" s="29"/>
      <c r="BA97" s="9"/>
      <c r="BB97" s="344" t="s">
        <v>295</v>
      </c>
      <c r="BC97" s="345">
        <v>1.24</v>
      </c>
      <c r="BD97" s="343"/>
      <c r="BE97" s="209"/>
      <c r="BF97" s="343"/>
      <c r="BR97" s="9"/>
    </row>
    <row r="98" spans="1:70" ht="12.75">
      <c r="A98" s="19"/>
      <c r="B98" s="55"/>
      <c r="C98" s="455"/>
      <c r="D98" s="63"/>
      <c r="E98" s="55"/>
      <c r="F98" s="45"/>
      <c r="G98" s="10"/>
      <c r="H98" s="10"/>
      <c r="I98" s="10"/>
      <c r="J98" s="45"/>
      <c r="K98" s="46"/>
      <c r="L98" s="47"/>
      <c r="U98" s="29"/>
      <c r="V98" s="29"/>
      <c r="AG98" s="543" t="s">
        <v>18</v>
      </c>
      <c r="AH98" s="470">
        <f>$W$18</f>
        <v>0.20833333333333334</v>
      </c>
      <c r="AJ98" s="543" t="s">
        <v>18</v>
      </c>
      <c r="AK98" s="470">
        <f>$Z$18</f>
        <v>0.17857142857142858</v>
      </c>
      <c r="AM98" s="543" t="s">
        <v>18</v>
      </c>
      <c r="AN98" s="470">
        <f>$AB$18</f>
        <v>0.15625</v>
      </c>
      <c r="AP98" s="543" t="s">
        <v>18</v>
      </c>
      <c r="AQ98" s="470">
        <f>$AC$18</f>
        <v>0.1388888888888889</v>
      </c>
      <c r="AS98" s="543" t="s">
        <v>18</v>
      </c>
      <c r="AT98" s="470">
        <f>$AF$18</f>
        <v>0.125</v>
      </c>
      <c r="BA98" s="9"/>
      <c r="BB98" s="344" t="s">
        <v>294</v>
      </c>
      <c r="BC98" s="345">
        <v>1.14</v>
      </c>
      <c r="BD98" s="343"/>
      <c r="BE98" s="209"/>
      <c r="BF98" s="343"/>
      <c r="BR98" s="9"/>
    </row>
    <row r="99" spans="1:70" ht="12.75">
      <c r="A99" s="19"/>
      <c r="B99" s="55"/>
      <c r="C99" s="455"/>
      <c r="D99" s="63"/>
      <c r="E99" s="55"/>
      <c r="F99" s="10"/>
      <c r="G99" s="10"/>
      <c r="H99" s="10"/>
      <c r="I99" s="45"/>
      <c r="J99" s="45"/>
      <c r="K99" s="46"/>
      <c r="L99" s="55"/>
      <c r="U99" s="29"/>
      <c r="V99" s="29"/>
      <c r="AG99" s="471">
        <v>0</v>
      </c>
      <c r="AH99" s="542">
        <f ca="1">IF($AH$98=2,$AE58,IF($AH$98&gt;2,"ERROR",FORECAST($AH$98,OFFSET($O58,0,$AH$90):OFFSET($O58,0,$AH$90+1),OFFSET($O$57,0,$AH$90):OFFSET($O$57,0,$AH$90+1))))</f>
        <v>2.6866666666666665</v>
      </c>
      <c r="AJ99" s="471">
        <v>0</v>
      </c>
      <c r="AK99" s="596">
        <f ca="1">IF($AK$98=2,$AE58,IF($AK$98&gt;2,"ERROR",FORECAST($AK$98,OFFSET($O58,0,$AK$90):OFFSET($O58,0,$AK$90+1),OFFSET($O$57,0,$AK$90):OFFSET($O$57,0,$AK$90+1))))</f>
        <v>2.5221428571428572</v>
      </c>
      <c r="AM99" s="471">
        <v>0</v>
      </c>
      <c r="AN99" s="596">
        <f ca="1">IF($AN$98=2,$AE58,IF($AN$98&gt;2,"ERROR",FORECAST($AN$98,OFFSET($O58,0,$AN$90):OFFSET($O58,0,$AN$90+1),OFFSET($O$57,0,$AN$90):OFFSET($O$57,0,$AN$90+1))))</f>
        <v>2.399375</v>
      </c>
      <c r="AP99" s="471">
        <v>0</v>
      </c>
      <c r="AQ99" s="596">
        <f ca="1">IF($AQ$98=2,$AE58,IF($AQ$98&gt;2,"ERROR",FORECAST($AQ$98,OFFSET($O58,0,$AQ$90):OFFSET($O58,0,$AQ$90+1),OFFSET($O$57,0,$AQ$90):OFFSET($O$57,0,$AQ$90+1))))</f>
        <v>2.303888888888889</v>
      </c>
      <c r="AS99" s="471">
        <v>0</v>
      </c>
      <c r="AT99" s="600">
        <f ca="1">IF($AT$98=2,$AE58,IF($AT$98&gt;2,"ERROR",FORECAST($AT$98,OFFSET($O58,0,$AT$90):OFFSET($O58,0,$AT$90+1),OFFSET($O$57,0,$AT$90):OFFSET($O$57,0,$AT$90+1))))</f>
        <v>2.2275</v>
      </c>
      <c r="BA99" s="9"/>
      <c r="BB99" s="344" t="s">
        <v>48</v>
      </c>
      <c r="BC99" s="345">
        <v>1.02</v>
      </c>
      <c r="BD99" s="343"/>
      <c r="BE99" s="209"/>
      <c r="BF99" s="343"/>
      <c r="BR99" s="9"/>
    </row>
    <row r="100" spans="1:70" ht="12.75">
      <c r="A100" s="19"/>
      <c r="B100" s="55"/>
      <c r="C100" s="459"/>
      <c r="D100" s="10"/>
      <c r="E100" s="10"/>
      <c r="F100" s="10"/>
      <c r="G100" s="10"/>
      <c r="H100" s="10"/>
      <c r="I100" s="45"/>
      <c r="J100" s="45"/>
      <c r="K100" s="46"/>
      <c r="L100" s="235"/>
      <c r="U100" s="29"/>
      <c r="V100" s="29"/>
      <c r="AG100" s="477">
        <v>0.1</v>
      </c>
      <c r="AH100" s="513">
        <f ca="1">IF($AH$98=2,$AE59,IF($AH$98&gt;2,"ERROR",FORECAST($AH$98,OFFSET($O59,0,$AH$90):OFFSET($O59,0,$AH$90+1),OFFSET($O$57,0,$AH$90):OFFSET($O$57,0,$AH$90+1))))</f>
        <v>2.8233333333333333</v>
      </c>
      <c r="AJ100" s="477">
        <v>0.1</v>
      </c>
      <c r="AK100" s="597">
        <f ca="1">IF($AK$98=2,$AE59,IF($AK$98&gt;2,"ERROR",FORECAST($AK$98,OFFSET($O59,0,$AK$90):OFFSET($O59,0,$AK$90+1),OFFSET($O$57,0,$AK$90):OFFSET($O$57,0,$AK$90+1))))</f>
        <v>2.6728571428571426</v>
      </c>
      <c r="AM100" s="477">
        <v>0.1</v>
      </c>
      <c r="AN100" s="597">
        <f ca="1">IF($AN$98=2,$AE59,IF($AN$98&gt;2,"ERROR",FORECAST($AN$98,OFFSET($O59,0,$AN$90):OFFSET($O59,0,$AN$90+1),OFFSET($O$57,0,$AN$90):OFFSET($O$57,0,$AN$90+1))))</f>
        <v>2.56125</v>
      </c>
      <c r="AP100" s="477">
        <v>0.1</v>
      </c>
      <c r="AQ100" s="597">
        <f ca="1">IF($AQ$98=2,$AE59,IF($AQ$98&gt;2,"ERROR",FORECAST($AQ$98,OFFSET($O59,0,$AQ$90):OFFSET($O59,0,$AQ$90+1),OFFSET($O$57,0,$AQ$90):OFFSET($O$57,0,$AQ$90+1))))</f>
        <v>2.474444444444444</v>
      </c>
      <c r="AS100" s="477">
        <v>0.1</v>
      </c>
      <c r="AT100" s="597">
        <f ca="1">IF($AT$98=2,$AE59,IF($AT$98&gt;2,"ERROR",FORECAST($AT$98,OFFSET($O59,0,$AT$90):OFFSET($O59,0,$AT$90+1),OFFSET($O$57,0,$AT$90):OFFSET($O$57,0,$AT$90+1))))</f>
        <v>2.405</v>
      </c>
      <c r="BA100" s="9"/>
      <c r="BB100" s="344" t="s">
        <v>422</v>
      </c>
      <c r="BC100" s="345">
        <v>0.93</v>
      </c>
      <c r="BD100" s="343"/>
      <c r="BE100" s="209"/>
      <c r="BF100" s="343"/>
      <c r="BR100" s="9"/>
    </row>
    <row r="101" spans="1:70" ht="12.75">
      <c r="A101" s="67"/>
      <c r="B101" s="52"/>
      <c r="C101" s="455"/>
      <c r="D101" s="10"/>
      <c r="E101" s="10"/>
      <c r="F101" s="10"/>
      <c r="G101" s="10"/>
      <c r="H101" s="45"/>
      <c r="I101" s="10"/>
      <c r="J101" s="45"/>
      <c r="K101" s="46"/>
      <c r="L101" s="236"/>
      <c r="U101" s="29"/>
      <c r="V101" s="29"/>
      <c r="AG101" s="483">
        <v>0.15</v>
      </c>
      <c r="AH101" s="513">
        <f ca="1">IF($AH$98=2,$AE60,IF($AH$98&gt;2,"ERROR",FORECAST($AH$98,OFFSET($O60,0,$AH$90):OFFSET($O60,0,$AH$90+1),OFFSET($O$57,0,$AH$90):OFFSET($O$57,0,$AH$90+1))))</f>
        <v>2.7716666666666665</v>
      </c>
      <c r="AJ101" s="483">
        <v>0.15</v>
      </c>
      <c r="AK101" s="597">
        <f ca="1">IF($AK$98=2,$AE60,IF($AK$98&gt;2,"ERROR",FORECAST($AK$98,OFFSET($O60,0,$AK$90):OFFSET($O60,0,$AK$90+1),OFFSET($O$57,0,$AK$90):OFFSET($O$57,0,$AK$90+1))))</f>
        <v>2.6271428571428572</v>
      </c>
      <c r="AM101" s="483">
        <v>0.15</v>
      </c>
      <c r="AN101" s="597">
        <f ca="1">IF($AN$98=2,$AE60,IF($AN$98&gt;2,"ERROR",FORECAST($AN$98,OFFSET($O60,0,$AN$90):OFFSET($O60,0,$AN$90+1),OFFSET($O$57,0,$AN$90):OFFSET($O$57,0,$AN$90+1))))</f>
        <v>2.52</v>
      </c>
      <c r="AP101" s="483">
        <v>0.15</v>
      </c>
      <c r="AQ101" s="597">
        <f ca="1">IF($AQ$98=2,$AE60,IF($AQ$98&gt;2,"ERROR",FORECAST($AQ$98,OFFSET($O60,0,$AQ$90):OFFSET($O60,0,$AQ$90+1),OFFSET($O$57,0,$AQ$90):OFFSET($O$57,0,$AQ$90+1))))</f>
        <v>2.4366666666666665</v>
      </c>
      <c r="AS101" s="483">
        <v>0.15</v>
      </c>
      <c r="AT101" s="597">
        <f ca="1">IF($AT$98=2,$AE60,IF($AT$98&gt;2,"ERROR",FORECAST($AT$98,OFFSET($O60,0,$AT$90):OFFSET($O60,0,$AT$90+1),OFFSET($O$57,0,$AT$90):OFFSET($O$57,0,$AT$90+1))))</f>
        <v>2.37</v>
      </c>
      <c r="BA101" s="9"/>
      <c r="BB101" s="344" t="s">
        <v>421</v>
      </c>
      <c r="BC101" s="345">
        <v>0.83</v>
      </c>
      <c r="BD101" s="343"/>
      <c r="BE101" s="209"/>
      <c r="BF101" s="343"/>
      <c r="BR101" s="9"/>
    </row>
    <row r="102" spans="1:70" ht="12.75">
      <c r="A102" s="19"/>
      <c r="E102" s="10"/>
      <c r="F102" s="10"/>
      <c r="G102" s="10"/>
      <c r="H102" s="45"/>
      <c r="I102" s="10"/>
      <c r="J102" s="45"/>
      <c r="K102" s="46"/>
      <c r="L102" s="237"/>
      <c r="M102" s="33"/>
      <c r="U102" s="29"/>
      <c r="V102" s="29"/>
      <c r="AG102" s="483">
        <v>0.2</v>
      </c>
      <c r="AH102" s="513">
        <f ca="1">IF($AH$98=2,$AE61,IF($AH$98&gt;2,"ERROR",FORECAST($AH$98,OFFSET($O61,0,$AH$90):OFFSET($O61,0,$AH$90+1),OFFSET($O$57,0,$AH$90):OFFSET($O$57,0,$AH$90+1))))</f>
        <v>2.67</v>
      </c>
      <c r="AJ102" s="483">
        <v>0.2</v>
      </c>
      <c r="AK102" s="597">
        <f ca="1">IF($AK$98=2,$AE61,IF($AK$98&gt;2,"ERROR",FORECAST($AK$98,OFFSET($O61,0,$AK$90):OFFSET($O61,0,$AK$90+1),OFFSET($O$57,0,$AK$90):OFFSET($O$57,0,$AK$90+1))))</f>
        <v>2.5335714285714284</v>
      </c>
      <c r="AM102" s="483">
        <v>0.2</v>
      </c>
      <c r="AN102" s="597">
        <f ca="1">IF($AN$98=2,$AE61,IF($AN$98&gt;2,"ERROR",FORECAST($AN$98,OFFSET($O61,0,$AN$90):OFFSET($O61,0,$AN$90+1),OFFSET($O$57,0,$AN$90):OFFSET($O$57,0,$AN$90+1))))</f>
        <v>2.433125</v>
      </c>
      <c r="AP102" s="483">
        <v>0.2</v>
      </c>
      <c r="AQ102" s="597">
        <f ca="1">IF($AQ$98=2,$AE61,IF($AQ$98&gt;2,"ERROR",FORECAST($AQ$98,OFFSET($O61,0,$AQ$90):OFFSET($O61,0,$AQ$90+1),OFFSET($O$57,0,$AQ$90):OFFSET($O$57,0,$AQ$90+1))))</f>
        <v>2.3550000000000004</v>
      </c>
      <c r="AS102" s="483">
        <v>0.2</v>
      </c>
      <c r="AT102" s="597">
        <f ca="1">IF($AT$98=2,$AE61,IF($AT$98&gt;2,"ERROR",FORECAST($AT$98,OFFSET($O61,0,$AT$90):OFFSET($O61,0,$AT$90+1),OFFSET($O$57,0,$AT$90):OFFSET($O$57,0,$AT$90+1))))</f>
        <v>2.2925000000000004</v>
      </c>
      <c r="BA102" s="9"/>
      <c r="BB102" s="344" t="s">
        <v>1130</v>
      </c>
      <c r="BC102" s="345">
        <v>0.775</v>
      </c>
      <c r="BD102" s="343"/>
      <c r="BE102" s="209"/>
      <c r="BF102" s="343"/>
      <c r="BR102" s="9"/>
    </row>
    <row r="103" spans="1:70" ht="12.75">
      <c r="A103" s="19"/>
      <c r="J103" s="45"/>
      <c r="K103" s="46"/>
      <c r="L103" s="7"/>
      <c r="M103" s="33"/>
      <c r="U103" s="29"/>
      <c r="V103" s="29"/>
      <c r="AG103" s="483">
        <v>0.25</v>
      </c>
      <c r="AH103" s="513">
        <f ca="1">IF($AH$98=2,$AE62,IF($AH$98&gt;2,"ERROR",FORECAST($AH$98,OFFSET($O62,0,$AH$90):OFFSET($O62,0,$AH$90+1),OFFSET($O$57,0,$AH$90):OFFSET($O$57,0,$AH$90+1))))</f>
        <v>2.5475</v>
      </c>
      <c r="AJ103" s="483">
        <v>0.25</v>
      </c>
      <c r="AK103" s="597">
        <f ca="1">IF($AK$98=2,$AE62,IF($AK$98&gt;2,"ERROR",FORECAST($AK$98,OFFSET($O62,0,$AK$90):OFFSET($O62,0,$AK$90+1),OFFSET($O$57,0,$AK$90):OFFSET($O$57,0,$AK$90+1))))</f>
        <v>2.4157142857142855</v>
      </c>
      <c r="AM103" s="483">
        <v>0.25</v>
      </c>
      <c r="AN103" s="597">
        <f ca="1">IF($AN$98=2,$AE62,IF($AN$98&gt;2,"ERROR",FORECAST($AN$98,OFFSET($O62,0,$AN$90):OFFSET($O62,0,$AN$90+1),OFFSET($O$57,0,$AN$90):OFFSET($O$57,0,$AN$90+1))))</f>
        <v>2.3175</v>
      </c>
      <c r="AP103" s="483">
        <v>0.25</v>
      </c>
      <c r="AQ103" s="597">
        <f ca="1">IF($AQ$98=2,$AE62,IF($AQ$98&gt;2,"ERROR",FORECAST($AQ$98,OFFSET($O62,0,$AQ$90):OFFSET($O62,0,$AQ$90+1),OFFSET($O$57,0,$AQ$90):OFFSET($O$57,0,$AQ$90+1))))</f>
        <v>2.241111111111111</v>
      </c>
      <c r="AS103" s="483">
        <v>0.25</v>
      </c>
      <c r="AT103" s="597">
        <f ca="1">IF($AT$98=2,$AE62,IF($AT$98&gt;2,"ERROR",FORECAST($AT$98,OFFSET($O62,0,$AT$90):OFFSET($O62,0,$AT$90+1),OFFSET($O$57,0,$AT$90):OFFSET($O$57,0,$AT$90+1))))</f>
        <v>2.1799999999999997</v>
      </c>
      <c r="BA103" s="9"/>
      <c r="BB103" s="344" t="s">
        <v>437</v>
      </c>
      <c r="BC103" s="345">
        <v>0.71</v>
      </c>
      <c r="BD103" s="343"/>
      <c r="BE103" s="209"/>
      <c r="BF103" s="343"/>
      <c r="BR103" s="9"/>
    </row>
    <row r="104" spans="1:70" ht="12.75">
      <c r="A104" s="19"/>
      <c r="J104" s="45"/>
      <c r="K104" s="46"/>
      <c r="L104" s="7"/>
      <c r="M104" s="33"/>
      <c r="U104" s="29"/>
      <c r="V104" s="29"/>
      <c r="AG104" s="483">
        <v>0.3</v>
      </c>
      <c r="AH104" s="513">
        <f ca="1">IF($AH$98=2,$AE63,IF($AH$98&gt;2,"ERROR",FORECAST($AH$98,OFFSET($O63,0,$AH$90):OFFSET($O63,0,$AH$90+1),OFFSET($O$57,0,$AH$90):OFFSET($O$57,0,$AH$90+1))))</f>
        <v>2.3958333333333335</v>
      </c>
      <c r="AJ104" s="483">
        <v>0.3</v>
      </c>
      <c r="AK104" s="597">
        <f ca="1">IF($AK$98=2,$AE63,IF($AK$98&gt;2,"ERROR",FORECAST($AK$98,OFFSET($O63,0,$AK$90):OFFSET($O63,0,$AK$90+1),OFFSET($O$57,0,$AK$90):OFFSET($O$57,0,$AK$90+1))))</f>
        <v>2.272142857142857</v>
      </c>
      <c r="AM104" s="483">
        <v>0.3</v>
      </c>
      <c r="AN104" s="597">
        <f ca="1">IF($AN$98=2,$AE63,IF($AN$98&gt;2,"ERROR",FORECAST($AN$98,OFFSET($O63,0,$AN$90):OFFSET($O63,0,$AN$90+1),OFFSET($O$57,0,$AN$90):OFFSET($O$57,0,$AN$90+1))))</f>
        <v>2.180625</v>
      </c>
      <c r="AP104" s="483">
        <v>0.3</v>
      </c>
      <c r="AQ104" s="597">
        <f ca="1">IF($AQ$98=2,$AE63,IF($AQ$98&gt;2,"ERROR",FORECAST($AQ$98,OFFSET($O63,0,$AQ$90):OFFSET($O63,0,$AQ$90+1),OFFSET($O$57,0,$AQ$90):OFFSET($O$57,0,$AQ$90+1))))</f>
        <v>2.1094444444444442</v>
      </c>
      <c r="AS104" s="483">
        <v>0.3</v>
      </c>
      <c r="AT104" s="597">
        <f ca="1">IF($AT$98=2,$AE63,IF($AT$98&gt;2,"ERROR",FORECAST($AT$98,OFFSET($O63,0,$AT$90):OFFSET($O63,0,$AT$90+1),OFFSET($O$57,0,$AT$90):OFFSET($O$57,0,$AT$90+1))))</f>
        <v>2.0524999999999998</v>
      </c>
      <c r="BA104" s="9"/>
      <c r="BB104" s="344" t="s">
        <v>436</v>
      </c>
      <c r="BC104" s="345">
        <v>0.655</v>
      </c>
      <c r="BD104" s="343"/>
      <c r="BE104" s="209"/>
      <c r="BF104" s="343"/>
      <c r="BR104" s="9"/>
    </row>
    <row r="105" spans="1:70" ht="12.75">
      <c r="A105" s="19"/>
      <c r="J105" s="45"/>
      <c r="K105" s="46"/>
      <c r="L105" s="55"/>
      <c r="M105" s="33"/>
      <c r="U105" s="29"/>
      <c r="V105" s="29"/>
      <c r="AG105" s="483">
        <v>0.4</v>
      </c>
      <c r="AH105" s="513">
        <f ca="1">IF($AH$98=2,$AE64,IF($AH$98&gt;2,"ERROR",FORECAST($AH$98,OFFSET($O64,0,$AH$90):OFFSET($O64,0,$AH$90+1),OFFSET($O$57,0,$AH$90):OFFSET($O$57,0,$AH$90+1))))</f>
        <v>2.101666666666666</v>
      </c>
      <c r="AJ105" s="483">
        <v>0.4</v>
      </c>
      <c r="AK105" s="597">
        <f ca="1">IF($AK$98=2,$AE64,IF($AK$98&gt;2,"ERROR",FORECAST($AK$98,OFFSET($O64,0,$AK$90):OFFSET($O64,0,$AK$90+1),OFFSET($O$57,0,$AK$90):OFFSET($O$57,0,$AK$90+1))))</f>
        <v>1.9885714285714284</v>
      </c>
      <c r="AM105" s="483">
        <v>0.4</v>
      </c>
      <c r="AN105" s="597">
        <f ca="1">IF($AN$98=2,$AE64,IF($AN$98&gt;2,"ERROR",FORECAST($AN$98,OFFSET($O64,0,$AN$90):OFFSET($O64,0,$AN$90+1),OFFSET($O$57,0,$AN$90):OFFSET($O$57,0,$AN$90+1))))</f>
        <v>1.9037499999999998</v>
      </c>
      <c r="AP105" s="483">
        <v>0.4</v>
      </c>
      <c r="AQ105" s="597">
        <f ca="1">IF($AQ$98=2,$AE64,IF($AQ$98&gt;2,"ERROR",FORECAST($AQ$98,OFFSET($O64,0,$AQ$90):OFFSET($O64,0,$AQ$90+1),OFFSET($O$57,0,$AQ$90):OFFSET($O$57,0,$AQ$90+1))))</f>
        <v>1.8377777777777777</v>
      </c>
      <c r="AS105" s="483">
        <v>0.4</v>
      </c>
      <c r="AT105" s="597">
        <f ca="1">IF($AT$98=2,$AE64,IF($AT$98&gt;2,"ERROR",FORECAST($AT$98,OFFSET($O64,0,$AT$90):OFFSET($O64,0,$AT$90+1),OFFSET($O$57,0,$AT$90):OFFSET($O$57,0,$AT$90+1))))</f>
        <v>1.785</v>
      </c>
      <c r="BA105" s="9"/>
      <c r="BB105" s="344" t="s">
        <v>435</v>
      </c>
      <c r="BC105" s="345">
        <v>0.65</v>
      </c>
      <c r="BD105" s="343"/>
      <c r="BE105" s="209"/>
      <c r="BF105" s="343"/>
      <c r="BR105" s="9"/>
    </row>
    <row r="106" spans="1:70" ht="12.75">
      <c r="A106" s="19"/>
      <c r="J106" s="47"/>
      <c r="K106" s="568"/>
      <c r="L106" s="55"/>
      <c r="M106" s="33"/>
      <c r="U106" s="29"/>
      <c r="V106" s="29"/>
      <c r="AG106" s="483">
        <v>0.5</v>
      </c>
      <c r="AH106" s="513">
        <f ca="1">IF($AH$98=2,$AE65,IF($AH$98&gt;2,"ERROR",FORECAST($AH$98,OFFSET($O65,0,$AH$90):OFFSET($O65,0,$AH$90+1),OFFSET($O$57,0,$AH$90):OFFSET($O$57,0,$AH$90+1))))</f>
        <v>1.8191666666666666</v>
      </c>
      <c r="AJ106" s="483">
        <v>0.5</v>
      </c>
      <c r="AK106" s="597">
        <f ca="1">IF($AK$98=2,$AE65,IF($AK$98&gt;2,"ERROR",FORECAST($AK$98,OFFSET($O65,0,$AK$90):OFFSET($O65,0,$AK$90+1),OFFSET($O$57,0,$AK$90):OFFSET($O$57,0,$AK$90+1))))</f>
        <v>1.7192857142857143</v>
      </c>
      <c r="AM106" s="483">
        <v>0.5</v>
      </c>
      <c r="AN106" s="597">
        <f ca="1">IF($AN$98=2,$AE65,IF($AN$98&gt;2,"ERROR",FORECAST($AN$98,OFFSET($O65,0,$AN$90):OFFSET($O65,0,$AN$90+1),OFFSET($O$57,0,$AN$90):OFFSET($O$57,0,$AN$90+1))))</f>
        <v>1.645625</v>
      </c>
      <c r="AP106" s="483">
        <v>0.5</v>
      </c>
      <c r="AQ106" s="597">
        <f ca="1">IF($AQ$98=2,$AE65,IF($AQ$98&gt;2,"ERROR",FORECAST($AQ$98,OFFSET($O65,0,$AQ$90):OFFSET($O65,0,$AQ$90+1),OFFSET($O$57,0,$AQ$90):OFFSET($O$57,0,$AQ$90+1))))</f>
        <v>1.5883333333333334</v>
      </c>
      <c r="AS106" s="483">
        <v>0.5</v>
      </c>
      <c r="AT106" s="597">
        <f ca="1">IF($AT$98=2,$AE65,IF($AT$98&gt;2,"ERROR",FORECAST($AT$98,OFFSET($O65,0,$AT$90):OFFSET($O65,0,$AT$90+1),OFFSET($O$57,0,$AT$90):OFFSET($O$57,0,$AT$90+1))))</f>
        <v>1.5425</v>
      </c>
      <c r="BA106" s="9"/>
      <c r="BB106" s="344" t="s">
        <v>434</v>
      </c>
      <c r="BC106" s="345">
        <v>0.615</v>
      </c>
      <c r="BD106" s="343"/>
      <c r="BE106" s="209"/>
      <c r="BF106" s="343"/>
      <c r="BR106" s="9"/>
    </row>
    <row r="107" spans="1:70" ht="12.75">
      <c r="A107" s="19"/>
      <c r="J107" s="47"/>
      <c r="K107" s="568"/>
      <c r="L107" s="55"/>
      <c r="M107" s="33"/>
      <c r="U107" s="29"/>
      <c r="V107" s="29"/>
      <c r="AG107" s="483">
        <v>0.6</v>
      </c>
      <c r="AH107" s="513">
        <f ca="1">IF($AH$98=2,$AE66,IF($AH$98&gt;2,"ERROR",FORECAST($AH$98,OFFSET($O66,0,$AH$90):OFFSET($O66,0,$AH$90+1),OFFSET($O$57,0,$AH$90):OFFSET($O$57,0,$AH$90+1))))</f>
        <v>1.5958333333333334</v>
      </c>
      <c r="AJ107" s="483">
        <v>0.6</v>
      </c>
      <c r="AK107" s="597">
        <f ca="1">IF($AK$98=2,$AE66,IF($AK$98&gt;2,"ERROR",FORECAST($AK$98,OFFSET($O66,0,$AK$90):OFFSET($O66,0,$AK$90+1),OFFSET($O$57,0,$AK$90):OFFSET($O$57,0,$AK$90+1))))</f>
        <v>1.5057142857142856</v>
      </c>
      <c r="AM107" s="483">
        <v>0.6</v>
      </c>
      <c r="AN107" s="597">
        <f ca="1">IF($AN$98=2,$AE66,IF($AN$98&gt;2,"ERROR",FORECAST($AN$98,OFFSET($O66,0,$AN$90):OFFSET($O66,0,$AN$90+1),OFFSET($O$57,0,$AN$90):OFFSET($O$57,0,$AN$90+1))))</f>
        <v>1.4387499999999998</v>
      </c>
      <c r="AP107" s="483">
        <v>0.6</v>
      </c>
      <c r="AQ107" s="597">
        <f ca="1">IF($AQ$98=2,$AE66,IF($AQ$98&gt;2,"ERROR",FORECAST($AQ$98,OFFSET($O66,0,$AQ$90):OFFSET($O66,0,$AQ$90+1),OFFSET($O$57,0,$AQ$90):OFFSET($O$57,0,$AQ$90+1))))</f>
        <v>1.3866666666666665</v>
      </c>
      <c r="AS107" s="483">
        <v>0.6</v>
      </c>
      <c r="AT107" s="597">
        <f ca="1">IF($AT$98=2,$AE66,IF($AT$98&gt;2,"ERROR",FORECAST($AT$98,OFFSET($O66,0,$AT$90):OFFSET($O66,0,$AT$90+1),OFFSET($O$57,0,$AT$90):OFFSET($O$57,0,$AT$90+1))))</f>
        <v>1.3449999999999998</v>
      </c>
      <c r="BA107" s="9"/>
      <c r="BB107" s="344" t="s">
        <v>433</v>
      </c>
      <c r="BC107" s="345">
        <v>0.585</v>
      </c>
      <c r="BD107" s="343"/>
      <c r="BE107" s="209"/>
      <c r="BF107" s="343"/>
      <c r="BR107" s="9"/>
    </row>
    <row r="108" spans="1:70" ht="12.75">
      <c r="A108" s="19"/>
      <c r="J108" s="55"/>
      <c r="K108" s="54"/>
      <c r="L108" s="45"/>
      <c r="M108" s="33"/>
      <c r="U108" s="29"/>
      <c r="V108" s="29"/>
      <c r="AG108" s="483">
        <v>0.7</v>
      </c>
      <c r="AH108" s="513">
        <f ca="1">IF($AH$98=2,$AE67,IF($AH$98&gt;2,"ERROR",FORECAST($AH$98,OFFSET($O67,0,$AH$90):OFFSET($O67,0,$AH$90+1),OFFSET($O$57,0,$AH$90):OFFSET($O$57,0,$AH$90+1))))</f>
        <v>1.4033333333333333</v>
      </c>
      <c r="AJ108" s="483">
        <v>0.7</v>
      </c>
      <c r="AK108" s="597">
        <f ca="1">IF($AK$98=2,$AE67,IF($AK$98&gt;2,"ERROR",FORECAST($AK$98,OFFSET($O67,0,$AK$90):OFFSET($O67,0,$AK$90+1),OFFSET($O$57,0,$AK$90):OFFSET($O$57,0,$AK$90+1))))</f>
        <v>1.3242857142857143</v>
      </c>
      <c r="AM108" s="483">
        <v>0.7</v>
      </c>
      <c r="AN108" s="597">
        <f ca="1">IF($AN$98=2,$AE67,IF($AN$98&gt;2,"ERROR",FORECAST($AN$98,OFFSET($O67,0,$AN$90):OFFSET($O67,0,$AN$90+1),OFFSET($O$57,0,$AN$90):OFFSET($O$57,0,$AN$90+1))))</f>
        <v>1.2662499999999999</v>
      </c>
      <c r="AP108" s="483">
        <v>0.7</v>
      </c>
      <c r="AQ108" s="597">
        <f ca="1">IF($AQ$98=2,$AE67,IF($AQ$98&gt;2,"ERROR",FORECAST($AQ$98,OFFSET($O67,0,$AQ$90):OFFSET($O67,0,$AQ$90+1),OFFSET($O$57,0,$AQ$90):OFFSET($O$57,0,$AQ$90+1))))</f>
        <v>1.221111111111111</v>
      </c>
      <c r="AS108" s="483">
        <v>0.7</v>
      </c>
      <c r="AT108" s="597">
        <f ca="1">IF($AT$98=2,$AE67,IF($AT$98&gt;2,"ERROR",FORECAST($AT$98,OFFSET($O67,0,$AT$90):OFFSET($O67,0,$AT$90+1),OFFSET($O$57,0,$AT$90):OFFSET($O$57,0,$AT$90+1))))</f>
        <v>1.185</v>
      </c>
      <c r="BA108" s="9"/>
      <c r="BB108" s="344" t="s">
        <v>432</v>
      </c>
      <c r="BC108" s="345">
        <v>0.565</v>
      </c>
      <c r="BD108" s="343"/>
      <c r="BE108" s="209"/>
      <c r="BF108" s="343"/>
      <c r="BR108" s="9"/>
    </row>
    <row r="109" spans="1:70" ht="12.75">
      <c r="A109" s="19"/>
      <c r="J109" s="235"/>
      <c r="K109" s="569"/>
      <c r="L109" s="45"/>
      <c r="M109" s="33"/>
      <c r="U109" s="29"/>
      <c r="V109" s="29"/>
      <c r="AG109" s="483">
        <v>0.8</v>
      </c>
      <c r="AH109" s="513">
        <f ca="1">IF($AH$98=2,$AE68,IF($AH$98&gt;2,"ERROR",FORECAST($AH$98,OFFSET($O68,0,$AH$90):OFFSET($O68,0,$AH$90+1),OFFSET($O$57,0,$AH$90):OFFSET($O$57,0,$AH$90+1))))</f>
        <v>1.2508333333333335</v>
      </c>
      <c r="AJ109" s="483">
        <v>0.8</v>
      </c>
      <c r="AK109" s="597">
        <f ca="1">IF($AK$98=2,$AE68,IF($AK$98&gt;2,"ERROR",FORECAST($AK$98,OFFSET($O68,0,$AK$90):OFFSET($O68,0,$AK$90+1),OFFSET($O$57,0,$AK$90):OFFSET($O$57,0,$AK$90+1))))</f>
        <v>1.179642857142857</v>
      </c>
      <c r="AM109" s="483">
        <v>0.8</v>
      </c>
      <c r="AN109" s="597">
        <f ca="1">IF($AN$98=2,$AE68,IF($AN$98&gt;2,"ERROR",FORECAST($AN$98,OFFSET($O68,0,$AN$90):OFFSET($O68,0,$AN$90+1),OFFSET($O$57,0,$AN$90):OFFSET($O$57,0,$AN$90+1))))</f>
        <v>1.1271875</v>
      </c>
      <c r="AP109" s="483">
        <v>0.8</v>
      </c>
      <c r="AQ109" s="597">
        <f ca="1">IF($AQ$98=2,$AE68,IF($AQ$98&gt;2,"ERROR",FORECAST($AQ$98,OFFSET($O68,0,$AQ$90):OFFSET($O68,0,$AQ$90+1),OFFSET($O$57,0,$AQ$90):OFFSET($O$57,0,$AQ$90+1))))</f>
        <v>1.0863888888888888</v>
      </c>
      <c r="AS109" s="483">
        <v>0.8</v>
      </c>
      <c r="AT109" s="597">
        <f ca="1">IF($AT$98=2,$AE68,IF($AT$98&gt;2,"ERROR",FORECAST($AT$98,OFFSET($O68,0,$AT$90):OFFSET($O68,0,$AT$90+1),OFFSET($O$57,0,$AT$90):OFFSET($O$57,0,$AT$90+1))))</f>
        <v>1.05375</v>
      </c>
      <c r="AU109" s="43"/>
      <c r="AV109" s="43"/>
      <c r="AW109" s="43"/>
      <c r="AX109" s="43"/>
      <c r="AZ109" s="31"/>
      <c r="BA109" s="9"/>
      <c r="BB109" s="344" t="s">
        <v>293</v>
      </c>
      <c r="BC109" s="345">
        <v>0.545</v>
      </c>
      <c r="BD109" s="343"/>
      <c r="BE109" s="209"/>
      <c r="BF109" s="343"/>
      <c r="BR109" s="9"/>
    </row>
    <row r="110" spans="1:70" ht="12.75">
      <c r="A110" s="19"/>
      <c r="J110" s="236"/>
      <c r="K110" s="570"/>
      <c r="L110" s="45"/>
      <c r="U110" s="29"/>
      <c r="V110" s="29"/>
      <c r="AG110" s="483">
        <v>0.9</v>
      </c>
      <c r="AH110" s="513">
        <f ca="1">IF($AH$98=2,$AE69,IF($AH$98&gt;2,"ERROR",FORECAST($AH$98,OFFSET($O69,0,$AH$90):OFFSET($O69,0,$AH$90+1),OFFSET($O$57,0,$AH$90):OFFSET($O$57,0,$AH$90+1))))</f>
        <v>1.1283333333333334</v>
      </c>
      <c r="AJ110" s="483">
        <v>0.9</v>
      </c>
      <c r="AK110" s="597">
        <f ca="1">IF($AK$98=2,$AE69,IF($AK$98&gt;2,"ERROR",FORECAST($AK$98,OFFSET($O69,0,$AK$90):OFFSET($O69,0,$AK$90+1),OFFSET($O$57,0,$AK$90):OFFSET($O$57,0,$AK$90+1))))</f>
        <v>1.0639285714285713</v>
      </c>
      <c r="AM110" s="483">
        <v>0.9</v>
      </c>
      <c r="AN110" s="597">
        <f ca="1">IF($AN$98=2,$AE69,IF($AN$98&gt;2,"ERROR",FORECAST($AN$98,OFFSET($O69,0,$AN$90):OFFSET($O69,0,$AN$90+1),OFFSET($O$57,0,$AN$90):OFFSET($O$57,0,$AN$90+1))))</f>
        <v>1.0159375</v>
      </c>
      <c r="AP110" s="483">
        <v>0.9</v>
      </c>
      <c r="AQ110" s="597">
        <f ca="1">IF($AQ$98=2,$AE69,IF($AQ$98&gt;2,"ERROR",FORECAST($AQ$98,OFFSET($O69,0,$AQ$90):OFFSET($O69,0,$AQ$90+1),OFFSET($O$57,0,$AQ$90):OFFSET($O$57,0,$AQ$90+1))))</f>
        <v>0.978611111111111</v>
      </c>
      <c r="AS110" s="483">
        <v>0.9</v>
      </c>
      <c r="AT110" s="597">
        <f ca="1">IF($AT$98=2,$AE69,IF($AT$98&gt;2,"ERROR",FORECAST($AT$98,OFFSET($O69,0,$AT$90):OFFSET($O69,0,$AT$90+1),OFFSET($O$57,0,$AT$90):OFFSET($O$57,0,$AT$90+1))))</f>
        <v>0.9487499999999999</v>
      </c>
      <c r="AU110" s="29"/>
      <c r="AV110" s="29"/>
      <c r="AW110" s="29"/>
      <c r="AX110" s="29"/>
      <c r="AZ110" s="29"/>
      <c r="BA110" s="9"/>
      <c r="BB110" s="344" t="s">
        <v>292</v>
      </c>
      <c r="BC110" s="345">
        <v>0.52</v>
      </c>
      <c r="BD110" s="343"/>
      <c r="BE110" s="209"/>
      <c r="BF110" s="343"/>
      <c r="BR110" s="9"/>
    </row>
    <row r="111" spans="1:70" ht="12.75">
      <c r="A111" s="19"/>
      <c r="J111" s="237"/>
      <c r="K111" s="571"/>
      <c r="L111" s="45"/>
      <c r="U111" s="29"/>
      <c r="V111" s="29"/>
      <c r="AG111" s="487">
        <v>1</v>
      </c>
      <c r="AH111" s="513">
        <f ca="1">IF($AH$98=2,$AE70,IF($AH$98&gt;2,"ERROR",FORECAST($AH$98,OFFSET($O70,0,$AH$90):OFFSET($O70,0,$AH$90+1),OFFSET($O$57,0,$AH$90):OFFSET($O$57,0,$AH$90+1))))</f>
        <v>1.0175</v>
      </c>
      <c r="AJ111" s="487">
        <v>1</v>
      </c>
      <c r="AK111" s="597">
        <f ca="1">IF($AK$98=2,$AE70,IF($AK$98&gt;2,"ERROR",FORECAST($AK$98,OFFSET($O70,0,$AK$90):OFFSET($O70,0,$AK$90+1),OFFSET($O$57,0,$AK$90):OFFSET($O$57,0,$AK$90+1))))</f>
        <v>0.9382857142857142</v>
      </c>
      <c r="AM111" s="487">
        <v>1</v>
      </c>
      <c r="AN111" s="597">
        <f ca="1">IF($AN$98=2,$AE70,IF($AN$98&gt;2,"ERROR",FORECAST($AN$98,OFFSET($O70,0,$AN$90):OFFSET($O70,0,$AN$90+1),OFFSET($O$57,0,$AN$90):OFFSET($O$57,0,$AN$90+1))))</f>
        <v>0.8739999999999999</v>
      </c>
      <c r="AP111" s="487">
        <v>1</v>
      </c>
      <c r="AQ111" s="597">
        <f ca="1">IF($AQ$98=2,$AE70,IF($AQ$98&gt;2,"ERROR",FORECAST($AQ$98,OFFSET($O70,0,$AQ$90):OFFSET($O70,0,$AQ$90+1),OFFSET($O$57,0,$AQ$90):OFFSET($O$57,0,$AQ$90+1))))</f>
        <v>0.824</v>
      </c>
      <c r="AS111" s="487">
        <v>1</v>
      </c>
      <c r="AT111" s="597">
        <f ca="1">IF($AT$98=2,$AE70,IF($AT$98&gt;2,"ERROR",FORECAST($AT$98,OFFSET($O70,0,$AT$90):OFFSET($O70,0,$AT$90+1),OFFSET($O$57,0,$AT$90):OFFSET($O$57,0,$AT$90+1))))</f>
        <v>0.7839999999999999</v>
      </c>
      <c r="AU111" s="71"/>
      <c r="AV111" s="71"/>
      <c r="AW111" s="71"/>
      <c r="AX111" s="71"/>
      <c r="AY111" s="71"/>
      <c r="AZ111" s="31"/>
      <c r="BA111" s="9"/>
      <c r="BB111" s="344" t="s">
        <v>291</v>
      </c>
      <c r="BC111" s="345">
        <v>0.47</v>
      </c>
      <c r="BD111" s="343"/>
      <c r="BE111" s="209"/>
      <c r="BF111" s="343"/>
      <c r="BR111" s="9"/>
    </row>
    <row r="112" spans="1:70" ht="12.75">
      <c r="A112" s="19"/>
      <c r="J112" s="7"/>
      <c r="K112" s="238"/>
      <c r="L112" s="45"/>
      <c r="U112" s="29"/>
      <c r="V112" s="29"/>
      <c r="AG112" s="487">
        <v>1.2</v>
      </c>
      <c r="AH112" s="513">
        <f ca="1">IF($AH$98=2,$AE71,IF($AH$98&gt;2,"ERROR",FORECAST($AH$98,OFFSET($O71,0,$AH$90):OFFSET($O71,0,$AH$90+1),OFFSET($O$57,0,$AH$90):OFFSET($O$57,0,$AH$90+1))))</f>
        <v>0.8586666666666666</v>
      </c>
      <c r="AJ112" s="487">
        <v>1.2</v>
      </c>
      <c r="AK112" s="597">
        <f ca="1">IF($AK$98=2,$AE71,IF($AK$98&gt;2,"ERROR",FORECAST($AK$98,OFFSET($O71,0,$AK$90):OFFSET($O71,0,$AK$90+1),OFFSET($O$57,0,$AK$90):OFFSET($O$57,0,$AK$90+1))))</f>
        <v>0.8095</v>
      </c>
      <c r="AM112" s="487">
        <v>1.2</v>
      </c>
      <c r="AN112" s="597">
        <f ca="1">IF($AN$98=2,$AE71,IF($AN$98&gt;2,"ERROR",FORECAST($AN$98,OFFSET($O71,0,$AN$90):OFFSET($O71,0,$AN$90+1),OFFSET($O$57,0,$AN$90):OFFSET($O$57,0,$AN$90+1))))</f>
        <v>0.7735624999999999</v>
      </c>
      <c r="AP112" s="487">
        <v>1.2</v>
      </c>
      <c r="AQ112" s="597">
        <f ca="1">IF($AQ$98=2,$AE71,IF($AQ$98&gt;2,"ERROR",FORECAST($AQ$98,OFFSET($O71,0,$AQ$90):OFFSET($O71,0,$AQ$90+1),OFFSET($O$57,0,$AQ$90):OFFSET($O$57,0,$AQ$90+1))))</f>
        <v>0.7456111111111111</v>
      </c>
      <c r="AS112" s="487">
        <v>1.2</v>
      </c>
      <c r="AT112" s="597">
        <f ca="1">IF($AT$98=2,$AE71,IF($AT$98&gt;2,"ERROR",FORECAST($AT$98,OFFSET($O71,0,$AT$90):OFFSET($O71,0,$AT$90+1),OFFSET($O$57,0,$AT$90):OFFSET($O$57,0,$AT$90+1))))</f>
        <v>0.7232500000000001</v>
      </c>
      <c r="BA112" s="9"/>
      <c r="BB112" s="344" t="s">
        <v>290</v>
      </c>
      <c r="BC112" s="345">
        <v>1.97</v>
      </c>
      <c r="BD112" s="343"/>
      <c r="BE112" s="209"/>
      <c r="BF112" s="343"/>
      <c r="BR112" s="9"/>
    </row>
    <row r="113" spans="1:70" ht="12.75">
      <c r="A113" s="19"/>
      <c r="J113" s="7"/>
      <c r="K113" s="238"/>
      <c r="L113" s="45"/>
      <c r="U113" s="29"/>
      <c r="V113" s="29"/>
      <c r="AG113" s="487">
        <v>1.4</v>
      </c>
      <c r="AH113" s="513">
        <f ca="1">IF($AH$98=2,$AE72,IF($AH$98&gt;2,"ERROR",FORECAST($AH$98,OFFSET($O72,0,$AH$90):OFFSET($O72,0,$AH$90+1),OFFSET($O$57,0,$AH$90):OFFSET($O$57,0,$AH$90+1))))</f>
        <v>0.74075</v>
      </c>
      <c r="AJ113" s="487">
        <v>1.4</v>
      </c>
      <c r="AK113" s="597">
        <f ca="1">IF($AK$98=2,$AE72,IF($AK$98&gt;2,"ERROR",FORECAST($AK$98,OFFSET($O72,0,$AK$90):OFFSET($O72,0,$AK$90+1),OFFSET($O$57,0,$AK$90):OFFSET($O$57,0,$AK$90+1))))</f>
        <v>0.698</v>
      </c>
      <c r="AM113" s="487">
        <v>1.4</v>
      </c>
      <c r="AN113" s="597">
        <f ca="1">IF($AN$98=2,$AE72,IF($AN$98&gt;2,"ERROR",FORECAST($AN$98,OFFSET($O72,0,$AN$90):OFFSET($O72,0,$AN$90+1),OFFSET($O$57,0,$AN$90):OFFSET($O$57,0,$AN$90+1))))</f>
        <v>0.66675</v>
      </c>
      <c r="AP113" s="487">
        <v>1.4</v>
      </c>
      <c r="AQ113" s="597">
        <f ca="1">IF($AQ$98=2,$AE72,IF($AQ$98&gt;2,"ERROR",FORECAST($AQ$98,OFFSET($O72,0,$AQ$90):OFFSET($O72,0,$AQ$90+1),OFFSET($O$57,0,$AQ$90):OFFSET($O$57,0,$AQ$90+1))))</f>
        <v>0.6424444444444444</v>
      </c>
      <c r="AS113" s="487">
        <v>1.4</v>
      </c>
      <c r="AT113" s="597">
        <f ca="1">IF($AT$98=2,$AE72,IF($AT$98&gt;2,"ERROR",FORECAST($AT$98,OFFSET($O72,0,$AT$90):OFFSET($O72,0,$AT$90+1),OFFSET($O$57,0,$AT$90):OFFSET($O$57,0,$AT$90+1))))</f>
        <v>0.6229999999999999</v>
      </c>
      <c r="AU113" s="41"/>
      <c r="AV113" s="41"/>
      <c r="AW113" s="41"/>
      <c r="AX113" s="41"/>
      <c r="AY113" s="41"/>
      <c r="BA113" s="9"/>
      <c r="BB113" s="344" t="s">
        <v>289</v>
      </c>
      <c r="BC113" s="345">
        <v>1.81</v>
      </c>
      <c r="BD113" s="343"/>
      <c r="BE113" s="209"/>
      <c r="BF113" s="346"/>
      <c r="BR113" s="9"/>
    </row>
    <row r="114" spans="1:70" ht="12.75">
      <c r="A114" s="572"/>
      <c r="J114" s="55"/>
      <c r="K114" s="54"/>
      <c r="L114" s="45"/>
      <c r="U114" s="29"/>
      <c r="V114" s="29"/>
      <c r="AG114" s="487">
        <v>1.6</v>
      </c>
      <c r="AH114" s="513">
        <f ca="1">IF($AH$98=2,$AE73,IF($AH$98&gt;2,"ERROR",FORECAST($AH$98,OFFSET($O73,0,$AH$90):OFFSET($O73,0,$AH$90+1),OFFSET($O$57,0,$AH$90):OFFSET($O$57,0,$AH$90+1))))</f>
        <v>0.6503333333333334</v>
      </c>
      <c r="AJ114" s="487">
        <v>1.6</v>
      </c>
      <c r="AK114" s="597">
        <f ca="1">IF($AK$98=2,$AE73,IF($AK$98&gt;2,"ERROR",FORECAST($AK$98,OFFSET($O73,0,$AK$90):OFFSET($O73,0,$AK$90+1),OFFSET($O$57,0,$AK$90):OFFSET($O$57,0,$AK$90+1))))</f>
        <v>0.6126428571428572</v>
      </c>
      <c r="AM114" s="487">
        <v>1.6</v>
      </c>
      <c r="AN114" s="597">
        <f ca="1">IF($AN$98=2,$AE73,IF($AN$98&gt;2,"ERROR",FORECAST($AN$98,OFFSET($O73,0,$AN$90):OFFSET($O73,0,$AN$90+1),OFFSET($O$57,0,$AN$90):OFFSET($O$57,0,$AN$90+1))))</f>
        <v>0.5851875</v>
      </c>
      <c r="AP114" s="487">
        <v>1.6</v>
      </c>
      <c r="AQ114" s="597">
        <f ca="1">IF($AQ$98=2,$AE73,IF($AQ$98&gt;2,"ERROR",FORECAST($AQ$98,OFFSET($O73,0,$AQ$90):OFFSET($O73,0,$AQ$90+1),OFFSET($O$57,0,$AQ$90):OFFSET($O$57,0,$AQ$90+1))))</f>
        <v>0.5638333333333333</v>
      </c>
      <c r="AS114" s="487">
        <v>1.6</v>
      </c>
      <c r="AT114" s="597">
        <f ca="1">IF($AT$98=2,$AE73,IF($AT$98&gt;2,"ERROR",FORECAST($AT$98,OFFSET($O73,0,$AT$90):OFFSET($O73,0,$AT$90+1),OFFSET($O$57,0,$AT$90):OFFSET($O$57,0,$AT$90+1))))</f>
        <v>0.54675</v>
      </c>
      <c r="AU114" s="3"/>
      <c r="AV114" s="3"/>
      <c r="AW114" s="3"/>
      <c r="AX114" s="3"/>
      <c r="AY114" s="3"/>
      <c r="AZ114" s="31"/>
      <c r="BA114" s="9"/>
      <c r="BB114" s="344" t="s">
        <v>272</v>
      </c>
      <c r="BC114" s="345">
        <v>1.65</v>
      </c>
      <c r="BD114" s="343"/>
      <c r="BE114" s="209"/>
      <c r="BF114" s="343"/>
      <c r="BR114" s="9"/>
    </row>
    <row r="115" spans="1:70" ht="12.75">
      <c r="A115" s="19"/>
      <c r="F115" s="99"/>
      <c r="G115" s="55"/>
      <c r="H115" s="76"/>
      <c r="I115" s="7"/>
      <c r="J115" s="55"/>
      <c r="K115" s="54"/>
      <c r="L115" s="45"/>
      <c r="U115" s="29"/>
      <c r="V115" s="29"/>
      <c r="AG115" s="487">
        <v>1.8</v>
      </c>
      <c r="AH115" s="513">
        <f ca="1">IF($AH$98=2,$AE74,IF($AH$98&gt;2,"ERROR",FORECAST($AH$98,OFFSET($O74,0,$AH$90):OFFSET($O74,0,$AH$90+1),OFFSET($O$57,0,$AH$90):OFFSET($O$57,0,$AH$90+1))))</f>
        <v>0.5791666666666666</v>
      </c>
      <c r="AJ115" s="487">
        <v>1.8</v>
      </c>
      <c r="AK115" s="597">
        <f ca="1">IF($AK$98=2,$AE74,IF($AK$98&gt;2,"ERROR",FORECAST($AK$98,OFFSET($O74,0,$AK$90):OFFSET($O74,0,$AK$90+1),OFFSET($O$57,0,$AK$90):OFFSET($O$57,0,$AK$90+1))))</f>
        <v>0.5456428571428571</v>
      </c>
      <c r="AM115" s="487">
        <v>1.8</v>
      </c>
      <c r="AN115" s="597">
        <f ca="1">IF($AN$98=2,$AE74,IF($AN$98&gt;2,"ERROR",FORECAST($AN$98,OFFSET($O74,0,$AN$90):OFFSET($O74,0,$AN$90+1),OFFSET($O$57,0,$AN$90):OFFSET($O$57,0,$AN$90+1))))</f>
        <v>0.5213125</v>
      </c>
      <c r="AP115" s="487">
        <v>1.8</v>
      </c>
      <c r="AQ115" s="597">
        <f ca="1">IF($AQ$98=2,$AE74,IF($AQ$98&gt;2,"ERROR",FORECAST($AQ$98,OFFSET($O74,0,$AQ$90):OFFSET($O74,0,$AQ$90+1),OFFSET($O$57,0,$AQ$90):OFFSET($O$57,0,$AQ$90+1))))</f>
        <v>0.5023888888888889</v>
      </c>
      <c r="AS115" s="487">
        <v>1.8</v>
      </c>
      <c r="AT115" s="597">
        <f ca="1">IF($AT$98=2,$AE74,IF($AT$98&gt;2,"ERROR",FORECAST($AT$98,OFFSET($O74,0,$AT$90):OFFSET($O74,0,$AT$90+1),OFFSET($O$57,0,$AT$90):OFFSET($O$57,0,$AT$90+1))))</f>
        <v>0.48724999999999996</v>
      </c>
      <c r="AU115" s="61"/>
      <c r="AV115" s="61"/>
      <c r="AW115" s="61"/>
      <c r="AX115" s="61"/>
      <c r="AY115" s="61"/>
      <c r="AZ115" s="31"/>
      <c r="BA115" s="9"/>
      <c r="BB115" s="344" t="s">
        <v>288</v>
      </c>
      <c r="BC115" s="345">
        <v>1.52</v>
      </c>
      <c r="BD115" s="343"/>
      <c r="BE115" s="209"/>
      <c r="BF115" s="343"/>
      <c r="BR115" s="9"/>
    </row>
    <row r="116" spans="1:70" ht="12.75">
      <c r="A116" s="19"/>
      <c r="B116" s="45"/>
      <c r="C116" s="10"/>
      <c r="D116" s="10"/>
      <c r="E116" s="10"/>
      <c r="F116" s="55"/>
      <c r="G116" s="45"/>
      <c r="H116" s="76"/>
      <c r="I116" s="55"/>
      <c r="J116" s="55"/>
      <c r="K116" s="54"/>
      <c r="L116" s="45"/>
      <c r="U116" s="29"/>
      <c r="V116" s="29"/>
      <c r="AG116" s="487">
        <v>2</v>
      </c>
      <c r="AH116" s="513">
        <f ca="1">IF($AH$98=2,$AE75,IF($AH$98&gt;2,"ERROR",FORECAST($AH$98,OFFSET($O75,0,$AH$90):OFFSET($O75,0,$AH$90+1),OFFSET($O$57,0,$AH$90):OFFSET($O$57,0,$AH$90+1))))</f>
        <v>0.5221666666666667</v>
      </c>
      <c r="AJ116" s="487">
        <v>2</v>
      </c>
      <c r="AK116" s="597">
        <f ca="1">IF($AK$98=2,$AE75,IF($AK$98&gt;2,"ERROR",FORECAST($AK$98,OFFSET($O75,0,$AK$90):OFFSET($O75,0,$AK$90+1),OFFSET($O$57,0,$AK$90):OFFSET($O$57,0,$AK$90+1))))</f>
        <v>0.492</v>
      </c>
      <c r="AM116" s="487">
        <v>2</v>
      </c>
      <c r="AN116" s="597">
        <f ca="1">IF($AN$98=2,$AE75,IF($AN$98&gt;2,"ERROR",FORECAST($AN$98,OFFSET($O75,0,$AN$90):OFFSET($O75,0,$AN$90+1),OFFSET($O$57,0,$AN$90):OFFSET($O$57,0,$AN$90+1))))</f>
        <v>0.47012499999999996</v>
      </c>
      <c r="AP116" s="487">
        <v>2</v>
      </c>
      <c r="AQ116" s="597">
        <f ca="1">IF($AQ$98=2,$AE75,IF($AQ$98&gt;2,"ERROR",FORECAST($AQ$98,OFFSET($O75,0,$AQ$90):OFFSET($O75,0,$AQ$90+1),OFFSET($O$57,0,$AQ$90):OFFSET($O$57,0,$AQ$90+1))))</f>
        <v>0.4531111111111111</v>
      </c>
      <c r="AS116" s="487">
        <v>2</v>
      </c>
      <c r="AT116" s="597">
        <f ca="1">IF($AT$98=2,$AE75,IF($AT$98&gt;2,"ERROR",FORECAST($AT$98,OFFSET($O75,0,$AT$90):OFFSET($O75,0,$AT$90+1),OFFSET($O$57,0,$AT$90):OFFSET($O$57,0,$AT$90+1))))</f>
        <v>0.43949999999999995</v>
      </c>
      <c r="AU116" s="41"/>
      <c r="AV116" s="41"/>
      <c r="AW116" s="41"/>
      <c r="AX116" s="41"/>
      <c r="AY116" s="41"/>
      <c r="AZ116" s="38"/>
      <c r="BA116" s="9"/>
      <c r="BB116" s="344" t="s">
        <v>271</v>
      </c>
      <c r="BC116" s="345">
        <v>1.38</v>
      </c>
      <c r="BD116" s="343"/>
      <c r="BE116" s="209"/>
      <c r="BF116" s="343"/>
      <c r="BR116" s="9"/>
    </row>
    <row r="117" spans="1:70" ht="12.75">
      <c r="A117" s="19"/>
      <c r="B117" s="55"/>
      <c r="C117" s="63"/>
      <c r="D117" s="52"/>
      <c r="E117" s="45"/>
      <c r="F117" s="55"/>
      <c r="G117" s="55"/>
      <c r="H117" s="76"/>
      <c r="I117" s="55"/>
      <c r="J117" s="45"/>
      <c r="K117" s="46"/>
      <c r="L117" s="45"/>
      <c r="U117" s="29"/>
      <c r="V117" s="29"/>
      <c r="AG117" s="487">
        <v>2.2</v>
      </c>
      <c r="AH117" s="513">
        <f ca="1">IF($AH$98=2,$AE76,IF($AH$98&gt;2,"ERROR",FORECAST($AH$98,OFFSET($O76,0,$AH$90):OFFSET($O76,0,$AH$90+1),OFFSET($O$57,0,$AH$90):OFFSET($O$57,0,$AH$90+1))))</f>
        <v>0.4753333333333334</v>
      </c>
      <c r="AJ117" s="487">
        <v>2.2</v>
      </c>
      <c r="AK117" s="597">
        <f ca="1">IF($AK$98=2,$AE76,IF($AK$98&gt;2,"ERROR",FORECAST($AK$98,OFFSET($O76,0,$AK$90):OFFSET($O76,0,$AK$90+1),OFFSET($O$57,0,$AK$90):OFFSET($O$57,0,$AK$90+1))))</f>
        <v>0.4477142857142858</v>
      </c>
      <c r="AM117" s="487">
        <v>2.2</v>
      </c>
      <c r="AN117" s="597">
        <f ca="1">IF($AN$98=2,$AE76,IF($AN$98&gt;2,"ERROR",FORECAST($AN$98,OFFSET($O76,0,$AN$90):OFFSET($O76,0,$AN$90+1),OFFSET($O$57,0,$AN$90):OFFSET($O$57,0,$AN$90+1))))</f>
        <v>0.42762500000000003</v>
      </c>
      <c r="AP117" s="487">
        <v>2.2</v>
      </c>
      <c r="AQ117" s="597">
        <f ca="1">IF($AQ$98=2,$AE76,IF($AQ$98&gt;2,"ERROR",FORECAST($AQ$98,OFFSET($O76,0,$AQ$90):OFFSET($O76,0,$AQ$90+1),OFFSET($O$57,0,$AQ$90):OFFSET($O$57,0,$AQ$90+1))))</f>
        <v>0.41200000000000003</v>
      </c>
      <c r="AS117" s="487">
        <v>2.2</v>
      </c>
      <c r="AT117" s="597">
        <f ca="1">IF($AT$98=2,$AE76,IF($AT$98&gt;2,"ERROR",FORECAST($AT$98,OFFSET($O76,0,$AT$90):OFFSET($O76,0,$AT$90+1),OFFSET($O$57,0,$AT$90):OFFSET($O$57,0,$AT$90+1))))</f>
        <v>0.3995000000000001</v>
      </c>
      <c r="AU117" s="61"/>
      <c r="AV117" s="61"/>
      <c r="AW117" s="61"/>
      <c r="AX117" s="61"/>
      <c r="AY117" s="61"/>
      <c r="AZ117" s="31"/>
      <c r="BA117" s="9"/>
      <c r="BB117" s="344" t="s">
        <v>270</v>
      </c>
      <c r="BC117" s="345">
        <v>1.26</v>
      </c>
      <c r="BD117" s="343"/>
      <c r="BE117" s="209"/>
      <c r="BF117" s="343"/>
      <c r="BR117" s="9"/>
    </row>
    <row r="118" spans="1:70" ht="12.75">
      <c r="A118" s="19"/>
      <c r="C118" s="446"/>
      <c r="F118" s="55"/>
      <c r="G118" s="55"/>
      <c r="H118" s="56"/>
      <c r="I118" s="45"/>
      <c r="J118" s="45"/>
      <c r="K118" s="46"/>
      <c r="L118" s="45"/>
      <c r="U118" s="29"/>
      <c r="V118" s="29"/>
      <c r="AG118" s="487">
        <v>2.4</v>
      </c>
      <c r="AH118" s="513">
        <f ca="1">IF($AH$98=2,$AE77,IF($AH$98&gt;2,"ERROR",FORECAST($AH$98,OFFSET($O77,0,$AH$90):OFFSET($O77,0,$AH$90+1),OFFSET($O$57,0,$AH$90):OFFSET($O$57,0,$AH$90+1))))</f>
        <v>0.43566666666666665</v>
      </c>
      <c r="AJ118" s="487">
        <v>2.4</v>
      </c>
      <c r="AK118" s="597">
        <f ca="1">IF($AK$98=2,$AE77,IF($AK$98&gt;2,"ERROR",FORECAST($AK$98,OFFSET($O77,0,$AK$90):OFFSET($O77,0,$AK$90+1),OFFSET($O$57,0,$AK$90):OFFSET($O$57,0,$AK$90+1))))</f>
        <v>0.4106428571428571</v>
      </c>
      <c r="AM118" s="487">
        <v>2.4</v>
      </c>
      <c r="AN118" s="597">
        <f ca="1">IF($AN$98=2,$AE77,IF($AN$98&gt;2,"ERROR",FORECAST($AN$98,OFFSET($O77,0,$AN$90):OFFSET($O77,0,$AN$90+1),OFFSET($O$57,0,$AN$90):OFFSET($O$57,0,$AN$90+1))))</f>
        <v>0.3925624999999999</v>
      </c>
      <c r="AP118" s="487">
        <v>2.4</v>
      </c>
      <c r="AQ118" s="597">
        <f ca="1">IF($AQ$98=2,$AE77,IF($AQ$98&gt;2,"ERROR",FORECAST($AQ$98,OFFSET($O77,0,$AQ$90):OFFSET($O77,0,$AQ$90+1),OFFSET($O$57,0,$AQ$90):OFFSET($O$57,0,$AQ$90+1))))</f>
        <v>0.37849999999999995</v>
      </c>
      <c r="AS118" s="487">
        <v>2.4</v>
      </c>
      <c r="AT118" s="597">
        <f ca="1">IF($AT$98=2,$AE77,IF($AT$98&gt;2,"ERROR",FORECAST($AT$98,OFFSET($O77,0,$AT$90):OFFSET($O77,0,$AT$90+1),OFFSET($O$57,0,$AT$90):OFFSET($O$57,0,$AT$90+1))))</f>
        <v>0.3672499999999999</v>
      </c>
      <c r="AZ118" s="31"/>
      <c r="BA118" s="9"/>
      <c r="BB118" s="344" t="s">
        <v>1084</v>
      </c>
      <c r="BC118" s="345">
        <v>1.16</v>
      </c>
      <c r="BD118" s="343"/>
      <c r="BE118" s="209"/>
      <c r="BF118" s="343"/>
      <c r="BR118" s="9"/>
    </row>
    <row r="119" spans="1:70" ht="12.75">
      <c r="A119" s="19"/>
      <c r="C119" s="446"/>
      <c r="F119" s="55"/>
      <c r="G119" s="45"/>
      <c r="H119" s="99"/>
      <c r="I119" s="45"/>
      <c r="J119" s="45"/>
      <c r="K119" s="46"/>
      <c r="L119" s="45"/>
      <c r="U119" s="29"/>
      <c r="V119" s="29"/>
      <c r="AG119" s="487">
        <v>2.6</v>
      </c>
      <c r="AH119" s="513">
        <f ca="1">IF($AH$98=2,$AE78,IF($AH$98&gt;2,"ERROR",FORECAST($AH$98,OFFSET($O78,0,$AH$90):OFFSET($O78,0,$AH$90+1),OFFSET($O$57,0,$AH$90):OFFSET($O$57,0,$AH$90+1))))</f>
        <v>0.403</v>
      </c>
      <c r="AJ119" s="487">
        <v>2.6</v>
      </c>
      <c r="AK119" s="597">
        <f ca="1">IF($AK$98=2,$AE78,IF($AK$98&gt;2,"ERROR",FORECAST($AK$98,OFFSET($O78,0,$AK$90):OFFSET($O78,0,$AK$90+1),OFFSET($O$57,0,$AK$90):OFFSET($O$57,0,$AK$90+1))))</f>
        <v>0.37971428571428567</v>
      </c>
      <c r="AM119" s="487">
        <v>2.6</v>
      </c>
      <c r="AN119" s="597">
        <f ca="1">IF($AN$98=2,$AE78,IF($AN$98&gt;2,"ERROR",FORECAST($AN$98,OFFSET($O78,0,$AN$90):OFFSET($O78,0,$AN$90+1),OFFSET($O$57,0,$AN$90):OFFSET($O$57,0,$AN$90+1))))</f>
        <v>0.36274999999999996</v>
      </c>
      <c r="AP119" s="487">
        <v>2.6</v>
      </c>
      <c r="AQ119" s="597">
        <f ca="1">IF($AQ$98=2,$AE78,IF($AQ$98&gt;2,"ERROR",FORECAST($AQ$98,OFFSET($O78,0,$AQ$90):OFFSET($O78,0,$AQ$90+1),OFFSET($O$57,0,$AQ$90):OFFSET($O$57,0,$AQ$90+1))))</f>
        <v>0.3495555555555555</v>
      </c>
      <c r="AS119" s="487">
        <v>2.6</v>
      </c>
      <c r="AT119" s="597">
        <f ca="1">IF($AT$98=2,$AE78,IF($AT$98&gt;2,"ERROR",FORECAST($AT$98,OFFSET($O78,0,$AT$90):OFFSET($O78,0,$AT$90+1),OFFSET($O$57,0,$AT$90):OFFSET($O$57,0,$AT$90+1))))</f>
        <v>0.33899999999999997</v>
      </c>
      <c r="AU119" s="41"/>
      <c r="AV119" s="41"/>
      <c r="AW119" s="41"/>
      <c r="AX119" s="41"/>
      <c r="AY119" s="41"/>
      <c r="AZ119" s="31"/>
      <c r="BA119" s="9"/>
      <c r="BB119" s="344" t="s">
        <v>28</v>
      </c>
      <c r="BC119" s="345">
        <v>1.06</v>
      </c>
      <c r="BD119" s="343"/>
      <c r="BE119" s="209"/>
      <c r="BF119" s="343"/>
      <c r="BR119" s="9"/>
    </row>
    <row r="120" spans="1:70" ht="12.75">
      <c r="A120" s="19"/>
      <c r="B120" s="55"/>
      <c r="C120" s="5"/>
      <c r="D120" s="52"/>
      <c r="E120" s="45"/>
      <c r="F120" s="55"/>
      <c r="G120" s="45"/>
      <c r="H120" s="45"/>
      <c r="I120" s="45"/>
      <c r="J120" s="45"/>
      <c r="K120" s="46"/>
      <c r="L120" s="45"/>
      <c r="U120" s="29"/>
      <c r="V120" s="29"/>
      <c r="AG120" s="487">
        <v>2.8</v>
      </c>
      <c r="AH120" s="513">
        <f ca="1">IF($AH$98=2,$AE79,IF($AH$98&gt;2,"ERROR",FORECAST($AH$98,OFFSET($O79,0,$AH$90):OFFSET($O79,0,$AH$90+1),OFFSET($O$57,0,$AH$90):OFFSET($O$57,0,$AH$90+1))))</f>
        <v>0.37458333333333327</v>
      </c>
      <c r="AJ120" s="487">
        <v>2.8</v>
      </c>
      <c r="AK120" s="597">
        <f ca="1">IF($AK$98=2,$AE79,IF($AK$98&gt;2,"ERROR",FORECAST($AK$98,OFFSET($O79,0,$AK$90):OFFSET($O79,0,$AK$90+1),OFFSET($O$57,0,$AK$90):OFFSET($O$57,0,$AK$90+1))))</f>
        <v>0.35278571428571426</v>
      </c>
      <c r="AM120" s="487">
        <v>2.8</v>
      </c>
      <c r="AN120" s="597">
        <f ca="1">IF($AN$98=2,$AE79,IF($AN$98&gt;2,"ERROR",FORECAST($AN$98,OFFSET($O79,0,$AN$90):OFFSET($O79,0,$AN$90+1),OFFSET($O$57,0,$AN$90):OFFSET($O$57,0,$AN$90+1))))</f>
        <v>0.3369375</v>
      </c>
      <c r="AP120" s="487">
        <v>2.8</v>
      </c>
      <c r="AQ120" s="597">
        <f ca="1">IF($AQ$98=2,$AE79,IF($AQ$98&gt;2,"ERROR",FORECAST($AQ$98,OFFSET($O79,0,$AQ$90):OFFSET($O79,0,$AQ$90+1),OFFSET($O$57,0,$AQ$90):OFFSET($O$57,0,$AQ$90+1))))</f>
        <v>0.32461111111111113</v>
      </c>
      <c r="AS120" s="487">
        <v>2.8</v>
      </c>
      <c r="AT120" s="597">
        <f ca="1">IF($AT$98=2,$AE79,IF($AT$98&gt;2,"ERROR",FORECAST($AT$98,OFFSET($O79,0,$AT$90):OFFSET($O79,0,$AT$90+1),OFFSET($O$57,0,$AT$90):OFFSET($O$57,0,$AT$90+1))))</f>
        <v>0.31475</v>
      </c>
      <c r="AU120" s="40"/>
      <c r="AV120" s="40"/>
      <c r="AW120" s="40"/>
      <c r="AX120" s="40"/>
      <c r="AY120" s="40"/>
      <c r="AZ120" s="31"/>
      <c r="BA120" s="9"/>
      <c r="BB120" s="344" t="s">
        <v>406</v>
      </c>
      <c r="BC120" s="345">
        <v>0.98</v>
      </c>
      <c r="BD120" s="343"/>
      <c r="BE120" s="209"/>
      <c r="BF120" s="343"/>
      <c r="BR120" s="9"/>
    </row>
    <row r="121" spans="1:70" ht="12.75">
      <c r="A121" s="19"/>
      <c r="B121" s="55"/>
      <c r="C121" s="52"/>
      <c r="D121" s="55"/>
      <c r="E121" s="55"/>
      <c r="F121" s="55"/>
      <c r="G121" s="45"/>
      <c r="H121" s="45"/>
      <c r="I121" s="45"/>
      <c r="J121" s="45"/>
      <c r="K121" s="46"/>
      <c r="L121" s="45"/>
      <c r="U121" s="29"/>
      <c r="V121" s="29"/>
      <c r="AG121" s="498">
        <v>3</v>
      </c>
      <c r="AH121" s="540">
        <f ca="1">IF($AH$98=2,$AE80,IF($AH$98&gt;2,"ERROR",FORECAST($AH$98,OFFSET($O80,0,$AH$90):OFFSET($O80,0,$AH$90+1),OFFSET($O$57,0,$AH$90):OFFSET($O$57,0,$AH$90+1))))</f>
        <v>0.3491666666666667</v>
      </c>
      <c r="AJ121" s="498">
        <v>3</v>
      </c>
      <c r="AK121" s="598">
        <f ca="1">IF($AK$98=2,$AE80,IF($AK$98&gt;2,"ERROR",FORECAST($AK$98,OFFSET($O80,0,$AK$90):OFFSET($O80,0,$AK$90+1),OFFSET($O$57,0,$AK$90):OFFSET($O$57,0,$AK$90+1))))</f>
        <v>0.3288571428571429</v>
      </c>
      <c r="AM121" s="498">
        <v>3</v>
      </c>
      <c r="AN121" s="598">
        <f ca="1">IF($AN$98=2,$AE80,IF($AN$98&gt;2,"ERROR",FORECAST($AN$98,OFFSET($O80,0,$AN$90):OFFSET($O80,0,$AN$90+1),OFFSET($O$57,0,$AN$90):OFFSET($O$57,0,$AN$90+1))))</f>
        <v>0.31412500000000004</v>
      </c>
      <c r="AP121" s="498">
        <v>3</v>
      </c>
      <c r="AQ121" s="598">
        <f ca="1">IF($AQ$98=2,$AE80,IF($AQ$98&gt;2,"ERROR",FORECAST($AQ$98,OFFSET($O80,0,$AQ$90):OFFSET($O80,0,$AQ$90+1),OFFSET($O$57,0,$AQ$90):OFFSET($O$57,0,$AQ$90+1))))</f>
        <v>0.3026666666666667</v>
      </c>
      <c r="AS121" s="498">
        <v>3</v>
      </c>
      <c r="AT121" s="598">
        <f ca="1">IF($AT$98=2,$AE80,IF($AT$98&gt;2,"ERROR",FORECAST($AT$98,OFFSET($O80,0,$AT$90):OFFSET($O80,0,$AT$90+1),OFFSET($O$57,0,$AT$90):OFFSET($O$57,0,$AT$90+1))))</f>
        <v>0.29350000000000004</v>
      </c>
      <c r="AU121" s="61"/>
      <c r="AV121" s="61"/>
      <c r="AW121" s="61"/>
      <c r="AX121" s="61"/>
      <c r="AY121" s="61"/>
      <c r="AZ121" s="31"/>
      <c r="BA121" s="9"/>
      <c r="BB121" s="344" t="s">
        <v>405</v>
      </c>
      <c r="BC121" s="345">
        <v>0.91</v>
      </c>
      <c r="BD121" s="343"/>
      <c r="BE121" s="209"/>
      <c r="BF121" s="343"/>
      <c r="BR121" s="9"/>
    </row>
    <row r="122" spans="1:74" ht="12.75">
      <c r="A122" s="19"/>
      <c r="B122" s="55"/>
      <c r="C122" s="45"/>
      <c r="D122" s="45"/>
      <c r="E122" s="45"/>
      <c r="F122" s="55"/>
      <c r="G122" s="45"/>
      <c r="H122" s="45"/>
      <c r="I122" s="45"/>
      <c r="J122" s="45"/>
      <c r="K122" s="46"/>
      <c r="L122" s="45"/>
      <c r="U122" s="29"/>
      <c r="V122" s="29"/>
      <c r="AG122" s="504" t="s">
        <v>526</v>
      </c>
      <c r="AH122" s="541">
        <f ca="1">IF($AH$98=2,$AE81,IF($AH$98&gt;2,"ERROR",FORECAST($AH$98,OFFSET($O81,0,$AH$90):OFFSET($O81,0,$AH$90+1),OFFSET($O$57,0,$AH$90):OFFSET($O$57,0,$AH$90+1))))</f>
        <v>0.03125</v>
      </c>
      <c r="AJ122" s="504" t="s">
        <v>526</v>
      </c>
      <c r="AK122" s="550">
        <f ca="1">IF($AK$98=2,$AE81,IF($AK$98&gt;2,"ERROR",FORECAST($AK$98,OFFSET($O81,0,$AK$90):OFFSET($O81,0,$AK$90+1),OFFSET($O$57,0,$AK$90):OFFSET($O$57,0,$AK$90+1))))</f>
        <v>0.0245</v>
      </c>
      <c r="AM122" s="504" t="s">
        <v>526</v>
      </c>
      <c r="AN122" s="550">
        <f ca="1">IF($AN$98=2,$AE81,IF($AN$98&gt;2,"ERROR",FORECAST($AN$98,OFFSET($O81,0,$AN$90):OFFSET($O81,0,$AN$90+1),OFFSET($O$57,0,$AN$90):OFFSET($O$57,0,$AN$90+1))))</f>
        <v>0.019812500000000004</v>
      </c>
      <c r="AP122" s="504" t="s">
        <v>526</v>
      </c>
      <c r="AQ122" s="550">
        <f ca="1">IF($AQ$98=2,$AE81,IF($AQ$98&gt;2,"ERROR",FORECAST($AQ$98,OFFSET($O81,0,$AQ$90):OFFSET($O81,0,$AQ$90+1),OFFSET($O$57,0,$AQ$90):OFFSET($O$57,0,$AQ$90+1))))</f>
        <v>0.01616666666666667</v>
      </c>
      <c r="AS122" s="504" t="s">
        <v>526</v>
      </c>
      <c r="AT122" s="550">
        <f ca="1">IF($AT$98=2,$AE81,IF($AT$98&gt;2,"ERROR",FORECAST($AT$98,OFFSET($O81,0,$AT$90):OFFSET($O81,0,$AT$90+1),OFFSET($O$57,0,$AT$90):OFFSET($O$57,0,$AT$90+1))))</f>
        <v>0.013250000000000001</v>
      </c>
      <c r="AU122" s="61"/>
      <c r="AV122" s="61"/>
      <c r="AW122" s="61"/>
      <c r="AX122" s="61"/>
      <c r="AY122" s="61"/>
      <c r="AZ122" s="31"/>
      <c r="BA122" s="9"/>
      <c r="BB122" s="344" t="s">
        <v>404</v>
      </c>
      <c r="BC122" s="345">
        <v>0.83</v>
      </c>
      <c r="BD122" s="343"/>
      <c r="BE122" s="209"/>
      <c r="BF122" s="343"/>
      <c r="BR122" s="9"/>
      <c r="BS122" s="9"/>
      <c r="BT122" s="9"/>
      <c r="BU122" s="9"/>
      <c r="BV122" s="9"/>
    </row>
    <row r="123" spans="1:74" ht="12.75">
      <c r="A123" s="567"/>
      <c r="B123" s="10"/>
      <c r="C123" s="10"/>
      <c r="D123" s="10"/>
      <c r="E123" s="10"/>
      <c r="F123" s="45"/>
      <c r="G123" s="45"/>
      <c r="H123" s="45"/>
      <c r="I123" s="45"/>
      <c r="J123" s="45"/>
      <c r="K123" s="46"/>
      <c r="L123" s="45"/>
      <c r="U123" s="29"/>
      <c r="V123" s="29"/>
      <c r="AN123" s="599"/>
      <c r="AU123" s="61"/>
      <c r="AV123" s="61"/>
      <c r="AW123" s="61"/>
      <c r="AX123" s="61"/>
      <c r="AY123" s="61"/>
      <c r="AZ123" s="31"/>
      <c r="BB123" s="344" t="s">
        <v>403</v>
      </c>
      <c r="BC123" s="345">
        <v>0.75</v>
      </c>
      <c r="BD123" s="343"/>
      <c r="BE123" s="209"/>
      <c r="BF123" s="343"/>
      <c r="BR123" s="9"/>
      <c r="BS123" s="9"/>
      <c r="BT123" s="9"/>
      <c r="BU123" s="9"/>
      <c r="BV123" s="9"/>
    </row>
    <row r="124" spans="1:74" ht="12.75">
      <c r="A124" s="79"/>
      <c r="B124" s="52"/>
      <c r="C124" s="55"/>
      <c r="D124" s="52"/>
      <c r="E124" s="45"/>
      <c r="F124" s="45"/>
      <c r="G124" s="45"/>
      <c r="H124" s="99"/>
      <c r="I124" s="45"/>
      <c r="J124" s="45"/>
      <c r="K124" s="46"/>
      <c r="L124" s="45"/>
      <c r="U124" s="29"/>
      <c r="V124" s="29"/>
      <c r="AG124" s="186" t="s">
        <v>18</v>
      </c>
      <c r="AH124" s="509">
        <f>$AH$98</f>
        <v>0.20833333333333334</v>
      </c>
      <c r="AJ124" s="186" t="s">
        <v>18</v>
      </c>
      <c r="AK124" s="509">
        <f>$AK$98</f>
        <v>0.17857142857142858</v>
      </c>
      <c r="AM124" s="186" t="s">
        <v>18</v>
      </c>
      <c r="AN124" s="509">
        <f>$AN$98</f>
        <v>0.15625</v>
      </c>
      <c r="AP124" s="186" t="s">
        <v>18</v>
      </c>
      <c r="AQ124" s="509">
        <f>$AQ$98</f>
        <v>0.1388888888888889</v>
      </c>
      <c r="AS124" s="186" t="s">
        <v>18</v>
      </c>
      <c r="AT124" s="509">
        <f>$AT$98</f>
        <v>0.125</v>
      </c>
      <c r="BB124" s="344" t="s">
        <v>251</v>
      </c>
      <c r="BC124" s="345">
        <v>0.725</v>
      </c>
      <c r="BD124" s="343"/>
      <c r="BE124" s="209"/>
      <c r="BF124" s="343"/>
      <c r="BR124" s="9"/>
      <c r="BS124" s="9"/>
      <c r="BT124" s="9"/>
      <c r="BU124" s="9"/>
      <c r="BV124" s="9"/>
    </row>
    <row r="125" spans="1:74" ht="12.75">
      <c r="A125" s="79"/>
      <c r="B125" s="55"/>
      <c r="C125" s="63"/>
      <c r="D125" s="5"/>
      <c r="E125" s="45"/>
      <c r="F125" s="45"/>
      <c r="G125" s="45"/>
      <c r="H125" s="45"/>
      <c r="I125" s="45"/>
      <c r="J125" s="45"/>
      <c r="K125" s="46"/>
      <c r="L125" s="45"/>
      <c r="U125" s="29"/>
      <c r="V125" s="29"/>
      <c r="AG125" s="511">
        <f>$W$17</f>
        <v>0.21875</v>
      </c>
      <c r="AH125" s="511">
        <f ca="1">IF($AG$125&lt;=$O$80,IF($AH$98&gt;2,"ERROR",IF($AG$125&gt;3,"ERROR",FORECAST($AG$125,OFFSET($AH$98,$AH$94,0):OFFSET($AH$98,$AH$94+1,0),OFFSET($O$57,$AH$94,0):OFFSET($O$57,$AH$94+1,0)))),$AH$121)</f>
        <v>2.6240625</v>
      </c>
      <c r="AJ125" s="550">
        <f>$Z$17</f>
        <v>0.18978571428571428</v>
      </c>
      <c r="AK125" s="550">
        <f ca="1">IF($AJ$125&lt;=$O$80,IF($AK$98&gt;2,"ERROR",IF($AJ$125&gt;3,"ERROR",FORECAST($AJ$125,OFFSET($AK$98,$AK$94,0):OFFSET($AK$98,$AK$94+1,0),OFFSET($O$57,$AK$94,0):OFFSET($O$57,$AK$94+1,0)))),$AK$121)</f>
        <v>2.5526867346938777</v>
      </c>
      <c r="AM125" s="550">
        <f>$AB$17</f>
        <v>0.1676875</v>
      </c>
      <c r="AN125" s="550">
        <f ca="1">IF($AM$125&lt;=$O$80,IF($AN$98&gt;2,"ERROR",IF($AM$125&gt;3,"ERROR",FORECAST($AM$125,OFFSET($AN$98,$AN$94,0):OFFSET($AN$98,$AN$94+1,0),OFFSET($O$57,$AN$94,0):OFFSET($O$57,$AN$94+1,0)))),$AN$121)</f>
        <v>2.48926796875</v>
      </c>
      <c r="AP125" s="550">
        <f>$AC$17</f>
        <v>0.1505</v>
      </c>
      <c r="AQ125" s="550">
        <f ca="1">IF($AP$125&lt;=$O$80,IF($AQ$98&gt;2,"ERROR",IF($AP$125&gt;3,"ERROR",FORECAST($AP$125,OFFSET($AQ$98,$AQ$94,0):OFFSET($AQ$98,$AQ$94+1,0),OFFSET($O$57,$AQ$94,0):OFFSET($O$57,$AQ$94+1,0)))),$AQ$121)</f>
        <v>2.43585</v>
      </c>
      <c r="AS125" s="550">
        <f>$AF$17</f>
        <v>0.13674999999999998</v>
      </c>
      <c r="AT125" s="550">
        <f ca="1">IF($AS$125&lt;=$O$80,IF($AT$98&gt;2,"ERROR",IF($AS$125&gt;3,"ERROR",FORECAST($AS$125,OFFSET($AT$98,$AT$94,0):OFFSET($AT$98,$AT$94+1,0),OFFSET($O$57,$AT$94,0):OFFSET($O$57,$AT$94+1,0)))),$AT$121)</f>
        <v>2.3792750000000003</v>
      </c>
      <c r="BB125" s="344" t="s">
        <v>431</v>
      </c>
      <c r="BC125" s="345">
        <v>0.66</v>
      </c>
      <c r="BD125" s="343"/>
      <c r="BE125" s="209"/>
      <c r="BF125" s="343"/>
      <c r="BR125" s="9"/>
      <c r="BS125" s="9"/>
      <c r="BT125" s="9"/>
      <c r="BU125" s="9"/>
      <c r="BV125" s="9"/>
    </row>
    <row r="126" spans="1:74" ht="12.75">
      <c r="A126" s="19"/>
      <c r="B126" s="55"/>
      <c r="C126" s="10"/>
      <c r="D126" s="10"/>
      <c r="E126" s="55"/>
      <c r="F126" s="55"/>
      <c r="G126" s="55"/>
      <c r="H126" s="55"/>
      <c r="I126" s="45"/>
      <c r="J126" s="45"/>
      <c r="K126" s="46"/>
      <c r="L126" s="45"/>
      <c r="BB126" s="344" t="s">
        <v>200</v>
      </c>
      <c r="BC126" s="345">
        <v>0.605</v>
      </c>
      <c r="BD126" s="343"/>
      <c r="BE126" s="209"/>
      <c r="BF126" s="343"/>
      <c r="BR126" s="9"/>
      <c r="BS126" s="9"/>
      <c r="BT126" s="9"/>
      <c r="BU126" s="9"/>
      <c r="BV126" s="9"/>
    </row>
    <row r="127" spans="1:74" ht="12.75">
      <c r="A127" s="19"/>
      <c r="B127" s="55"/>
      <c r="C127" s="63"/>
      <c r="E127" s="55"/>
      <c r="F127" s="55"/>
      <c r="G127" s="55"/>
      <c r="H127" s="99"/>
      <c r="I127" s="45"/>
      <c r="J127" s="45"/>
      <c r="K127" s="46"/>
      <c r="L127" s="45"/>
      <c r="BB127" s="344" t="s">
        <v>199</v>
      </c>
      <c r="BC127" s="345">
        <v>0.61</v>
      </c>
      <c r="BD127" s="343"/>
      <c r="BE127" s="209"/>
      <c r="BF127" s="343"/>
      <c r="BR127" s="9"/>
      <c r="BS127" s="9"/>
      <c r="BT127" s="9"/>
      <c r="BU127" s="9"/>
      <c r="BV127" s="9"/>
    </row>
    <row r="128" spans="1:74" ht="12.75">
      <c r="A128" s="19"/>
      <c r="B128" s="10"/>
      <c r="C128" s="390"/>
      <c r="D128" s="10"/>
      <c r="E128" s="10"/>
      <c r="F128" s="10"/>
      <c r="G128" s="10"/>
      <c r="H128" s="55"/>
      <c r="I128" s="45"/>
      <c r="J128" s="45"/>
      <c r="K128" s="46"/>
      <c r="L128" s="45"/>
      <c r="AH128" s="247" t="s">
        <v>1157</v>
      </c>
      <c r="AK128" s="247" t="s">
        <v>1158</v>
      </c>
      <c r="AN128" s="247" t="s">
        <v>1159</v>
      </c>
      <c r="AQ128" s="247" t="s">
        <v>1160</v>
      </c>
      <c r="AT128" s="247" t="s">
        <v>1067</v>
      </c>
      <c r="BB128" s="344" t="s">
        <v>198</v>
      </c>
      <c r="BC128" s="345">
        <v>0.57</v>
      </c>
      <c r="BD128" s="343"/>
      <c r="BE128" s="209"/>
      <c r="BF128" s="343"/>
      <c r="BR128" s="9"/>
      <c r="BS128" s="9"/>
      <c r="BT128" s="9"/>
      <c r="BU128" s="9"/>
      <c r="BV128" s="9"/>
    </row>
    <row r="129" spans="1:74" ht="12.75">
      <c r="A129" s="19"/>
      <c r="B129" s="10"/>
      <c r="C129" s="441"/>
      <c r="D129" s="52"/>
      <c r="E129" s="55"/>
      <c r="F129" s="55"/>
      <c r="G129" s="55"/>
      <c r="H129" s="55"/>
      <c r="I129" s="45"/>
      <c r="J129" s="45"/>
      <c r="K129" s="46"/>
      <c r="L129" s="45"/>
      <c r="AH129" s="460" t="s">
        <v>521</v>
      </c>
      <c r="AK129" s="460" t="s">
        <v>521</v>
      </c>
      <c r="AN129" s="460" t="s">
        <v>521</v>
      </c>
      <c r="AQ129" s="460" t="s">
        <v>521</v>
      </c>
      <c r="AT129" s="460" t="s">
        <v>521</v>
      </c>
      <c r="BB129" s="344" t="s">
        <v>197</v>
      </c>
      <c r="BC129" s="345">
        <v>0.515</v>
      </c>
      <c r="BD129" s="343"/>
      <c r="BE129" s="209"/>
      <c r="BF129" s="343"/>
      <c r="BR129" s="9"/>
      <c r="BS129" s="9"/>
      <c r="BT129" s="9"/>
      <c r="BU129" s="9"/>
      <c r="BV129" s="9"/>
    </row>
    <row r="130" spans="1:74" ht="12.75">
      <c r="A130" s="19"/>
      <c r="B130" s="10"/>
      <c r="C130" s="441"/>
      <c r="D130" s="10"/>
      <c r="E130" s="10"/>
      <c r="F130" s="10"/>
      <c r="G130" s="251"/>
      <c r="H130" s="10"/>
      <c r="I130" s="45"/>
      <c r="J130" s="45"/>
      <c r="K130" s="46"/>
      <c r="L130" s="45"/>
      <c r="AH130" s="460" t="s">
        <v>522</v>
      </c>
      <c r="AK130" s="460" t="s">
        <v>522</v>
      </c>
      <c r="AN130" s="460" t="s">
        <v>522</v>
      </c>
      <c r="AQ130" s="460" t="s">
        <v>522</v>
      </c>
      <c r="AT130" s="460" t="s">
        <v>522</v>
      </c>
      <c r="BB130" s="344" t="s">
        <v>196</v>
      </c>
      <c r="BC130" s="345">
        <v>0.49</v>
      </c>
      <c r="BD130" s="343"/>
      <c r="BE130" s="209"/>
      <c r="BF130" s="343"/>
      <c r="BR130" s="9"/>
      <c r="BS130" s="9"/>
      <c r="BT130" s="9"/>
      <c r="BU130" s="9"/>
      <c r="BV130" s="9"/>
    </row>
    <row r="131" spans="1:74" ht="12.75">
      <c r="A131" s="73"/>
      <c r="C131" s="566"/>
      <c r="D131" s="52"/>
      <c r="H131" s="251"/>
      <c r="I131" s="45"/>
      <c r="J131" s="45"/>
      <c r="K131" s="46"/>
      <c r="L131" s="45"/>
      <c r="AH131" s="461">
        <f>IF($AH$139&lt;0.1,1,MATCH($AH$139,$P$57:$AE$57))</f>
        <v>2</v>
      </c>
      <c r="AK131" s="461">
        <f>IF($AK$139&lt;0.1,1,MATCH($AK$139,$P$57:$AE$57))</f>
        <v>2</v>
      </c>
      <c r="AN131" s="461">
        <f>IF($AN$139&lt;0.1,1,MATCH($AN$139,$P$57:$AE$57))</f>
        <v>1</v>
      </c>
      <c r="AQ131" s="461">
        <f>IF($AQ$139&lt;0.1,1,MATCH($AQ$139,$P$57:$AE$57))</f>
        <v>1</v>
      </c>
      <c r="AT131" s="461">
        <f>IF($AT$139&lt;0.1,1,MATCH($AT$139,$P$57:$AE$57))</f>
        <v>1</v>
      </c>
      <c r="BB131" s="344" t="s">
        <v>195</v>
      </c>
      <c r="BC131" s="345">
        <v>0.46</v>
      </c>
      <c r="BD131" s="343"/>
      <c r="BE131" s="209"/>
      <c r="BF131" s="343"/>
      <c r="BR131" s="9"/>
      <c r="BS131" s="9"/>
      <c r="BT131" s="9"/>
      <c r="BU131" s="9"/>
      <c r="BV131" s="9"/>
    </row>
    <row r="132" spans="1:74" ht="12.75">
      <c r="A132" s="157"/>
      <c r="B132" s="21"/>
      <c r="C132" s="21"/>
      <c r="D132" s="21"/>
      <c r="E132" s="21"/>
      <c r="F132" s="573"/>
      <c r="G132" s="573"/>
      <c r="H132" s="573"/>
      <c r="I132" s="78"/>
      <c r="J132" s="78"/>
      <c r="K132" s="574"/>
      <c r="L132" s="45"/>
      <c r="AH132" s="462"/>
      <c r="AK132" s="462"/>
      <c r="AN132" s="462"/>
      <c r="AQ132" s="462"/>
      <c r="AT132" s="462"/>
      <c r="BB132" s="344" t="s">
        <v>392</v>
      </c>
      <c r="BC132" s="345">
        <v>1.97</v>
      </c>
      <c r="BD132" s="343"/>
      <c r="BE132" s="209"/>
      <c r="BF132" s="346"/>
      <c r="BR132" s="9"/>
      <c r="BS132" s="9"/>
      <c r="BT132" s="9"/>
      <c r="BU132" s="9"/>
      <c r="BV132" s="9"/>
    </row>
    <row r="133" spans="1:74" ht="12.75">
      <c r="A133" s="45"/>
      <c r="B133" s="251"/>
      <c r="C133" s="251"/>
      <c r="D133" s="251"/>
      <c r="E133" s="251"/>
      <c r="F133" s="251"/>
      <c r="G133" s="251"/>
      <c r="H133" s="251"/>
      <c r="I133" s="45"/>
      <c r="J133" s="45"/>
      <c r="K133" s="45"/>
      <c r="L133" s="45"/>
      <c r="AH133" s="460" t="s">
        <v>523</v>
      </c>
      <c r="AK133" s="460" t="s">
        <v>523</v>
      </c>
      <c r="AN133" s="460" t="s">
        <v>523</v>
      </c>
      <c r="AQ133" s="460" t="s">
        <v>523</v>
      </c>
      <c r="AT133" s="460" t="s">
        <v>523</v>
      </c>
      <c r="BB133" s="344" t="s">
        <v>391</v>
      </c>
      <c r="BC133" s="345">
        <v>1.81</v>
      </c>
      <c r="BD133" s="343"/>
      <c r="BE133" s="209"/>
      <c r="BF133" s="346"/>
      <c r="BR133" s="9"/>
      <c r="BS133" s="9"/>
      <c r="BT133" s="9"/>
      <c r="BU133" s="9"/>
      <c r="BV133" s="9"/>
    </row>
    <row r="134" spans="1:74" ht="12.75">
      <c r="A134" s="45"/>
      <c r="B134" s="154"/>
      <c r="J134" s="45"/>
      <c r="K134" s="45"/>
      <c r="L134" s="45"/>
      <c r="AH134" s="460" t="s">
        <v>524</v>
      </c>
      <c r="AK134" s="460" t="s">
        <v>524</v>
      </c>
      <c r="AN134" s="460" t="s">
        <v>524</v>
      </c>
      <c r="AQ134" s="460" t="s">
        <v>524</v>
      </c>
      <c r="AT134" s="460" t="s">
        <v>524</v>
      </c>
      <c r="BB134" s="344" t="s">
        <v>390</v>
      </c>
      <c r="BC134" s="345">
        <v>1.65</v>
      </c>
      <c r="BD134" s="343"/>
      <c r="BE134" s="209"/>
      <c r="BF134" s="343"/>
      <c r="BR134" s="9"/>
      <c r="BS134" s="204"/>
      <c r="BT134" s="25"/>
      <c r="BU134" s="25"/>
      <c r="BV134" s="204"/>
    </row>
    <row r="135" spans="1:74" ht="12.75">
      <c r="A135" s="45"/>
      <c r="B135" s="231"/>
      <c r="J135" s="45"/>
      <c r="K135" s="45"/>
      <c r="L135" s="45"/>
      <c r="AH135" s="461">
        <f>MATCH($AJ$17,$O$58:$O$80)</f>
        <v>2</v>
      </c>
      <c r="AK135" s="461">
        <f>MATCH($AM$17,$O$58:$O$80)</f>
        <v>2</v>
      </c>
      <c r="AN135" s="461">
        <f>MATCH($AN$17,$O$58:$O$80)</f>
        <v>2</v>
      </c>
      <c r="AQ135" s="461">
        <f>MATCH($AS$17,$O$58:$O$80)</f>
        <v>1</v>
      </c>
      <c r="AT135" s="461">
        <f>MATCH($AX$17,$O$58:$O$80)</f>
        <v>1</v>
      </c>
      <c r="BB135" s="344" t="s">
        <v>389</v>
      </c>
      <c r="BC135" s="345">
        <v>1.52</v>
      </c>
      <c r="BD135" s="343"/>
      <c r="BE135" s="209"/>
      <c r="BF135" s="343"/>
      <c r="BR135" s="9"/>
      <c r="BS135" s="252"/>
      <c r="BT135" s="253"/>
      <c r="BU135" s="253"/>
      <c r="BV135" s="253"/>
    </row>
    <row r="136" spans="1:74" ht="12.75">
      <c r="A136" s="45"/>
      <c r="B136" s="231"/>
      <c r="J136" s="45"/>
      <c r="K136" s="45"/>
      <c r="L136" s="45"/>
      <c r="BB136" s="344" t="s">
        <v>227</v>
      </c>
      <c r="BC136" s="345">
        <v>1.38</v>
      </c>
      <c r="BD136" s="343"/>
      <c r="BE136" s="209"/>
      <c r="BF136" s="343"/>
      <c r="BR136" s="9"/>
      <c r="BS136" s="254"/>
      <c r="BT136" s="255"/>
      <c r="BU136" s="249"/>
      <c r="BV136" s="255"/>
    </row>
    <row r="137" spans="1:74" ht="12.75">
      <c r="A137" s="45"/>
      <c r="B137" s="256"/>
      <c r="J137" s="45"/>
      <c r="K137" s="45"/>
      <c r="L137" s="45"/>
      <c r="BB137" s="344" t="s">
        <v>226</v>
      </c>
      <c r="BC137" s="345">
        <v>1.26</v>
      </c>
      <c r="BD137" s="343"/>
      <c r="BE137" s="209"/>
      <c r="BF137" s="343"/>
      <c r="BR137" s="9"/>
      <c r="BS137" s="254"/>
      <c r="BT137" s="257"/>
      <c r="BU137" s="257"/>
      <c r="BV137" s="258"/>
    </row>
    <row r="138" spans="1:74" ht="12.75">
      <c r="A138" s="45"/>
      <c r="B138" s="10"/>
      <c r="C138" s="10"/>
      <c r="D138" s="10"/>
      <c r="E138" s="10"/>
      <c r="F138" s="10"/>
      <c r="G138" s="10"/>
      <c r="H138" s="10"/>
      <c r="I138" s="10"/>
      <c r="J138" s="45"/>
      <c r="K138" s="45"/>
      <c r="L138" s="45"/>
      <c r="BB138" s="344" t="s">
        <v>225</v>
      </c>
      <c r="BC138" s="345">
        <v>1.16</v>
      </c>
      <c r="BD138" s="343"/>
      <c r="BE138" s="209"/>
      <c r="BF138" s="343"/>
      <c r="BR138" s="9"/>
      <c r="BS138" s="257"/>
      <c r="BT138" s="257"/>
      <c r="BU138" s="259"/>
      <c r="BV138" s="257"/>
    </row>
    <row r="139" spans="1:74" ht="12.75">
      <c r="A139" s="45"/>
      <c r="B139" s="10"/>
      <c r="C139" s="10"/>
      <c r="D139" s="10"/>
      <c r="E139" s="10"/>
      <c r="F139" s="10"/>
      <c r="G139" s="10"/>
      <c r="H139" s="10"/>
      <c r="I139" s="10"/>
      <c r="J139" s="45"/>
      <c r="K139" s="45"/>
      <c r="L139" s="45"/>
      <c r="AG139" s="543" t="s">
        <v>18</v>
      </c>
      <c r="AH139" s="470">
        <f>$AJ$18</f>
        <v>0.11363636363636363</v>
      </c>
      <c r="AJ139" s="543" t="s">
        <v>18</v>
      </c>
      <c r="AK139" s="470">
        <f>$AM$18</f>
        <v>0.10416666666666667</v>
      </c>
      <c r="AM139" s="543" t="s">
        <v>18</v>
      </c>
      <c r="AN139" s="470">
        <f>$AN$18</f>
        <v>0.09615384615384616</v>
      </c>
      <c r="AP139" s="543" t="s">
        <v>18</v>
      </c>
      <c r="AQ139" s="470">
        <f>$AS$18</f>
        <v>0.08928571428571429</v>
      </c>
      <c r="AS139" s="543" t="s">
        <v>18</v>
      </c>
      <c r="AT139" s="470">
        <f>$AX$18</f>
        <v>0.08333333333333333</v>
      </c>
      <c r="BB139" s="344" t="s">
        <v>224</v>
      </c>
      <c r="BC139" s="345">
        <v>1.04</v>
      </c>
      <c r="BD139" s="343"/>
      <c r="BE139" s="209"/>
      <c r="BF139" s="343"/>
      <c r="BR139" s="9"/>
      <c r="BS139" s="257"/>
      <c r="BT139" s="259"/>
      <c r="BU139" s="259"/>
      <c r="BV139" s="259"/>
    </row>
    <row r="140" spans="1:74" ht="12.75">
      <c r="A140" s="45"/>
      <c r="B140" s="251"/>
      <c r="C140" s="251"/>
      <c r="D140" s="251"/>
      <c r="E140" s="251"/>
      <c r="F140" s="251"/>
      <c r="G140" s="251"/>
      <c r="H140" s="251"/>
      <c r="I140" s="45"/>
      <c r="J140" s="45"/>
      <c r="K140" s="45"/>
      <c r="L140" s="45"/>
      <c r="AG140" s="471">
        <v>0</v>
      </c>
      <c r="AH140" s="512">
        <f ca="1">IF($AH$139=2,$AE58,IF($AH$139&gt;2,"ERROR",FORECAST($AH$139,OFFSET($O58,0,$AH$131):OFFSET($O58,0,$AH$131+1),OFFSET($O$57,0,$AH$131):OFFSET($O$57,0,$AH$131+1))))</f>
        <v>2.165</v>
      </c>
      <c r="AJ140" s="471">
        <v>0</v>
      </c>
      <c r="AK140" s="512">
        <f ca="1">IF($AK$139=2,$AE58,IF($AK$139&gt;2,"ERROR",FORECAST($AK$139,OFFSET($O58,0,$AK$131):OFFSET($O58,0,$AK$131+1),OFFSET($O$57,0,$AK$131):OFFSET($O$57,0,$AK$131+1))))</f>
        <v>2.1129166666666666</v>
      </c>
      <c r="AM140" s="471">
        <v>0</v>
      </c>
      <c r="AN140" s="542">
        <f ca="1">IF($AN$139=2,$AE58,IF($AN$139&gt;2,"ERROR",FORECAST($AN$139,OFFSET($O58,0,$AN$131):OFFSET($O58,0,$AN$131+1),OFFSET($O$57,0,$AN$131):OFFSET($O$57,0,$AN$131+1))))</f>
        <v>2.0684615384615386</v>
      </c>
      <c r="AP140" s="471">
        <v>0</v>
      </c>
      <c r="AQ140" s="542">
        <f ca="1">IF($AQ$139=2,$AE58,IF($AQ$139&gt;2,"ERROR",FORECAST($AQ$139,OFFSET($O58,0,$AQ$131):OFFSET($O58,0,$AQ$131+1),OFFSET($O$57,0,$AQ$131):OFFSET($O$57,0,$AQ$131+1))))</f>
        <v>2.0300000000000002</v>
      </c>
      <c r="AS140" s="471">
        <v>0</v>
      </c>
      <c r="AT140" s="542">
        <f ca="1">IF($AT$139=2,$AE58,IF($AT$139&gt;2,"ERROR",FORECAST($AT$139,OFFSET($O58,0,$AT$131):OFFSET($O58,0,$AT$131+1),OFFSET($O$57,0,$AT$131):OFFSET($O$57,0,$AT$131+1))))</f>
        <v>1.9966666666666666</v>
      </c>
      <c r="BB140" s="344" t="s">
        <v>458</v>
      </c>
      <c r="BC140" s="345">
        <v>0.96</v>
      </c>
      <c r="BD140" s="343"/>
      <c r="BE140" s="209"/>
      <c r="BF140" s="343"/>
      <c r="BR140" s="9"/>
      <c r="BS140" s="257"/>
      <c r="BT140" s="259"/>
      <c r="BU140" s="259"/>
      <c r="BV140" s="259"/>
    </row>
    <row r="141" spans="1:74" ht="12.75">
      <c r="A141" s="45"/>
      <c r="B141" s="251"/>
      <c r="C141" s="251"/>
      <c r="D141" s="251"/>
      <c r="E141" s="251"/>
      <c r="F141" s="251"/>
      <c r="G141" s="251"/>
      <c r="H141" s="251"/>
      <c r="I141" s="45"/>
      <c r="J141" s="45"/>
      <c r="K141" s="45"/>
      <c r="L141" s="45"/>
      <c r="AG141" s="477">
        <v>0.1</v>
      </c>
      <c r="AH141" s="513">
        <f ca="1">IF($AH$139=2,$AE59,IF($AH$139&gt;2,"ERROR",FORECAST($AH$139,OFFSET($O59,0,$AH$131):OFFSET($O59,0,$AH$131+1),OFFSET($O$57,0,$AH$131):OFFSET($O$57,0,$AH$131+1))))</f>
        <v>2.3481818181818177</v>
      </c>
      <c r="AJ141" s="477">
        <v>0.1</v>
      </c>
      <c r="AK141" s="513">
        <f ca="1">IF($AK$139=2,$AE59,IF($AK$139&gt;2,"ERROR",FORECAST($AK$139,OFFSET($O59,0,$AK$131):OFFSET($O59,0,$AK$131+1),OFFSET($O$57,0,$AK$131):OFFSET($O$57,0,$AK$131+1))))</f>
        <v>2.3008333333333333</v>
      </c>
      <c r="AM141" s="477">
        <v>0.1</v>
      </c>
      <c r="AN141" s="513">
        <f ca="1">IF($AN$139=2,$AE59,IF($AN$139&gt;2,"ERROR",FORECAST($AN$139,OFFSET($O59,0,$AN$131):OFFSET($O59,0,$AN$131+1),OFFSET($O$57,0,$AN$131):OFFSET($O$57,0,$AN$131+1))))</f>
        <v>2.2638461538461536</v>
      </c>
      <c r="AP141" s="477">
        <v>0.1</v>
      </c>
      <c r="AQ141" s="513">
        <f ca="1">IF($AQ$139=2,$AE59,IF($AQ$139&gt;2,"ERROR",FORECAST($AQ$139,OFFSET($O59,0,$AQ$131):OFFSET($O59,0,$AQ$131+1),OFFSET($O$57,0,$AQ$131):OFFSET($O$57,0,$AQ$131+1))))</f>
        <v>2.2349999999999994</v>
      </c>
      <c r="AS141" s="477">
        <v>0.1</v>
      </c>
      <c r="AT141" s="513">
        <f ca="1">IF($AT$139=2,$AE59,IF($AT$139&gt;2,"ERROR",FORECAST($AT$139,OFFSET($O59,0,$AT$131):OFFSET($O59,0,$AT$131+1),OFFSET($O$57,0,$AT$131):OFFSET($O$57,0,$AT$131+1))))</f>
        <v>2.2099999999999995</v>
      </c>
      <c r="BB141" s="344" t="s">
        <v>457</v>
      </c>
      <c r="BC141" s="345">
        <v>0.87</v>
      </c>
      <c r="BD141" s="343"/>
      <c r="BE141" s="209"/>
      <c r="BF141" s="343"/>
      <c r="BR141" s="9"/>
      <c r="BS141" s="257"/>
      <c r="BT141" s="259"/>
      <c r="BU141" s="259"/>
      <c r="BV141" s="259"/>
    </row>
    <row r="142" spans="1:74" ht="12.75">
      <c r="A142" s="45"/>
      <c r="B142" s="251"/>
      <c r="C142" s="251"/>
      <c r="D142" s="251"/>
      <c r="E142" s="251"/>
      <c r="F142" s="251"/>
      <c r="G142" s="251"/>
      <c r="H142" s="251"/>
      <c r="I142" s="45"/>
      <c r="J142" s="45"/>
      <c r="K142" s="45"/>
      <c r="L142" s="45"/>
      <c r="AG142" s="483">
        <v>0.15</v>
      </c>
      <c r="AH142" s="513">
        <f ca="1">IF($AH$139=2,$AE60,IF($AH$139&gt;2,"ERROR",FORECAST($AH$139,OFFSET($O60,0,$AH$131):OFFSET($O60,0,$AH$131+1),OFFSET($O$57,0,$AH$131):OFFSET($O$57,0,$AH$131+1))))</f>
        <v>2.3154545454545454</v>
      </c>
      <c r="AJ142" s="483">
        <v>0.15</v>
      </c>
      <c r="AK142" s="513">
        <f ca="1">IF($AK$139=2,$AE60,IF($AK$139&gt;2,"ERROR",FORECAST($AK$139,OFFSET($O60,0,$AK$131):OFFSET($O60,0,$AK$131+1),OFFSET($O$57,0,$AK$131):OFFSET($O$57,0,$AK$131+1))))</f>
        <v>2.27</v>
      </c>
      <c r="AM142" s="483">
        <v>0.15</v>
      </c>
      <c r="AN142" s="513">
        <f ca="1">IF($AN$139=2,$AE60,IF($AN$139&gt;2,"ERROR",FORECAST($AN$139,OFFSET($O60,0,$AN$131):OFFSET($O60,0,$AN$131+1),OFFSET($O$57,0,$AN$131):OFFSET($O$57,0,$AN$131+1))))</f>
        <v>2.233846153846154</v>
      </c>
      <c r="AP142" s="483">
        <v>0.15</v>
      </c>
      <c r="AQ142" s="513">
        <f ca="1">IF($AQ$139=2,$AE60,IF($AQ$139&gt;2,"ERROR",FORECAST($AQ$139,OFFSET($O60,0,$AQ$131):OFFSET($O60,0,$AQ$131+1),OFFSET($O$57,0,$AQ$131):OFFSET($O$57,0,$AQ$131+1))))</f>
        <v>2.205</v>
      </c>
      <c r="AS142" s="483">
        <v>0.15</v>
      </c>
      <c r="AT142" s="513">
        <f ca="1">IF($AT$139=2,$AE60,IF($AT$139&gt;2,"ERROR",FORECAST($AT$139,OFFSET($O60,0,$AT$131):OFFSET($O60,0,$AT$131+1),OFFSET($O$57,0,$AT$131):OFFSET($O$57,0,$AT$131+1))))</f>
        <v>2.1799999999999997</v>
      </c>
      <c r="BB142" s="344" t="s">
        <v>456</v>
      </c>
      <c r="BC142" s="345">
        <v>0.81</v>
      </c>
      <c r="BD142" s="343"/>
      <c r="BE142" s="209"/>
      <c r="BF142" s="343"/>
      <c r="BR142" s="9"/>
      <c r="BS142" s="257"/>
      <c r="BT142" s="259"/>
      <c r="BU142" s="259"/>
      <c r="BV142" s="259"/>
    </row>
    <row r="143" spans="1:74" ht="12.75">
      <c r="A143" s="45"/>
      <c r="B143" s="260"/>
      <c r="C143" s="261"/>
      <c r="D143" s="261"/>
      <c r="E143" s="251"/>
      <c r="F143" s="251"/>
      <c r="G143" s="251"/>
      <c r="H143" s="251"/>
      <c r="I143" s="45"/>
      <c r="J143" s="45"/>
      <c r="K143" s="45"/>
      <c r="L143" s="45"/>
      <c r="AG143" s="483">
        <v>0.2</v>
      </c>
      <c r="AH143" s="513">
        <f ca="1">IF($AH$139=2,$AE61,IF($AH$139&gt;2,"ERROR",FORECAST($AH$139,OFFSET($O61,0,$AH$131):OFFSET($O61,0,$AH$131+1),OFFSET($O$57,0,$AH$131):OFFSET($O$57,0,$AH$131+1))))</f>
        <v>2.2413636363636367</v>
      </c>
      <c r="AJ143" s="483">
        <v>0.2</v>
      </c>
      <c r="AK143" s="513">
        <f ca="1">IF($AK$139=2,$AE61,IF($AK$139&gt;2,"ERROR",FORECAST($AK$139,OFFSET($O61,0,$AK$131):OFFSET($O61,0,$AK$131+1),OFFSET($O$57,0,$AK$131):OFFSET($O$57,0,$AK$131+1))))</f>
        <v>2.1987500000000004</v>
      </c>
      <c r="AM143" s="483">
        <v>0.2</v>
      </c>
      <c r="AN143" s="513">
        <f ca="1">IF($AN$139=2,$AE61,IF($AN$139&gt;2,"ERROR",FORECAST($AN$139,OFFSET($O61,0,$AN$131):OFFSET($O61,0,$AN$131+1),OFFSET($O$57,0,$AN$131):OFFSET($O$57,0,$AN$131+1))))</f>
        <v>2.163846153846154</v>
      </c>
      <c r="AP143" s="483">
        <v>0.2</v>
      </c>
      <c r="AQ143" s="513">
        <f ca="1">IF($AQ$139=2,$AE61,IF($AQ$139&gt;2,"ERROR",FORECAST($AQ$139,OFFSET($O61,0,$AQ$131):OFFSET($O61,0,$AQ$131+1),OFFSET($O$57,0,$AQ$131):OFFSET($O$57,0,$AQ$131+1))))</f>
        <v>2.1350000000000002</v>
      </c>
      <c r="AS143" s="483">
        <v>0.2</v>
      </c>
      <c r="AT143" s="513">
        <f ca="1">IF($AT$139=2,$AE61,IF($AT$139&gt;2,"ERROR",FORECAST($AT$139,OFFSET($O61,0,$AT$131):OFFSET($O61,0,$AT$131+1),OFFSET($O$57,0,$AT$131):OFFSET($O$57,0,$AT$131+1))))</f>
        <v>2.1100000000000003</v>
      </c>
      <c r="BB143" s="344" t="s">
        <v>455</v>
      </c>
      <c r="BC143" s="345">
        <v>0.75</v>
      </c>
      <c r="BD143" s="343"/>
      <c r="BE143" s="209"/>
      <c r="BF143" s="343"/>
      <c r="BR143" s="9"/>
      <c r="BS143" s="257"/>
      <c r="BT143" s="259"/>
      <c r="BU143" s="259"/>
      <c r="BV143" s="259"/>
    </row>
    <row r="144" spans="1:74" ht="12.75">
      <c r="A144" s="45"/>
      <c r="B144" s="24"/>
      <c r="C144" s="10"/>
      <c r="D144" s="10"/>
      <c r="E144" s="10"/>
      <c r="F144" s="10"/>
      <c r="G144" s="251"/>
      <c r="H144" s="251"/>
      <c r="I144" s="45"/>
      <c r="J144" s="45"/>
      <c r="K144" s="45"/>
      <c r="L144" s="2"/>
      <c r="AG144" s="483">
        <v>0.25</v>
      </c>
      <c r="AH144" s="513">
        <f ca="1">IF($AH$139=2,$AE62,IF($AH$139&gt;2,"ERROR",FORECAST($AH$139,OFFSET($O62,0,$AH$131):OFFSET($O62,0,$AH$131+1),OFFSET($O$57,0,$AH$131):OFFSET($O$57,0,$AH$131+1))))</f>
        <v>2.13</v>
      </c>
      <c r="AJ144" s="483">
        <v>0.25</v>
      </c>
      <c r="AK144" s="513">
        <f ca="1">IF($AK$139=2,$AE62,IF($AK$139&gt;2,"ERROR",FORECAST($AK$139,OFFSET($O62,0,$AK$131):OFFSET($O62,0,$AK$131+1),OFFSET($O$57,0,$AK$131):OFFSET($O$57,0,$AK$131+1))))</f>
        <v>2.0883333333333334</v>
      </c>
      <c r="AM144" s="483">
        <v>0.25</v>
      </c>
      <c r="AN144" s="513">
        <f ca="1">IF($AN$139=2,$AE62,IF($AN$139&gt;2,"ERROR",FORECAST($AN$139,OFFSET($O62,0,$AN$131):OFFSET($O62,0,$AN$131+1),OFFSET($O$57,0,$AN$131):OFFSET($O$57,0,$AN$131+1))))</f>
        <v>2.054230769230769</v>
      </c>
      <c r="AP144" s="483">
        <v>0.25</v>
      </c>
      <c r="AQ144" s="513">
        <f ca="1">IF($AQ$139=2,$AE62,IF($AQ$139&gt;2,"ERROR",FORECAST($AQ$139,OFFSET($O62,0,$AQ$131):OFFSET($O62,0,$AQ$131+1),OFFSET($O$57,0,$AQ$131):OFFSET($O$57,0,$AQ$131+1))))</f>
        <v>2.026071428571428</v>
      </c>
      <c r="AS144" s="483">
        <v>0.25</v>
      </c>
      <c r="AT144" s="513">
        <f ca="1">IF($AT$139=2,$AE62,IF($AT$139&gt;2,"ERROR",FORECAST($AT$139,OFFSET($O62,0,$AT$131):OFFSET($O62,0,$AT$131+1),OFFSET($O$57,0,$AT$131):OFFSET($O$57,0,$AT$131+1))))</f>
        <v>2.001666666666666</v>
      </c>
      <c r="BB144" s="344" t="s">
        <v>454</v>
      </c>
      <c r="BC144" s="345">
        <v>0.705</v>
      </c>
      <c r="BD144" s="343"/>
      <c r="BE144" s="209"/>
      <c r="BF144" s="343"/>
      <c r="BR144" s="9"/>
      <c r="BS144" s="257"/>
      <c r="BT144" s="259"/>
      <c r="BU144" s="259"/>
      <c r="BV144" s="259"/>
    </row>
    <row r="145" spans="1:74" ht="12.75">
      <c r="A145" s="45"/>
      <c r="B145" s="251"/>
      <c r="C145" s="251"/>
      <c r="D145" s="251"/>
      <c r="E145" s="251"/>
      <c r="F145" s="10"/>
      <c r="G145" s="251"/>
      <c r="H145" s="251"/>
      <c r="I145" s="45"/>
      <c r="J145" s="45"/>
      <c r="K145" s="45"/>
      <c r="L145" s="45"/>
      <c r="AG145" s="483">
        <v>0.3</v>
      </c>
      <c r="AH145" s="513">
        <f ca="1">IF($AH$139=2,$AE63,IF($AH$139&gt;2,"ERROR",FORECAST($AH$139,OFFSET($O63,0,$AH$131):OFFSET($O63,0,$AH$131+1),OFFSET($O$57,0,$AH$131):OFFSET($O$57,0,$AH$131+1))))</f>
        <v>2.005909090909091</v>
      </c>
      <c r="AJ145" s="483">
        <v>0.3</v>
      </c>
      <c r="AK145" s="513">
        <f ca="1">IF($AK$139=2,$AE63,IF($AK$139&gt;2,"ERROR",FORECAST($AK$139,OFFSET($O63,0,$AK$131):OFFSET($O63,0,$AK$131+1),OFFSET($O$57,0,$AK$131):OFFSET($O$57,0,$AK$131+1))))</f>
        <v>1.9670833333333333</v>
      </c>
      <c r="AM145" s="483">
        <v>0.3</v>
      </c>
      <c r="AN145" s="513">
        <f ca="1">IF($AN$139=2,$AE63,IF($AN$139&gt;2,"ERROR",FORECAST($AN$139,OFFSET($O63,0,$AN$131):OFFSET($O63,0,$AN$131+1),OFFSET($O$57,0,$AN$131):OFFSET($O$57,0,$AN$131+1))))</f>
        <v>1.9346153846153846</v>
      </c>
      <c r="AP145" s="483">
        <v>0.3</v>
      </c>
      <c r="AQ145" s="513">
        <f ca="1">IF($AQ$139=2,$AE63,IF($AQ$139&gt;2,"ERROR",FORECAST($AQ$139,OFFSET($O63,0,$AQ$131):OFFSET($O63,0,$AQ$131+1),OFFSET($O$57,0,$AQ$131):OFFSET($O$57,0,$AQ$131+1))))</f>
        <v>1.907142857142857</v>
      </c>
      <c r="AS145" s="483">
        <v>0.3</v>
      </c>
      <c r="AT145" s="513">
        <f ca="1">IF($AT$139=2,$AE63,IF($AT$139&gt;2,"ERROR",FORECAST($AT$139,OFFSET($O63,0,$AT$131):OFFSET($O63,0,$AT$131+1),OFFSET($O$57,0,$AT$131):OFFSET($O$57,0,$AT$131+1))))</f>
        <v>1.8833333333333333</v>
      </c>
      <c r="BB145" s="344" t="s">
        <v>453</v>
      </c>
      <c r="BC145" s="345">
        <v>0.65</v>
      </c>
      <c r="BD145" s="343"/>
      <c r="BE145" s="209"/>
      <c r="BF145" s="343"/>
      <c r="BR145" s="9"/>
      <c r="BS145" s="257"/>
      <c r="BT145" s="259"/>
      <c r="BU145" s="259"/>
      <c r="BV145" s="259"/>
    </row>
    <row r="146" spans="1:74" ht="12.75">
      <c r="A146" s="45"/>
      <c r="B146" s="251"/>
      <c r="C146" s="251"/>
      <c r="D146" s="251"/>
      <c r="E146" s="251"/>
      <c r="F146" s="10"/>
      <c r="G146" s="10"/>
      <c r="H146" s="251"/>
      <c r="I146" s="45"/>
      <c r="J146" s="45"/>
      <c r="K146" s="45"/>
      <c r="L146" s="45"/>
      <c r="AG146" s="483">
        <v>0.4</v>
      </c>
      <c r="AH146" s="513">
        <f ca="1">IF($AH$139=2,$AE64,IF($AH$139&gt;2,"ERROR",FORECAST($AH$139,OFFSET($O64,0,$AH$131):OFFSET($O64,0,$AH$131+1),OFFSET($O$57,0,$AH$131):OFFSET($O$57,0,$AH$131+1))))</f>
        <v>1.7418181818181817</v>
      </c>
      <c r="AJ146" s="483">
        <v>0.4</v>
      </c>
      <c r="AK146" s="513">
        <f ca="1">IF($AK$139=2,$AE64,IF($AK$139&gt;2,"ERROR",FORECAST($AK$139,OFFSET($O64,0,$AK$131):OFFSET($O64,0,$AK$131+1),OFFSET($O$57,0,$AK$131):OFFSET($O$57,0,$AK$131+1))))</f>
        <v>1.7058333333333333</v>
      </c>
      <c r="AM146" s="483">
        <v>0.4</v>
      </c>
      <c r="AN146" s="513">
        <f ca="1">IF($AN$139=2,$AE64,IF($AN$139&gt;2,"ERROR",FORECAST($AN$139,OFFSET($O64,0,$AN$131):OFFSET($O64,0,$AN$131+1),OFFSET($O$57,0,$AN$131):OFFSET($O$57,0,$AN$131+1))))</f>
        <v>1.676153846153846</v>
      </c>
      <c r="AP146" s="483">
        <v>0.4</v>
      </c>
      <c r="AQ146" s="513">
        <f ca="1">IF($AQ$139=2,$AE64,IF($AQ$139&gt;2,"ERROR",FORECAST($AQ$139,OFFSET($O64,0,$AQ$131):OFFSET($O64,0,$AQ$131+1),OFFSET($O$57,0,$AQ$131):OFFSET($O$57,0,$AQ$131+1))))</f>
        <v>1.6514285714285712</v>
      </c>
      <c r="AS146" s="483">
        <v>0.4</v>
      </c>
      <c r="AT146" s="513">
        <f ca="1">IF($AT$139=2,$AE64,IF($AT$139&gt;2,"ERROR",FORECAST($AT$139,OFFSET($O64,0,$AT$131):OFFSET($O64,0,$AT$131+1),OFFSET($O$57,0,$AT$131):OFFSET($O$57,0,$AT$131+1))))</f>
        <v>1.63</v>
      </c>
      <c r="BB146" s="344" t="s">
        <v>452</v>
      </c>
      <c r="BC146" s="345">
        <v>0.605</v>
      </c>
      <c r="BD146" s="343"/>
      <c r="BE146" s="209"/>
      <c r="BF146" s="343"/>
      <c r="BR146" s="9"/>
      <c r="BS146" s="257"/>
      <c r="BT146" s="259"/>
      <c r="BU146" s="259"/>
      <c r="BV146" s="259"/>
    </row>
    <row r="147" spans="1:74" ht="12.75">
      <c r="A147" s="45"/>
      <c r="B147" s="24"/>
      <c r="C147" s="10"/>
      <c r="D147" s="251"/>
      <c r="E147" s="251"/>
      <c r="F147" s="251"/>
      <c r="G147" s="251"/>
      <c r="H147" s="10"/>
      <c r="I147" s="10"/>
      <c r="J147" s="45"/>
      <c r="K147" s="45"/>
      <c r="L147" s="45"/>
      <c r="AG147" s="483">
        <v>0.5</v>
      </c>
      <c r="AH147" s="513">
        <f ca="1">IF($AH$139=2,$AE65,IF($AH$139&gt;2,"ERROR",FORECAST($AH$139,OFFSET($O65,0,$AH$131):OFFSET($O65,0,$AH$131+1),OFFSET($O$57,0,$AH$131):OFFSET($O$57,0,$AH$131+1))))</f>
        <v>1.505</v>
      </c>
      <c r="AJ147" s="483">
        <v>0.5</v>
      </c>
      <c r="AK147" s="513">
        <f ca="1">IF($AK$139=2,$AE65,IF($AK$139&gt;2,"ERROR",FORECAST($AK$139,OFFSET($O65,0,$AK$131):OFFSET($O65,0,$AK$131+1),OFFSET($O$57,0,$AK$131):OFFSET($O$57,0,$AK$131+1))))</f>
        <v>1.47375</v>
      </c>
      <c r="AM147" s="483">
        <v>0.5</v>
      </c>
      <c r="AN147" s="513">
        <f ca="1">IF($AN$139=2,$AE65,IF($AN$139&gt;2,"ERROR",FORECAST($AN$139,OFFSET($O65,0,$AN$131):OFFSET($O65,0,$AN$131+1),OFFSET($O$57,0,$AN$131):OFFSET($O$57,0,$AN$131+1))))</f>
        <v>1.448076923076923</v>
      </c>
      <c r="AP147" s="483">
        <v>0.5</v>
      </c>
      <c r="AQ147" s="513">
        <f ca="1">IF($AQ$139=2,$AE65,IF($AQ$139&gt;2,"ERROR",FORECAST($AQ$139,OFFSET($O65,0,$AQ$131):OFFSET($O65,0,$AQ$131+1),OFFSET($O$57,0,$AQ$131):OFFSET($O$57,0,$AQ$131+1))))</f>
        <v>1.4267857142857143</v>
      </c>
      <c r="AS147" s="483">
        <v>0.5</v>
      </c>
      <c r="AT147" s="513">
        <f ca="1">IF($AT$139=2,$AE65,IF($AT$139&gt;2,"ERROR",FORECAST($AT$139,OFFSET($O65,0,$AT$131):OFFSET($O65,0,$AT$131+1),OFFSET($O$57,0,$AT$131):OFFSET($O$57,0,$AT$131+1))))</f>
        <v>1.4083333333333332</v>
      </c>
      <c r="BB147" s="344" t="s">
        <v>451</v>
      </c>
      <c r="BC147" s="345">
        <v>0.55</v>
      </c>
      <c r="BD147" s="343"/>
      <c r="BE147" s="209"/>
      <c r="BF147" s="343"/>
      <c r="BR147" s="9"/>
      <c r="BS147" s="257"/>
      <c r="BT147" s="259"/>
      <c r="BU147" s="259"/>
      <c r="BV147" s="259"/>
    </row>
    <row r="148" spans="1:74" ht="12.75">
      <c r="A148" s="45"/>
      <c r="B148" s="251"/>
      <c r="C148" s="251"/>
      <c r="D148" s="251"/>
      <c r="E148" s="251"/>
      <c r="F148" s="251"/>
      <c r="G148" s="10"/>
      <c r="H148" s="10"/>
      <c r="I148" s="45"/>
      <c r="J148" s="45"/>
      <c r="K148" s="45"/>
      <c r="L148" s="45"/>
      <c r="AG148" s="483">
        <v>0.6</v>
      </c>
      <c r="AH148" s="513">
        <f ca="1">IF($AH$139=2,$AE66,IF($AH$139&gt;2,"ERROR",FORECAST($AH$139,OFFSET($O66,0,$AH$131):OFFSET($O66,0,$AH$131+1),OFFSET($O$57,0,$AH$131):OFFSET($O$57,0,$AH$131+1))))</f>
        <v>1.3109090909090908</v>
      </c>
      <c r="AJ148" s="483">
        <v>0.6</v>
      </c>
      <c r="AK148" s="513">
        <f ca="1">IF($AK$139=2,$AE66,IF($AK$139&gt;2,"ERROR",FORECAST($AK$139,OFFSET($O66,0,$AK$131):OFFSET($O66,0,$AK$131+1),OFFSET($O$57,0,$AK$131):OFFSET($O$57,0,$AK$131+1))))</f>
        <v>1.2824999999999998</v>
      </c>
      <c r="AM148" s="483">
        <v>0.6</v>
      </c>
      <c r="AN148" s="513">
        <f ca="1">IF($AN$139=2,$AE66,IF($AN$139&gt;2,"ERROR",FORECAST($AN$139,OFFSET($O66,0,$AN$131):OFFSET($O66,0,$AN$131+1),OFFSET($O$57,0,$AN$131):OFFSET($O$57,0,$AN$131+1))))</f>
        <v>1.2594999999999998</v>
      </c>
      <c r="AP148" s="483">
        <v>0.6</v>
      </c>
      <c r="AQ148" s="513">
        <f ca="1">IF($AQ$139=2,$AE66,IF($AQ$139&gt;2,"ERROR",FORECAST($AQ$139,OFFSET($O66,0,$AQ$131):OFFSET($O66,0,$AQ$131+1),OFFSET($O$57,0,$AQ$131):OFFSET($O$57,0,$AQ$131+1))))</f>
        <v>1.2407499999999998</v>
      </c>
      <c r="AS148" s="483">
        <v>0.6</v>
      </c>
      <c r="AT148" s="513">
        <f ca="1">IF($AT$139=2,$AE66,IF($AT$139&gt;2,"ERROR",FORECAST($AT$139,OFFSET($O66,0,$AT$131):OFFSET($O66,0,$AT$131+1),OFFSET($O$57,0,$AT$131):OFFSET($O$57,0,$AT$131+1))))</f>
        <v>1.2245</v>
      </c>
      <c r="BB148" s="344" t="s">
        <v>450</v>
      </c>
      <c r="BC148" s="345">
        <v>0.5</v>
      </c>
      <c r="BD148" s="343"/>
      <c r="BE148" s="209"/>
      <c r="BF148" s="343"/>
      <c r="BR148" s="9"/>
      <c r="BS148" s="257"/>
      <c r="BT148" s="259"/>
      <c r="BU148" s="259"/>
      <c r="BV148" s="259"/>
    </row>
    <row r="149" spans="1:74" ht="12.75">
      <c r="A149" s="263"/>
      <c r="B149" s="232"/>
      <c r="C149" s="232"/>
      <c r="D149" s="232"/>
      <c r="E149" s="232"/>
      <c r="F149" s="232"/>
      <c r="G149" s="232"/>
      <c r="H149" s="232"/>
      <c r="I149" s="2"/>
      <c r="J149" s="2"/>
      <c r="K149" s="2"/>
      <c r="L149" s="2"/>
      <c r="AG149" s="483">
        <v>0.7</v>
      </c>
      <c r="AH149" s="513">
        <f ca="1">IF($AH$139=2,$AE67,IF($AH$139&gt;2,"ERROR",FORECAST($AH$139,OFFSET($O67,0,$AH$131):OFFSET($O67,0,$AH$131+1),OFFSET($O$57,0,$AH$131):OFFSET($O$57,0,$AH$131+1))))</f>
        <v>1.1554545454545455</v>
      </c>
      <c r="AJ149" s="483">
        <v>0.7</v>
      </c>
      <c r="AK149" s="513">
        <f ca="1">IF($AK$139=2,$AE67,IF($AK$139&gt;2,"ERROR",FORECAST($AK$139,OFFSET($O67,0,$AK$131):OFFSET($O67,0,$AK$131+1),OFFSET($O$57,0,$AK$131):OFFSET($O$57,0,$AK$131+1))))</f>
        <v>1.1308333333333334</v>
      </c>
      <c r="AM149" s="483">
        <v>0.7</v>
      </c>
      <c r="AN149" s="513">
        <f ca="1">IF($AN$139=2,$AE67,IF($AN$139&gt;2,"ERROR",FORECAST($AN$139,OFFSET($O67,0,$AN$131):OFFSET($O67,0,$AN$131+1),OFFSET($O$57,0,$AN$131):OFFSET($O$57,0,$AN$131+1))))</f>
        <v>1.1107307692307693</v>
      </c>
      <c r="AP149" s="483">
        <v>0.7</v>
      </c>
      <c r="AQ149" s="513">
        <f ca="1">IF($AQ$139=2,$AE67,IF($AQ$139&gt;2,"ERROR",FORECAST($AQ$139,OFFSET($O67,0,$AQ$131):OFFSET($O67,0,$AQ$131+1),OFFSET($O$57,0,$AQ$131):OFFSET($O$57,0,$AQ$131+1))))</f>
        <v>1.0941785714285714</v>
      </c>
      <c r="AS149" s="483">
        <v>0.7</v>
      </c>
      <c r="AT149" s="513">
        <f ca="1">IF($AT$139=2,$AE67,IF($AT$139&gt;2,"ERROR",FORECAST($AT$139,OFFSET($O67,0,$AT$131):OFFSET($O67,0,$AT$131+1),OFFSET($O$57,0,$AT$131):OFFSET($O$57,0,$AT$131+1))))</f>
        <v>1.0798333333333334</v>
      </c>
      <c r="BB149" s="344" t="s">
        <v>449</v>
      </c>
      <c r="BC149" s="345">
        <v>0.55</v>
      </c>
      <c r="BD149" s="343"/>
      <c r="BE149" s="209"/>
      <c r="BF149" s="343"/>
      <c r="BR149" s="9"/>
      <c r="BS149" s="257"/>
      <c r="BT149" s="259"/>
      <c r="BU149" s="259"/>
      <c r="BV149" s="259"/>
    </row>
    <row r="150" spans="1:74" ht="12.75">
      <c r="A150" s="45"/>
      <c r="B150" s="45"/>
      <c r="C150" s="121"/>
      <c r="D150" s="45"/>
      <c r="E150" s="45"/>
      <c r="F150" s="55"/>
      <c r="G150" s="55"/>
      <c r="H150" s="55"/>
      <c r="I150" s="235"/>
      <c r="J150" s="235"/>
      <c r="K150" s="235"/>
      <c r="L150" s="235"/>
      <c r="AG150" s="483">
        <v>0.8</v>
      </c>
      <c r="AH150" s="513">
        <f ca="1">IF($AH$139=2,$AE68,IF($AH$139&gt;2,"ERROR",FORECAST($AH$139,OFFSET($O68,0,$AH$131):OFFSET($O68,0,$AH$131+1),OFFSET($O$57,0,$AH$131):OFFSET($O$57,0,$AH$131+1))))</f>
        <v>1.0270454545454544</v>
      </c>
      <c r="AJ150" s="483">
        <v>0.8</v>
      </c>
      <c r="AK150" s="513">
        <f ca="1">IF($AK$139=2,$AE68,IF($AK$139&gt;2,"ERROR",FORECAST($AK$139,OFFSET($O68,0,$AK$131):OFFSET($O68,0,$AK$131+1),OFFSET($O$57,0,$AK$131):OFFSET($O$57,0,$AK$131+1))))</f>
        <v>1.0047916666666667</v>
      </c>
      <c r="AM150" s="483">
        <v>0.8</v>
      </c>
      <c r="AN150" s="513">
        <f ca="1">IF($AN$139=2,$AE68,IF($AN$139&gt;2,"ERROR",FORECAST($AN$139,OFFSET($O68,0,$AN$131):OFFSET($O68,0,$AN$131+1),OFFSET($O$57,0,$AN$131):OFFSET($O$57,0,$AN$131+1))))</f>
        <v>0.9867692307692308</v>
      </c>
      <c r="AP150" s="483">
        <v>0.8</v>
      </c>
      <c r="AQ150" s="513">
        <f ca="1">IF($AQ$139=2,$AE68,IF($AQ$139&gt;2,"ERROR",FORECAST($AQ$139,OFFSET($O68,0,$AQ$131):OFFSET($O68,0,$AQ$131+1),OFFSET($O$57,0,$AQ$131):OFFSET($O$57,0,$AQ$131+1))))</f>
        <v>0.9720714285714286</v>
      </c>
      <c r="AS150" s="483">
        <v>0.8</v>
      </c>
      <c r="AT150" s="513">
        <f ca="1">IF($AT$139=2,$AE68,IF($AT$139&gt;2,"ERROR",FORECAST($AT$139,OFFSET($O68,0,$AT$131):OFFSET($O68,0,$AT$131+1),OFFSET($O$57,0,$AT$131):OFFSET($O$57,0,$AT$131+1))))</f>
        <v>0.9593333333333334</v>
      </c>
      <c r="BB150" s="344" t="s">
        <v>448</v>
      </c>
      <c r="BC150" s="345">
        <v>0.515</v>
      </c>
      <c r="BD150" s="343"/>
      <c r="BE150" s="209"/>
      <c r="BF150" s="343"/>
      <c r="BR150" s="9"/>
      <c r="BS150" s="257"/>
      <c r="BT150" s="259"/>
      <c r="BU150" s="259"/>
      <c r="BV150" s="259"/>
    </row>
    <row r="151" spans="1:74" ht="12.75">
      <c r="A151" s="55"/>
      <c r="B151" s="63"/>
      <c r="C151" s="55"/>
      <c r="D151" s="55"/>
      <c r="E151" s="264"/>
      <c r="F151" s="76"/>
      <c r="G151" s="63"/>
      <c r="H151" s="55"/>
      <c r="I151" s="55"/>
      <c r="J151" s="55"/>
      <c r="K151" s="55"/>
      <c r="L151" s="55"/>
      <c r="AG151" s="483">
        <v>0.9</v>
      </c>
      <c r="AH151" s="513">
        <f ca="1">IF($AH$139=2,$AE69,IF($AH$139&gt;2,"ERROR",FORECAST($AH$139,OFFSET($O69,0,$AH$131):OFFSET($O69,0,$AH$131+1),OFFSET($O$57,0,$AH$131):OFFSET($O$57,0,$AH$131+1))))</f>
        <v>0.9243181818181817</v>
      </c>
      <c r="AJ151" s="483">
        <v>0.9</v>
      </c>
      <c r="AK151" s="513">
        <f ca="1">IF($AK$139=2,$AE69,IF($AK$139&gt;2,"ERROR",FORECAST($AK$139,OFFSET($O69,0,$AK$131):OFFSET($O69,0,$AK$131+1),OFFSET($O$57,0,$AK$131):OFFSET($O$57,0,$AK$131+1))))</f>
        <v>0.9039583333333332</v>
      </c>
      <c r="AM151" s="483">
        <v>0.9</v>
      </c>
      <c r="AN151" s="513">
        <f ca="1">IF($AN$139=2,$AE69,IF($AN$139&gt;2,"ERROR",FORECAST($AN$139,OFFSET($O69,0,$AN$131):OFFSET($O69,0,$AN$131+1),OFFSET($O$57,0,$AN$131):OFFSET($O$57,0,$AN$131+1))))</f>
        <v>0.887846153846154</v>
      </c>
      <c r="AP151" s="483">
        <v>0.9</v>
      </c>
      <c r="AQ151" s="513">
        <f ca="1">IF($AQ$139=2,$AE69,IF($AQ$139&gt;2,"ERROR",FORECAST($AQ$139,OFFSET($O69,0,$AQ$131):OFFSET($O69,0,$AQ$131+1),OFFSET($O$57,0,$AQ$131):OFFSET($O$57,0,$AQ$131+1))))</f>
        <v>0.8750714285714287</v>
      </c>
      <c r="AS151" s="483">
        <v>0.9</v>
      </c>
      <c r="AT151" s="513">
        <f ca="1">IF($AT$139=2,$AE69,IF($AT$139&gt;2,"ERROR",FORECAST($AT$139,OFFSET($O69,0,$AT$131):OFFSET($O69,0,$AT$131+1),OFFSET($O$57,0,$AT$131):OFFSET($O$57,0,$AT$131+1))))</f>
        <v>0.8640000000000001</v>
      </c>
      <c r="BB151" s="344" t="s">
        <v>447</v>
      </c>
      <c r="BC151" s="345">
        <v>0.47</v>
      </c>
      <c r="BD151" s="343"/>
      <c r="BE151" s="209"/>
      <c r="BF151" s="343"/>
      <c r="BM151" s="29"/>
      <c r="BR151" s="9"/>
      <c r="BS151" s="257"/>
      <c r="BT151" s="259"/>
      <c r="BU151" s="259"/>
      <c r="BV151" s="259"/>
    </row>
    <row r="152" spans="1:74" ht="12.75">
      <c r="A152" s="52"/>
      <c r="B152" s="10"/>
      <c r="C152" s="112"/>
      <c r="D152" s="10"/>
      <c r="E152" s="10"/>
      <c r="F152" s="10"/>
      <c r="G152" s="10"/>
      <c r="H152" s="7"/>
      <c r="I152" s="265"/>
      <c r="J152" s="265"/>
      <c r="K152" s="265"/>
      <c r="L152" s="265"/>
      <c r="AG152" s="487">
        <v>1</v>
      </c>
      <c r="AH152" s="513">
        <f ca="1">IF($AH$139=2,$AE70,IF($AH$139&gt;2,"ERROR",FORECAST($AH$139,OFFSET($O70,0,$AH$131):OFFSET($O70,0,$AH$131+1),OFFSET($O$57,0,$AH$131):OFFSET($O$57,0,$AH$131+1))))</f>
        <v>0.7512727272727272</v>
      </c>
      <c r="AJ152" s="487">
        <v>1</v>
      </c>
      <c r="AK152" s="513">
        <f ca="1">IF($AK$139=2,$AE70,IF($AK$139&gt;2,"ERROR",FORECAST($AK$139,OFFSET($O70,0,$AK$131):OFFSET($O70,0,$AK$131+1),OFFSET($O$57,0,$AK$131):OFFSET($O$57,0,$AK$131+1))))</f>
        <v>0.724</v>
      </c>
      <c r="AM152" s="487">
        <v>1</v>
      </c>
      <c r="AN152" s="513">
        <f ca="1">IF($AN$139=2,$AE70,IF($AN$139&gt;2,"ERROR",FORECAST($AN$139,OFFSET($O70,0,$AN$131):OFFSET($O70,0,$AN$131+1),OFFSET($O$57,0,$AN$131):OFFSET($O$57,0,$AN$131+1))))</f>
        <v>0.7091153846153846</v>
      </c>
      <c r="AP152" s="487">
        <v>1</v>
      </c>
      <c r="AQ152" s="513">
        <f ca="1">IF($AQ$139=2,$AE70,IF($AQ$139&gt;2,"ERROR",FORECAST($AQ$139,OFFSET($O70,0,$AQ$131):OFFSET($O70,0,$AQ$131+1),OFFSET($O$57,0,$AQ$131):OFFSET($O$57,0,$AQ$131+1))))</f>
        <v>0.7039642857142857</v>
      </c>
      <c r="AS152" s="487">
        <v>1</v>
      </c>
      <c r="AT152" s="513">
        <f ca="1">IF($AT$139=2,$AE70,IF($AT$139&gt;2,"ERROR",FORECAST($AT$139,OFFSET($O70,0,$AT$131):OFFSET($O70,0,$AT$131+1),OFFSET($O$57,0,$AT$131):OFFSET($O$57,0,$AT$131+1))))</f>
        <v>0.6995</v>
      </c>
      <c r="BB152" s="344" t="s">
        <v>446</v>
      </c>
      <c r="BC152" s="345">
        <v>0.44</v>
      </c>
      <c r="BD152" s="343"/>
      <c r="BE152" s="209"/>
      <c r="BF152" s="343"/>
      <c r="BS152" s="257"/>
      <c r="BT152" s="259"/>
      <c r="BU152" s="259"/>
      <c r="BV152" s="259"/>
    </row>
    <row r="153" spans="1:74" ht="12.75">
      <c r="A153" s="10"/>
      <c r="B153" s="10"/>
      <c r="C153" s="10"/>
      <c r="D153" s="10"/>
      <c r="E153" s="10"/>
      <c r="F153" s="10"/>
      <c r="G153" s="10"/>
      <c r="H153" s="10"/>
      <c r="I153" s="10"/>
      <c r="J153" s="7"/>
      <c r="K153" s="7"/>
      <c r="L153" s="7"/>
      <c r="AG153" s="487">
        <v>1.2</v>
      </c>
      <c r="AH153" s="513">
        <f ca="1">IF($AH$139=2,$AE71,IF($AH$139&gt;2,"ERROR",FORECAST($AH$139,OFFSET($O71,0,$AH$131):OFFSET($O71,0,$AH$131+1),OFFSET($O$57,0,$AH$131):OFFSET($O$57,0,$AH$131+1))))</f>
        <v>0.7049545454545455</v>
      </c>
      <c r="AJ153" s="487">
        <v>1.2</v>
      </c>
      <c r="AK153" s="513">
        <f ca="1">IF($AK$139=2,$AE71,IF($AK$139&gt;2,"ERROR",FORECAST($AK$139,OFFSET($O71,0,$AK$131):OFFSET($O71,0,$AK$131+1),OFFSET($O$57,0,$AK$131):OFFSET($O$57,0,$AK$131+1))))</f>
        <v>0.6897083333333334</v>
      </c>
      <c r="AM153" s="487">
        <v>1.2</v>
      </c>
      <c r="AN153" s="513">
        <f ca="1">IF($AN$139=2,$AE71,IF($AN$139&gt;2,"ERROR",FORECAST($AN$139,OFFSET($O71,0,$AN$131):OFFSET($O71,0,$AN$131+1),OFFSET($O$57,0,$AN$131):OFFSET($O$57,0,$AN$131+1))))</f>
        <v>0.6773846153846155</v>
      </c>
      <c r="AP153" s="487">
        <v>1.2</v>
      </c>
      <c r="AQ153" s="513">
        <f ca="1">IF($AQ$139=2,$AE71,IF($AQ$139&gt;2,"ERROR",FORECAST($AQ$139,OFFSET($O71,0,$AQ$131):OFFSET($O71,0,$AQ$131+1),OFFSET($O$57,0,$AQ$131):OFFSET($O$57,0,$AQ$131+1))))</f>
        <v>0.667357142857143</v>
      </c>
      <c r="AS153" s="487">
        <v>1.2</v>
      </c>
      <c r="AT153" s="513">
        <f ca="1">IF($AT$139=2,$AE71,IF($AT$139&gt;2,"ERROR",FORECAST($AT$139,OFFSET($O71,0,$AT$131):OFFSET($O71,0,$AT$131+1),OFFSET($O$57,0,$AT$131):OFFSET($O$57,0,$AT$131+1))))</f>
        <v>0.6586666666666668</v>
      </c>
      <c r="BB153" s="344" t="s">
        <v>445</v>
      </c>
      <c r="BC153" s="345">
        <v>0.415</v>
      </c>
      <c r="BD153" s="343"/>
      <c r="BE153" s="209"/>
      <c r="BF153" s="343"/>
      <c r="BS153" s="257"/>
      <c r="BT153" s="259"/>
      <c r="BU153" s="259"/>
      <c r="BV153" s="259"/>
    </row>
    <row r="154" spans="1:74" ht="12.75">
      <c r="A154" s="10"/>
      <c r="B154" s="10"/>
      <c r="C154" s="10"/>
      <c r="D154" s="10"/>
      <c r="E154" s="10"/>
      <c r="F154" s="10"/>
      <c r="G154" s="10"/>
      <c r="H154" s="10"/>
      <c r="I154" s="10"/>
      <c r="J154" s="10"/>
      <c r="K154" s="10"/>
      <c r="L154" s="10"/>
      <c r="AG154" s="487">
        <v>1.4</v>
      </c>
      <c r="AH154" s="513">
        <f ca="1">IF($AH$139=2,$AE72,IF($AH$139&gt;2,"ERROR",FORECAST($AH$139,OFFSET($O72,0,$AH$131):OFFSET($O72,0,$AH$131+1),OFFSET($O$57,0,$AH$131):OFFSET($O$57,0,$AH$131+1))))</f>
        <v>0.607090909090909</v>
      </c>
      <c r="AJ154" s="487">
        <v>1.4</v>
      </c>
      <c r="AK154" s="513">
        <f ca="1">IF($AK$139=2,$AE72,IF($AK$139&gt;2,"ERROR",FORECAST($AK$139,OFFSET($O72,0,$AK$131):OFFSET($O72,0,$AK$131+1),OFFSET($O$57,0,$AK$131):OFFSET($O$57,0,$AK$131+1))))</f>
        <v>0.5938333333333332</v>
      </c>
      <c r="AM154" s="487">
        <v>1.4</v>
      </c>
      <c r="AN154" s="513">
        <f ca="1">IF($AN$139=2,$AE72,IF($AN$139&gt;2,"ERROR",FORECAST($AN$139,OFFSET($O72,0,$AN$131):OFFSET($O72,0,$AN$131+1),OFFSET($O$57,0,$AN$131):OFFSET($O$57,0,$AN$131+1))))</f>
        <v>0.5832307692307692</v>
      </c>
      <c r="AP154" s="487">
        <v>1.4</v>
      </c>
      <c r="AQ154" s="513">
        <f ca="1">IF($AQ$139=2,$AE72,IF($AQ$139&gt;2,"ERROR",FORECAST($AQ$139,OFFSET($O72,0,$AQ$131):OFFSET($O72,0,$AQ$131+1),OFFSET($O$57,0,$AQ$131):OFFSET($O$57,0,$AQ$131+1))))</f>
        <v>0.5747142857142857</v>
      </c>
      <c r="AS154" s="487">
        <v>1.4</v>
      </c>
      <c r="AT154" s="513">
        <f ca="1">IF($AT$139=2,$AE72,IF($AT$139&gt;2,"ERROR",FORECAST($AT$139,OFFSET($O72,0,$AT$131):OFFSET($O72,0,$AT$131+1),OFFSET($O$57,0,$AT$131):OFFSET($O$57,0,$AT$131+1))))</f>
        <v>0.5673333333333334</v>
      </c>
      <c r="BB154" s="344" t="s">
        <v>444</v>
      </c>
      <c r="BC154" s="345">
        <v>0.43</v>
      </c>
      <c r="BD154" s="343"/>
      <c r="BE154" s="209"/>
      <c r="BF154" s="343"/>
      <c r="BS154" s="257"/>
      <c r="BT154" s="259"/>
      <c r="BU154" s="259"/>
      <c r="BV154" s="259"/>
    </row>
    <row r="155" spans="1:74" ht="12.75">
      <c r="A155" s="10"/>
      <c r="J155" s="10"/>
      <c r="K155" s="10"/>
      <c r="L155" s="10"/>
      <c r="AG155" s="487">
        <v>1.6</v>
      </c>
      <c r="AH155" s="513">
        <f ca="1">IF($AH$139=2,$AE73,IF($AH$139&gt;2,"ERROR",FORECAST($AH$139,OFFSET($O73,0,$AH$131):OFFSET($O73,0,$AH$131+1),OFFSET($O$57,0,$AH$131):OFFSET($O$57,0,$AH$131+1))))</f>
        <v>0.5327727272727273</v>
      </c>
      <c r="AJ155" s="487">
        <v>1.6</v>
      </c>
      <c r="AK155" s="513">
        <f ca="1">IF($AK$139=2,$AE73,IF($AK$139&gt;2,"ERROR",FORECAST($AK$139,OFFSET($O73,0,$AK$131):OFFSET($O73,0,$AK$131+1),OFFSET($O$57,0,$AK$131):OFFSET($O$57,0,$AK$131+1))))</f>
        <v>0.5211250000000001</v>
      </c>
      <c r="AM155" s="487">
        <v>1.6</v>
      </c>
      <c r="AN155" s="513">
        <f ca="1">IF($AN$139=2,$AE73,IF($AN$139&gt;2,"ERROR",FORECAST($AN$139,OFFSET($O73,0,$AN$131):OFFSET($O73,0,$AN$131+1),OFFSET($O$57,0,$AN$131):OFFSET($O$57,0,$AN$131+1))))</f>
        <v>0.5118076923076924</v>
      </c>
      <c r="AP155" s="487">
        <v>1.6</v>
      </c>
      <c r="AQ155" s="513">
        <f ca="1">IF($AQ$139=2,$AE73,IF($AQ$139&gt;2,"ERROR",FORECAST($AQ$139,OFFSET($O73,0,$AQ$131):OFFSET($O73,0,$AQ$131+1),OFFSET($O$57,0,$AQ$131):OFFSET($O$57,0,$AQ$131+1))))</f>
        <v>0.5043214285714286</v>
      </c>
      <c r="AS155" s="487">
        <v>1.6</v>
      </c>
      <c r="AT155" s="513">
        <f ca="1">IF($AT$139=2,$AE73,IF($AT$139&gt;2,"ERROR",FORECAST($AT$139,OFFSET($O73,0,$AT$131):OFFSET($O73,0,$AT$131+1),OFFSET($O$57,0,$AT$131):OFFSET($O$57,0,$AT$131+1))))</f>
        <v>0.49783333333333335</v>
      </c>
      <c r="BB155" s="344" t="s">
        <v>368</v>
      </c>
      <c r="BC155" s="345">
        <v>0.395</v>
      </c>
      <c r="BD155" s="343"/>
      <c r="BE155" s="209"/>
      <c r="BF155" s="343"/>
      <c r="BS155" s="257"/>
      <c r="BT155" s="259"/>
      <c r="BU155" s="259"/>
      <c r="BV155" s="259"/>
    </row>
    <row r="156" spans="1:74" ht="12.75">
      <c r="A156" s="10"/>
      <c r="J156" s="10"/>
      <c r="K156" s="10"/>
      <c r="L156" s="10"/>
      <c r="AG156" s="487">
        <v>1.8</v>
      </c>
      <c r="AH156" s="513">
        <f ca="1">IF($AH$139=2,$AE74,IF($AH$139&gt;2,"ERROR",FORECAST($AH$139,OFFSET($O74,0,$AH$131):OFFSET($O74,0,$AH$131+1),OFFSET($O$57,0,$AH$131):OFFSET($O$57,0,$AH$131+1))))</f>
        <v>0.4748636363636364</v>
      </c>
      <c r="AJ156" s="487">
        <v>1.8</v>
      </c>
      <c r="AK156" s="513">
        <f ca="1">IF($AK$139=2,$AE74,IF($AK$139&gt;2,"ERROR",FORECAST($AK$139,OFFSET($O74,0,$AK$131):OFFSET($O74,0,$AK$131+1),OFFSET($O$57,0,$AK$131):OFFSET($O$57,0,$AK$131+1))))</f>
        <v>0.4645416666666667</v>
      </c>
      <c r="AM156" s="487">
        <v>1.8</v>
      </c>
      <c r="AN156" s="513">
        <f ca="1">IF($AN$139=2,$AE74,IF($AN$139&gt;2,"ERROR",FORECAST($AN$139,OFFSET($O74,0,$AN$131):OFFSET($O74,0,$AN$131+1),OFFSET($O$57,0,$AN$131):OFFSET($O$57,0,$AN$131+1))))</f>
        <v>0.45626923076923076</v>
      </c>
      <c r="AP156" s="487">
        <v>1.8</v>
      </c>
      <c r="AQ156" s="513">
        <f ca="1">IF($AQ$139=2,$AE74,IF($AQ$139&gt;2,"ERROR",FORECAST($AQ$139,OFFSET($O74,0,$AQ$131):OFFSET($O74,0,$AQ$131+1),OFFSET($O$57,0,$AQ$131):OFFSET($O$57,0,$AQ$131+1))))</f>
        <v>0.44960714285714287</v>
      </c>
      <c r="AS156" s="487">
        <v>1.8</v>
      </c>
      <c r="AT156" s="513">
        <f ca="1">IF($AT$139=2,$AE74,IF($AT$139&gt;2,"ERROR",FORECAST($AT$139,OFFSET($O74,0,$AT$131):OFFSET($O74,0,$AT$131+1),OFFSET($O$57,0,$AT$131):OFFSET($O$57,0,$AT$131+1))))</f>
        <v>0.4438333333333333</v>
      </c>
      <c r="BB156" s="344" t="s">
        <v>347</v>
      </c>
      <c r="BC156" s="345">
        <v>1.73</v>
      </c>
      <c r="BD156" s="343"/>
      <c r="BE156" s="209"/>
      <c r="BF156" s="346"/>
      <c r="BS156" s="257"/>
      <c r="BT156" s="259"/>
      <c r="BU156" s="259"/>
      <c r="BV156" s="259"/>
    </row>
    <row r="157" spans="1:74" ht="12.75">
      <c r="A157" s="10"/>
      <c r="J157" s="10"/>
      <c r="K157" s="10"/>
      <c r="L157" s="10"/>
      <c r="AG157" s="487">
        <v>2</v>
      </c>
      <c r="AH157" s="513">
        <f ca="1">IF($AH$139=2,$AE75,IF($AH$139&gt;2,"ERROR",FORECAST($AH$139,OFFSET($O75,0,$AH$131):OFFSET($O75,0,$AH$131+1),OFFSET($O$57,0,$AH$131):OFFSET($O$57,0,$AH$131+1))))</f>
        <v>0.42836363636363634</v>
      </c>
      <c r="AJ157" s="487">
        <v>2</v>
      </c>
      <c r="AK157" s="513">
        <f ca="1">IF($AK$139=2,$AE75,IF($AK$139&gt;2,"ERROR",FORECAST($AK$139,OFFSET($O75,0,$AK$131):OFFSET($O75,0,$AK$131+1),OFFSET($O$57,0,$AK$131):OFFSET($O$57,0,$AK$131+1))))</f>
        <v>0.4190833333333333</v>
      </c>
      <c r="AM157" s="487">
        <v>2</v>
      </c>
      <c r="AN157" s="513">
        <f ca="1">IF($AN$139=2,$AE75,IF($AN$139&gt;2,"ERROR",FORECAST($AN$139,OFFSET($O75,0,$AN$131):OFFSET($O75,0,$AN$131+1),OFFSET($O$57,0,$AN$131):OFFSET($O$57,0,$AN$131+1))))</f>
        <v>0.4116153846153846</v>
      </c>
      <c r="AP157" s="487">
        <v>2</v>
      </c>
      <c r="AQ157" s="513">
        <f ca="1">IF($AQ$139=2,$AE75,IF($AQ$139&gt;2,"ERROR",FORECAST($AQ$139,OFFSET($O75,0,$AQ$131):OFFSET($O75,0,$AQ$131+1),OFFSET($O$57,0,$AQ$131):OFFSET($O$57,0,$AQ$131+1))))</f>
        <v>0.4055714285714285</v>
      </c>
      <c r="AS157" s="487">
        <v>2</v>
      </c>
      <c r="AT157" s="513">
        <f ca="1">IF($AT$139=2,$AE75,IF($AT$139&gt;2,"ERROR",FORECAST($AT$139,OFFSET($O75,0,$AT$131):OFFSET($O75,0,$AT$131+1),OFFSET($O$57,0,$AT$131):OFFSET($O$57,0,$AT$131+1))))</f>
        <v>0.4003333333333333</v>
      </c>
      <c r="BB157" s="344" t="s">
        <v>1119</v>
      </c>
      <c r="BC157" s="345">
        <v>1.59</v>
      </c>
      <c r="BD157" s="343"/>
      <c r="BE157" s="209"/>
      <c r="BF157" s="346"/>
      <c r="BS157" s="257"/>
      <c r="BT157" s="259"/>
      <c r="BU157" s="259"/>
      <c r="BV157" s="259"/>
    </row>
    <row r="158" spans="1:74" ht="12.75">
      <c r="A158" s="10"/>
      <c r="J158" s="10"/>
      <c r="K158" s="10"/>
      <c r="L158" s="10"/>
      <c r="AG158" s="487">
        <v>2.2</v>
      </c>
      <c r="AH158" s="513">
        <f ca="1">IF($AH$139=2,$AE76,IF($AH$139&gt;2,"ERROR",FORECAST($AH$139,OFFSET($O76,0,$AH$131):OFFSET($O76,0,$AH$131+1),OFFSET($O$57,0,$AH$131):OFFSET($O$57,0,$AH$131+1))))</f>
        <v>0.3892727272727273</v>
      </c>
      <c r="AJ158" s="487">
        <v>2.2</v>
      </c>
      <c r="AK158" s="513">
        <f ca="1">IF($AK$139=2,$AE76,IF($AK$139&gt;2,"ERROR",FORECAST($AK$139,OFFSET($O76,0,$AK$131):OFFSET($O76,0,$AK$131+1),OFFSET($O$57,0,$AK$131):OFFSET($O$57,0,$AK$131+1))))</f>
        <v>0.38075000000000003</v>
      </c>
      <c r="AM158" s="487">
        <v>2.2</v>
      </c>
      <c r="AN158" s="513">
        <f ca="1">IF($AN$139=2,$AE76,IF($AN$139&gt;2,"ERROR",FORECAST($AN$139,OFFSET($O76,0,$AN$131):OFFSET($O76,0,$AN$131+1),OFFSET($O$57,0,$AN$131):OFFSET($O$57,0,$AN$131+1))))</f>
        <v>0.37392307692307686</v>
      </c>
      <c r="AP158" s="487">
        <v>2.2</v>
      </c>
      <c r="AQ158" s="513">
        <f ca="1">IF($AQ$139=2,$AE76,IF($AQ$139&gt;2,"ERROR",FORECAST($AQ$139,OFFSET($O76,0,$AQ$131):OFFSET($O76,0,$AQ$131+1),OFFSET($O$57,0,$AQ$131):OFFSET($O$57,0,$AQ$131+1))))</f>
        <v>0.3684285714285714</v>
      </c>
      <c r="AS158" s="487">
        <v>2.2</v>
      </c>
      <c r="AT158" s="513">
        <f ca="1">IF($AT$139=2,$AE76,IF($AT$139&gt;2,"ERROR",FORECAST($AT$139,OFFSET($O76,0,$AT$131):OFFSET($O76,0,$AT$131+1),OFFSET($O$57,0,$AT$131):OFFSET($O$57,0,$AT$131+1))))</f>
        <v>0.3636666666666666</v>
      </c>
      <c r="BB158" s="344" t="s">
        <v>1118</v>
      </c>
      <c r="BC158" s="345">
        <v>1.46</v>
      </c>
      <c r="BD158" s="343"/>
      <c r="BE158" s="209"/>
      <c r="BF158" s="354"/>
      <c r="BS158" s="257"/>
      <c r="BT158" s="259"/>
      <c r="BU158" s="259"/>
      <c r="BV158" s="259"/>
    </row>
    <row r="159" spans="1:74" ht="12.75">
      <c r="A159" s="10"/>
      <c r="B159" s="10"/>
      <c r="C159" s="10"/>
      <c r="D159" s="10"/>
      <c r="E159" s="10"/>
      <c r="F159" s="10"/>
      <c r="G159" s="10"/>
      <c r="H159" s="10"/>
      <c r="I159" s="10"/>
      <c r="J159" s="10"/>
      <c r="K159" s="10"/>
      <c r="L159" s="10"/>
      <c r="AG159" s="487">
        <v>2.4</v>
      </c>
      <c r="AH159" s="513">
        <f ca="1">IF($AH$139=2,$AE77,IF($AH$139&gt;2,"ERROR",FORECAST($AH$139,OFFSET($O77,0,$AH$131):OFFSET($O77,0,$AH$131+1),OFFSET($O$57,0,$AH$131):OFFSET($O$57,0,$AH$131+1))))</f>
        <v>0.35804545454545444</v>
      </c>
      <c r="AJ159" s="487">
        <v>2.4</v>
      </c>
      <c r="AK159" s="513">
        <f ca="1">IF($AK$139=2,$AE77,IF($AK$139&gt;2,"ERROR",FORECAST($AK$139,OFFSET($O77,0,$AK$131):OFFSET($O77,0,$AK$131+1),OFFSET($O$57,0,$AK$131):OFFSET($O$57,0,$AK$131+1))))</f>
        <v>0.35037499999999994</v>
      </c>
      <c r="AM159" s="487">
        <v>2.4</v>
      </c>
      <c r="AN159" s="513">
        <f ca="1">IF($AN$139=2,$AE77,IF($AN$139&gt;2,"ERROR",FORECAST($AN$139,OFFSET($O77,0,$AN$131):OFFSET($O77,0,$AN$131+1),OFFSET($O$57,0,$AN$131):OFFSET($O$57,0,$AN$131+1))))</f>
        <v>0.34415384615384614</v>
      </c>
      <c r="AP159" s="487">
        <v>2.4</v>
      </c>
      <c r="AQ159" s="513">
        <f ca="1">IF($AQ$139=2,$AE77,IF($AQ$139&gt;2,"ERROR",FORECAST($AQ$139,OFFSET($O77,0,$AQ$131):OFFSET($O77,0,$AQ$131+1),OFFSET($O$57,0,$AQ$131):OFFSET($O$57,0,$AQ$131+1))))</f>
        <v>0.3390714285714285</v>
      </c>
      <c r="AS159" s="487">
        <v>2.4</v>
      </c>
      <c r="AT159" s="513">
        <f ca="1">IF($AT$139=2,$AE77,IF($AT$139&gt;2,"ERROR",FORECAST($AT$139,OFFSET($O77,0,$AT$131):OFFSET($O77,0,$AT$131+1),OFFSET($O$57,0,$AT$131):OFFSET($O$57,0,$AT$131+1))))</f>
        <v>0.33466666666666667</v>
      </c>
      <c r="BB159" s="344" t="s">
        <v>1117</v>
      </c>
      <c r="BC159" s="345">
        <v>1.32</v>
      </c>
      <c r="BD159" s="343"/>
      <c r="BE159" s="209"/>
      <c r="BF159" s="354"/>
      <c r="BS159" s="257"/>
      <c r="BT159" s="259"/>
      <c r="BU159" s="259"/>
      <c r="BV159" s="259"/>
    </row>
    <row r="160" spans="1:74" ht="12.75">
      <c r="A160" s="10"/>
      <c r="B160" s="10"/>
      <c r="C160" s="10"/>
      <c r="D160" s="10"/>
      <c r="E160" s="10"/>
      <c r="F160" s="10"/>
      <c r="G160" s="10"/>
      <c r="H160" s="10"/>
      <c r="I160" s="10"/>
      <c r="J160" s="10"/>
      <c r="K160" s="10"/>
      <c r="L160" s="10"/>
      <c r="AG160" s="487">
        <v>2.6</v>
      </c>
      <c r="AH160" s="513">
        <f ca="1">IF($AH$139=2,$AE78,IF($AH$139&gt;2,"ERROR",FORECAST($AH$139,OFFSET($O78,0,$AH$131):OFFSET($O78,0,$AH$131+1),OFFSET($O$57,0,$AH$131):OFFSET($O$57,0,$AH$131+1))))</f>
        <v>0.3303636363636363</v>
      </c>
      <c r="AJ160" s="487">
        <v>2.6</v>
      </c>
      <c r="AK160" s="513">
        <f ca="1">IF($AK$139=2,$AE78,IF($AK$139&gt;2,"ERROR",FORECAST($AK$139,OFFSET($O78,0,$AK$131):OFFSET($O78,0,$AK$131+1),OFFSET($O$57,0,$AK$131):OFFSET($O$57,0,$AK$131+1))))</f>
        <v>0.32316666666666666</v>
      </c>
      <c r="AM160" s="487">
        <v>2.6</v>
      </c>
      <c r="AN160" s="513">
        <f ca="1">IF($AN$139=2,$AE78,IF($AN$139&gt;2,"ERROR",FORECAST($AN$139,OFFSET($O78,0,$AN$131):OFFSET($O78,0,$AN$131+1),OFFSET($O$57,0,$AN$131):OFFSET($O$57,0,$AN$131+1))))</f>
        <v>0.31738461538461543</v>
      </c>
      <c r="AP160" s="487">
        <v>2.6</v>
      </c>
      <c r="AQ160" s="513">
        <f ca="1">IF($AQ$139=2,$AE78,IF($AQ$139&gt;2,"ERROR",FORECAST($AQ$139,OFFSET($O78,0,$AQ$131):OFFSET($O78,0,$AQ$131+1),OFFSET($O$57,0,$AQ$131):OFFSET($O$57,0,$AQ$131+1))))</f>
        <v>0.3127142857142858</v>
      </c>
      <c r="AS160" s="487">
        <v>2.6</v>
      </c>
      <c r="AT160" s="513">
        <f ca="1">IF($AT$139=2,$AE78,IF($AT$139&gt;2,"ERROR",FORECAST($AT$139,OFFSET($O78,0,$AT$131):OFFSET($O78,0,$AT$131+1),OFFSET($O$57,0,$AT$131):OFFSET($O$57,0,$AT$131+1))))</f>
        <v>0.3086666666666667</v>
      </c>
      <c r="AY160" s="43"/>
      <c r="AZ160" s="31"/>
      <c r="BB160" s="344" t="s">
        <v>1116</v>
      </c>
      <c r="BC160" s="345">
        <v>1.22</v>
      </c>
      <c r="BD160" s="343"/>
      <c r="BE160" s="209"/>
      <c r="BF160" s="354"/>
      <c r="BS160" s="257"/>
      <c r="BT160" s="259"/>
      <c r="BU160" s="259"/>
      <c r="BV160" s="259"/>
    </row>
    <row r="161" spans="1:74" ht="12.75">
      <c r="A161" s="10"/>
      <c r="B161" s="10"/>
      <c r="C161" s="10"/>
      <c r="D161" s="10"/>
      <c r="E161" s="10"/>
      <c r="F161" s="10"/>
      <c r="G161" s="10"/>
      <c r="H161" s="10"/>
      <c r="I161" s="10"/>
      <c r="J161" s="10"/>
      <c r="K161" s="10"/>
      <c r="L161" s="10"/>
      <c r="AG161" s="487">
        <v>2.8</v>
      </c>
      <c r="AH161" s="513">
        <f ca="1">IF($AH$139=2,$AE79,IF($AH$139&gt;2,"ERROR",FORECAST($AH$139,OFFSET($O79,0,$AH$131):OFFSET($O79,0,$AH$131+1),OFFSET($O$57,0,$AH$131):OFFSET($O$57,0,$AH$131+1))))</f>
        <v>0.30668181818181817</v>
      </c>
      <c r="AJ161" s="487">
        <v>2.8</v>
      </c>
      <c r="AK161" s="513">
        <f ca="1">IF($AK$139=2,$AE79,IF($AK$139&gt;2,"ERROR",FORECAST($AK$139,OFFSET($O79,0,$AK$131):OFFSET($O79,0,$AK$131+1),OFFSET($O$57,0,$AK$131):OFFSET($O$57,0,$AK$131+1))))</f>
        <v>0.2999583333333333</v>
      </c>
      <c r="AM161" s="487">
        <v>2.8</v>
      </c>
      <c r="AN161" s="513">
        <f ca="1">IF($AN$139=2,$AE79,IF($AN$139&gt;2,"ERROR",FORECAST($AN$139,OFFSET($O79,0,$AN$131):OFFSET($O79,0,$AN$131+1),OFFSET($O$57,0,$AN$131):OFFSET($O$57,0,$AN$131+1))))</f>
        <v>0.2946153846153846</v>
      </c>
      <c r="AP161" s="487">
        <v>2.8</v>
      </c>
      <c r="AQ161" s="513">
        <f ca="1">IF($AQ$139=2,$AE79,IF($AQ$139&gt;2,"ERROR",FORECAST($AQ$139,OFFSET($O79,0,$AQ$131):OFFSET($O79,0,$AQ$131+1),OFFSET($O$57,0,$AQ$131):OFFSET($O$57,0,$AQ$131+1))))</f>
        <v>0.29035714285714287</v>
      </c>
      <c r="AS161" s="487">
        <v>2.8</v>
      </c>
      <c r="AT161" s="513">
        <f ca="1">IF($AT$139=2,$AE79,IF($AT$139&gt;2,"ERROR",FORECAST($AT$139,OFFSET($O79,0,$AT$131):OFFSET($O79,0,$AT$131+1),OFFSET($O$57,0,$AT$131):OFFSET($O$57,0,$AT$131+1))))</f>
        <v>0.2866666666666667</v>
      </c>
      <c r="BB161" s="344" t="s">
        <v>1115</v>
      </c>
      <c r="BC161" s="345">
        <v>1.1</v>
      </c>
      <c r="BD161" s="343"/>
      <c r="BE161" s="209"/>
      <c r="BF161" s="346"/>
      <c r="BS161" s="257"/>
      <c r="BT161" s="259"/>
      <c r="BU161" s="259"/>
      <c r="BV161" s="259"/>
    </row>
    <row r="162" spans="1:74" ht="12.75">
      <c r="A162" s="10"/>
      <c r="B162" s="10"/>
      <c r="C162" s="10"/>
      <c r="D162" s="10"/>
      <c r="E162" s="10"/>
      <c r="F162" s="10"/>
      <c r="G162" s="10"/>
      <c r="H162" s="10"/>
      <c r="I162" s="10"/>
      <c r="J162" s="10"/>
      <c r="K162" s="10"/>
      <c r="L162" s="10"/>
      <c r="AG162" s="498">
        <v>3</v>
      </c>
      <c r="AH162" s="540">
        <f ca="1">IF($AH$139=2,$AE80,IF($AH$139&gt;2,"ERROR",FORECAST($AH$139,OFFSET($O80,0,$AH$131):OFFSET($O80,0,$AH$131+1),OFFSET($O$57,0,$AH$131):OFFSET($O$57,0,$AH$131+1))))</f>
        <v>0.28600000000000003</v>
      </c>
      <c r="AJ162" s="498">
        <v>3</v>
      </c>
      <c r="AK162" s="514">
        <f ca="1">IF($AK$139=2,$AE80,IF($AK$139&gt;2,"ERROR",FORECAST($AK$139,OFFSET($O80,0,$AK$131):OFFSET($O80,0,$AK$131+1),OFFSET($O$57,0,$AK$131):OFFSET($O$57,0,$AK$131+1))))</f>
        <v>0.27975000000000005</v>
      </c>
      <c r="AM162" s="498">
        <v>3</v>
      </c>
      <c r="AN162" s="540">
        <f ca="1">IF($AN$139=2,$AE80,IF($AN$139&gt;2,"ERROR",FORECAST($AN$139,OFFSET($O80,0,$AN$131):OFFSET($O80,0,$AN$131+1),OFFSET($O$57,0,$AN$131):OFFSET($O$57,0,$AN$131+1))))</f>
        <v>0.27476923076923077</v>
      </c>
      <c r="AP162" s="498">
        <v>3</v>
      </c>
      <c r="AQ162" s="540">
        <f ca="1">IF($AQ$139=2,$AE80,IF($AQ$139&gt;2,"ERROR",FORECAST($AQ$139,OFFSET($O80,0,$AQ$131):OFFSET($O80,0,$AQ$131+1),OFFSET($O$57,0,$AQ$131):OFFSET($O$57,0,$AQ$131+1))))</f>
        <v>0.2707857142857143</v>
      </c>
      <c r="AS162" s="498">
        <v>3</v>
      </c>
      <c r="AT162" s="540">
        <f ca="1">IF($AT$139=2,$AE80,IF($AT$139&gt;2,"ERROR",FORECAST($AT$139,OFFSET($O80,0,$AT$131):OFFSET($O80,0,$AT$131+1),OFFSET($O$57,0,$AT$131):OFFSET($O$57,0,$AT$131+1))))</f>
        <v>0.2673333333333333</v>
      </c>
      <c r="BB162" s="344" t="s">
        <v>1114</v>
      </c>
      <c r="BC162" s="345">
        <v>1</v>
      </c>
      <c r="BD162" s="343"/>
      <c r="BE162" s="209"/>
      <c r="BF162" s="346"/>
      <c r="BS162" s="257"/>
      <c r="BT162" s="259"/>
      <c r="BU162" s="259"/>
      <c r="BV162" s="259"/>
    </row>
    <row r="163" spans="1:74" ht="12.75">
      <c r="A163" s="10"/>
      <c r="B163" s="10"/>
      <c r="C163" s="10"/>
      <c r="D163" s="10"/>
      <c r="E163" s="10"/>
      <c r="F163" s="10"/>
      <c r="G163" s="10"/>
      <c r="H163" s="10"/>
      <c r="I163" s="10"/>
      <c r="J163" s="10"/>
      <c r="K163" s="10"/>
      <c r="L163" s="10"/>
      <c r="O163" s="551"/>
      <c r="P163" s="552"/>
      <c r="Q163" s="118"/>
      <c r="R163" s="118"/>
      <c r="S163" s="118"/>
      <c r="T163" s="118"/>
      <c r="U163" s="118"/>
      <c r="V163" s="118"/>
      <c r="W163" s="118"/>
      <c r="X163" s="552"/>
      <c r="Y163" s="118"/>
      <c r="Z163" s="118"/>
      <c r="AA163" s="118"/>
      <c r="AB163" s="118"/>
      <c r="AC163" s="118"/>
      <c r="AD163" s="118"/>
      <c r="AE163" s="118"/>
      <c r="AF163" s="37"/>
      <c r="AG163" s="504" t="s">
        <v>526</v>
      </c>
      <c r="AH163" s="541">
        <f ca="1">IF($AH$139=2,$AE81,IF($AH$139&gt;2,"ERROR",FORECAST($AH$139,OFFSET($O81,0,$AH$131):OFFSET($O81,0,$AH$131+1),OFFSET($O$57,0,$AH$131):OFFSET($O$57,0,$AH$131+1))))</f>
        <v>0.010863636363636364</v>
      </c>
      <c r="AJ163" s="504" t="s">
        <v>526</v>
      </c>
      <c r="AK163" s="595">
        <f ca="1">IF($AK$139=2,$AE81,IF($AK$139&gt;2,"ERROR",FORECAST($AK$139,OFFSET($O81,0,$AK$131):OFFSET($O81,0,$AK$131+1),OFFSET($O$57,0,$AK$131):OFFSET($O$57,0,$AK$131+1))))</f>
        <v>0.008875000000000001</v>
      </c>
      <c r="AM163" s="504" t="s">
        <v>526</v>
      </c>
      <c r="AN163" s="541">
        <f ca="1">IF($AN$139=2,$AE81,IF($AN$139&gt;2,"ERROR",FORECAST($AN$139,OFFSET($O81,0,$AN$131):OFFSET($O81,0,$AN$131+1),OFFSET($O$57,0,$AN$131):OFFSET($O$57,0,$AN$131+1))))</f>
        <v>0.007692307692307693</v>
      </c>
      <c r="AP163" s="504" t="s">
        <v>526</v>
      </c>
      <c r="AQ163" s="541">
        <f ca="1">IF($AQ$139=2,$AE81,IF($AQ$139&gt;2,"ERROR",FORECAST($AQ$139,OFFSET($O81,0,$AQ$131):OFFSET($O81,0,$AQ$131+1),OFFSET($O$57,0,$AQ$131):OFFSET($O$57,0,$AQ$131+1))))</f>
        <v>0.007142857142857143</v>
      </c>
      <c r="AS163" s="504" t="s">
        <v>526</v>
      </c>
      <c r="AT163" s="541">
        <f ca="1">IF($AT$139=2,$AE81,IF($AT$139&gt;2,"ERROR",FORECAST($AT$139,OFFSET($O81,0,$AT$131):OFFSET($O81,0,$AT$131+1),OFFSET($O$57,0,$AT$131):OFFSET($O$57,0,$AT$131+1))))</f>
        <v>0.006666666666666666</v>
      </c>
      <c r="BB163" s="344" t="s">
        <v>1096</v>
      </c>
      <c r="BC163" s="345">
        <v>0.91</v>
      </c>
      <c r="BD163" s="343"/>
      <c r="BE163" s="209"/>
      <c r="BF163" s="343"/>
      <c r="BS163" s="257"/>
      <c r="BT163" s="254"/>
      <c r="BU163" s="266"/>
      <c r="BV163" s="257"/>
    </row>
    <row r="164" spans="1:74" ht="12.75">
      <c r="A164" s="10"/>
      <c r="B164" s="10"/>
      <c r="C164" s="10"/>
      <c r="D164" s="10"/>
      <c r="E164" s="10"/>
      <c r="F164" s="10"/>
      <c r="G164" s="10"/>
      <c r="H164" s="10"/>
      <c r="I164" s="10"/>
      <c r="J164" s="10"/>
      <c r="K164" s="10"/>
      <c r="L164" s="10"/>
      <c r="O164" s="553"/>
      <c r="P164" s="554"/>
      <c r="Q164" s="2"/>
      <c r="R164" s="2"/>
      <c r="S164" s="2"/>
      <c r="T164" s="2"/>
      <c r="U164" s="2"/>
      <c r="V164" s="2"/>
      <c r="W164" s="2"/>
      <c r="X164" s="555"/>
      <c r="Y164" s="2"/>
      <c r="Z164" s="2"/>
      <c r="AA164" s="2"/>
      <c r="AB164" s="2"/>
      <c r="AC164" s="2"/>
      <c r="AD164" s="2"/>
      <c r="AE164" s="2"/>
      <c r="AF164" s="37"/>
      <c r="AN164" s="549"/>
      <c r="BB164" s="344" t="s">
        <v>1095</v>
      </c>
      <c r="BC164" s="345">
        <v>0.83</v>
      </c>
      <c r="BD164" s="343"/>
      <c r="BE164" s="209"/>
      <c r="BF164" s="343"/>
      <c r="BS164" s="257"/>
      <c r="BT164" s="255"/>
      <c r="BU164" s="257"/>
      <c r="BV164" s="259"/>
    </row>
    <row r="165" spans="1:74" ht="12.75">
      <c r="A165" s="10"/>
      <c r="B165" s="10"/>
      <c r="C165" s="10"/>
      <c r="D165" s="10"/>
      <c r="E165" s="10"/>
      <c r="F165" s="10"/>
      <c r="G165" s="10"/>
      <c r="H165" s="10"/>
      <c r="I165" s="10"/>
      <c r="J165" s="10"/>
      <c r="K165" s="10"/>
      <c r="L165" s="10"/>
      <c r="O165" s="245"/>
      <c r="P165" s="37"/>
      <c r="Q165" s="37"/>
      <c r="R165" s="37"/>
      <c r="S165" s="37"/>
      <c r="T165" s="37"/>
      <c r="U165" s="37"/>
      <c r="V165" s="37"/>
      <c r="W165" s="277"/>
      <c r="X165" s="544"/>
      <c r="Y165" s="92"/>
      <c r="Z165" s="37"/>
      <c r="AA165" s="37"/>
      <c r="AB165" s="37"/>
      <c r="AC165" s="37"/>
      <c r="AD165" s="37"/>
      <c r="AE165" s="37"/>
      <c r="AF165" s="246"/>
      <c r="AG165" s="186" t="s">
        <v>18</v>
      </c>
      <c r="AH165" s="509">
        <f>$AH$139</f>
        <v>0.11363636363636363</v>
      </c>
      <c r="AJ165" s="186" t="s">
        <v>18</v>
      </c>
      <c r="AK165" s="509">
        <f>$AK$139</f>
        <v>0.10416666666666667</v>
      </c>
      <c r="AM165" s="186" t="s">
        <v>18</v>
      </c>
      <c r="AN165" s="509">
        <f>$AN$139</f>
        <v>0.09615384615384616</v>
      </c>
      <c r="AP165" s="186" t="s">
        <v>18</v>
      </c>
      <c r="AQ165" s="509">
        <f>$AQ$139</f>
        <v>0.08928571428571429</v>
      </c>
      <c r="AS165" s="186" t="s">
        <v>18</v>
      </c>
      <c r="AT165" s="509">
        <f>$AT$139</f>
        <v>0.08333333333333333</v>
      </c>
      <c r="BB165" s="344" t="s">
        <v>1094</v>
      </c>
      <c r="BC165" s="345">
        <v>0.75</v>
      </c>
      <c r="BD165" s="343"/>
      <c r="BE165" s="209"/>
      <c r="BF165" s="343"/>
      <c r="BS165" s="254"/>
      <c r="BT165" s="249"/>
      <c r="BU165" s="259"/>
      <c r="BV165" s="267"/>
    </row>
    <row r="166" spans="1:74" ht="12.75">
      <c r="A166" s="10"/>
      <c r="B166" s="10"/>
      <c r="C166" s="10"/>
      <c r="D166" s="10"/>
      <c r="E166" s="10"/>
      <c r="F166" s="10"/>
      <c r="G166" s="10"/>
      <c r="H166" s="10"/>
      <c r="I166" s="10"/>
      <c r="J166" s="10"/>
      <c r="K166" s="10"/>
      <c r="L166" s="10"/>
      <c r="O166" s="204"/>
      <c r="P166" s="37"/>
      <c r="Q166" s="37"/>
      <c r="R166" s="204"/>
      <c r="S166" s="25"/>
      <c r="T166" s="204"/>
      <c r="U166" s="37"/>
      <c r="V166" s="37"/>
      <c r="W166" s="204"/>
      <c r="X166" s="26"/>
      <c r="Y166" s="204"/>
      <c r="Z166" s="37"/>
      <c r="AA166" s="37"/>
      <c r="AB166" s="37"/>
      <c r="AC166" s="37"/>
      <c r="AD166" s="204"/>
      <c r="AE166" s="37"/>
      <c r="AF166" s="37"/>
      <c r="AG166" s="511">
        <f>$AJ$17</f>
        <v>0.1255</v>
      </c>
      <c r="AH166" s="511">
        <f ca="1">IF($AG$166&lt;=$O$80,IF($AH$139&gt;2,"ERROR",IF($AG$166&gt;3,"ERROR",FORECAST($AG$166,OFFSET($AH$139,$AH$135,0):OFFSET($AH$139,$AH$135+1,0),OFFSET($O$57,$AH$135,0):OFFSET($O$57,$AH$135+1,0)))),$AH$162)</f>
        <v>2.331490909090909</v>
      </c>
      <c r="AJ166" s="511">
        <f>$AM$17</f>
        <v>0.11612499999999999</v>
      </c>
      <c r="AK166" s="511">
        <f ca="1">IF($AJ$166&lt;=$O$80,IF($AK$139&gt;2,"ERROR",IF($AJ$166&gt;3,"ERROR",FORECAST($AJ$166,OFFSET($AK$139,$AK$135,0):OFFSET($AK$139,$AK$135+1,0),OFFSET($O$57,$AK$135,0):OFFSET($O$57,$AK$135+1,0)))),$AK$162)</f>
        <v>2.290889583333333</v>
      </c>
      <c r="AM166" s="550">
        <f>$AN$17</f>
        <v>0.10769230769230768</v>
      </c>
      <c r="AN166" s="550">
        <f ca="1">IF($AM$166&lt;=$O$80,IF($AN$139&gt;2,"ERROR",IF($AM$166&gt;3,"ERROR",FORECAST($AM$166,OFFSET($AN$139,$AN$135,0):OFFSET($AN$139,$AN$135+1,0),OFFSET($O$57,$AN$135,0):OFFSET($O$57,$AN$135+1,0)))),$AN$162)</f>
        <v>2.2592307692307694</v>
      </c>
      <c r="AP166" s="550">
        <f>$AS$17</f>
        <v>0.09999999999999999</v>
      </c>
      <c r="AQ166" s="550">
        <f ca="1">IF($AP$166&lt;=$O$80,IF($AQ$139&gt;2,"ERROR",IF($AP$166&gt;3,"ERROR",FORECAST($AP$166,OFFSET($AQ$139,$AQ$135,0):OFFSET($AQ$139,$AQ$135+1,0),OFFSET($O$57,$AQ$135,0):OFFSET($O$57,$AQ$135+1,0)))),$AQ$162)</f>
        <v>2.2349999999999994</v>
      </c>
      <c r="AS166" s="550">
        <f>$AX$17</f>
        <v>0.09333333333333332</v>
      </c>
      <c r="AT166" s="550">
        <f ca="1">IF($AS$166&lt;=$O$80,IF($AT$139&gt;2,"ERROR",IF($AS$166&gt;3,"ERROR",FORECAST($AS$166,OFFSET($AT$139,$AT$135,0):OFFSET($AT$139,$AT$135+1,0),OFFSET($O$57,$AT$135,0):OFFSET($O$57,$AT$135+1,0)))),$AT$162)</f>
        <v>2.1957777777777774</v>
      </c>
      <c r="BB166" s="344" t="s">
        <v>345</v>
      </c>
      <c r="BC166" s="345">
        <v>0.72</v>
      </c>
      <c r="BD166" s="343"/>
      <c r="BE166" s="209"/>
      <c r="BF166" s="343"/>
      <c r="BS166" s="258"/>
      <c r="BT166" s="255"/>
      <c r="BU166" s="268"/>
      <c r="BV166" s="259"/>
    </row>
    <row r="167" spans="1:71" ht="12.75">
      <c r="A167" s="10"/>
      <c r="B167" s="10"/>
      <c r="C167" s="10"/>
      <c r="D167" s="10"/>
      <c r="E167" s="10"/>
      <c r="F167" s="10"/>
      <c r="G167" s="10"/>
      <c r="H167" s="10"/>
      <c r="I167" s="10"/>
      <c r="J167" s="10"/>
      <c r="K167" s="10"/>
      <c r="L167" s="10"/>
      <c r="BB167" s="344" t="s">
        <v>344</v>
      </c>
      <c r="BC167" s="345">
        <v>0.65</v>
      </c>
      <c r="BD167" s="343"/>
      <c r="BE167" s="209"/>
      <c r="BF167" s="343"/>
      <c r="BS167" s="85"/>
    </row>
    <row r="168" spans="1:71" ht="12.75">
      <c r="A168" s="10"/>
      <c r="B168" s="10"/>
      <c r="C168" s="10"/>
      <c r="D168" s="10"/>
      <c r="E168" s="10"/>
      <c r="F168" s="10"/>
      <c r="G168" s="10"/>
      <c r="H168" s="10"/>
      <c r="I168" s="10"/>
      <c r="J168" s="10"/>
      <c r="K168" s="10"/>
      <c r="L168" s="10"/>
      <c r="BB168" s="344" t="s">
        <v>343</v>
      </c>
      <c r="BC168" s="345">
        <v>0.6</v>
      </c>
      <c r="BD168" s="343"/>
      <c r="BE168" s="209"/>
      <c r="BF168" s="343"/>
      <c r="BS168" s="269"/>
    </row>
    <row r="169" spans="1:71" ht="12.75">
      <c r="A169" s="10"/>
      <c r="B169" s="10"/>
      <c r="C169" s="10"/>
      <c r="D169" s="10"/>
      <c r="E169" s="10"/>
      <c r="F169" s="10"/>
      <c r="G169" s="10"/>
      <c r="H169" s="10"/>
      <c r="I169" s="10"/>
      <c r="J169" s="10"/>
      <c r="K169" s="10"/>
      <c r="L169" s="10"/>
      <c r="BB169" s="344" t="s">
        <v>342</v>
      </c>
      <c r="BC169" s="345">
        <v>0.55</v>
      </c>
      <c r="BD169" s="343"/>
      <c r="BE169" s="209"/>
      <c r="BF169" s="343"/>
      <c r="BS169" s="31"/>
    </row>
    <row r="170" spans="1:71" ht="12.75">
      <c r="A170" s="10"/>
      <c r="B170" s="10"/>
      <c r="C170" s="10"/>
      <c r="D170" s="10"/>
      <c r="E170" s="10"/>
      <c r="F170" s="10"/>
      <c r="G170" s="10"/>
      <c r="H170" s="10"/>
      <c r="I170" s="10"/>
      <c r="J170" s="10"/>
      <c r="K170" s="10"/>
      <c r="L170" s="10"/>
      <c r="BB170" s="344" t="s">
        <v>341</v>
      </c>
      <c r="BC170" s="345">
        <v>0.5</v>
      </c>
      <c r="BD170" s="343"/>
      <c r="BE170" s="209"/>
      <c r="BF170" s="343"/>
      <c r="BS170" s="31"/>
    </row>
    <row r="171" spans="1:71" ht="12.75">
      <c r="A171" s="10"/>
      <c r="B171" s="10"/>
      <c r="C171" s="10"/>
      <c r="D171" s="10"/>
      <c r="E171" s="10"/>
      <c r="F171" s="10"/>
      <c r="G171" s="10"/>
      <c r="H171" s="10"/>
      <c r="I171" s="10"/>
      <c r="J171" s="10"/>
      <c r="K171" s="10"/>
      <c r="L171" s="10"/>
      <c r="BB171" s="344" t="s">
        <v>340</v>
      </c>
      <c r="BC171" s="345">
        <v>0.58</v>
      </c>
      <c r="BD171" s="343"/>
      <c r="BE171" s="209"/>
      <c r="BF171" s="343"/>
      <c r="BS171" s="31"/>
    </row>
    <row r="172" spans="1:71" ht="12.75">
      <c r="A172" s="10"/>
      <c r="B172" s="10"/>
      <c r="C172" s="10"/>
      <c r="D172" s="10"/>
      <c r="E172" s="10"/>
      <c r="F172" s="10"/>
      <c r="G172" s="10"/>
      <c r="H172" s="10"/>
      <c r="I172" s="10"/>
      <c r="J172" s="10"/>
      <c r="K172" s="10"/>
      <c r="L172" s="10"/>
      <c r="BB172" s="344" t="s">
        <v>339</v>
      </c>
      <c r="BC172" s="345">
        <v>0.515</v>
      </c>
      <c r="BD172" s="343"/>
      <c r="BE172" s="209"/>
      <c r="BF172" s="343"/>
      <c r="BS172" s="31"/>
    </row>
    <row r="173" spans="1:71" ht="12.75">
      <c r="A173" s="10"/>
      <c r="B173" s="10"/>
      <c r="C173" s="10"/>
      <c r="D173" s="10"/>
      <c r="E173" s="10"/>
      <c r="F173" s="10"/>
      <c r="G173" s="10"/>
      <c r="H173" s="10"/>
      <c r="I173" s="10"/>
      <c r="J173" s="10"/>
      <c r="K173" s="10"/>
      <c r="L173" s="10"/>
      <c r="BB173" s="344" t="s">
        <v>1093</v>
      </c>
      <c r="BC173" s="345">
        <v>0.455</v>
      </c>
      <c r="BD173" s="343"/>
      <c r="BE173" s="209"/>
      <c r="BF173" s="343"/>
      <c r="BS173" s="31"/>
    </row>
    <row r="174" spans="1:71" ht="12.75">
      <c r="A174" s="10"/>
      <c r="B174" s="10"/>
      <c r="C174" s="10"/>
      <c r="D174" s="10"/>
      <c r="E174" s="10"/>
      <c r="F174" s="10"/>
      <c r="G174" s="10"/>
      <c r="H174" s="10"/>
      <c r="I174" s="10"/>
      <c r="J174" s="10"/>
      <c r="K174" s="10"/>
      <c r="L174" s="10"/>
      <c r="BB174" s="344" t="s">
        <v>1092</v>
      </c>
      <c r="BC174" s="345">
        <v>0.43</v>
      </c>
      <c r="BD174" s="343"/>
      <c r="BE174" s="209"/>
      <c r="BF174" s="343"/>
      <c r="BS174" s="103"/>
    </row>
    <row r="175" spans="1:71" ht="12.75">
      <c r="A175" s="10"/>
      <c r="B175" s="10"/>
      <c r="C175" s="10"/>
      <c r="D175" s="10"/>
      <c r="E175" s="10"/>
      <c r="F175" s="10"/>
      <c r="G175" s="10"/>
      <c r="H175" s="10"/>
      <c r="I175" s="10"/>
      <c r="J175" s="10"/>
      <c r="K175" s="10"/>
      <c r="L175" s="10"/>
      <c r="BB175" s="344" t="s">
        <v>1091</v>
      </c>
      <c r="BC175" s="345">
        <v>0.4</v>
      </c>
      <c r="BD175" s="343"/>
      <c r="BE175" s="209"/>
      <c r="BF175" s="343"/>
      <c r="BS175" s="31"/>
    </row>
    <row r="176" spans="1:71" ht="12.75">
      <c r="A176" s="10"/>
      <c r="B176" s="10"/>
      <c r="C176" s="10"/>
      <c r="D176" s="10"/>
      <c r="E176" s="10"/>
      <c r="F176" s="10"/>
      <c r="G176" s="10"/>
      <c r="H176" s="10"/>
      <c r="I176" s="10"/>
      <c r="J176" s="10"/>
      <c r="K176" s="10"/>
      <c r="L176" s="10"/>
      <c r="BB176" s="344" t="s">
        <v>1090</v>
      </c>
      <c r="BC176" s="345">
        <v>0.405</v>
      </c>
      <c r="BD176" s="343"/>
      <c r="BE176" s="209"/>
      <c r="BF176" s="343"/>
      <c r="BS176" s="31"/>
    </row>
    <row r="177" spans="1:71" ht="12.75">
      <c r="A177" s="10"/>
      <c r="B177" s="10"/>
      <c r="C177" s="10"/>
      <c r="D177" s="10"/>
      <c r="E177" s="10"/>
      <c r="F177" s="10"/>
      <c r="G177" s="10"/>
      <c r="H177" s="10"/>
      <c r="I177" s="10"/>
      <c r="J177" s="10"/>
      <c r="K177" s="10"/>
      <c r="L177" s="10"/>
      <c r="BB177" s="344" t="s">
        <v>410</v>
      </c>
      <c r="BC177" s="345">
        <v>0.375</v>
      </c>
      <c r="BD177" s="343"/>
      <c r="BE177" s="209"/>
      <c r="BF177" s="343"/>
      <c r="BS177" s="103"/>
    </row>
    <row r="178" spans="1:71" ht="12.75">
      <c r="A178" s="10"/>
      <c r="B178" s="10"/>
      <c r="C178" s="10"/>
      <c r="D178" s="10"/>
      <c r="E178" s="10"/>
      <c r="F178" s="10"/>
      <c r="G178" s="10"/>
      <c r="H178" s="10"/>
      <c r="I178" s="10"/>
      <c r="J178" s="10"/>
      <c r="K178" s="10"/>
      <c r="L178" s="10"/>
      <c r="BB178" s="344" t="s">
        <v>1089</v>
      </c>
      <c r="BC178" s="345">
        <v>0.38</v>
      </c>
      <c r="BD178" s="343"/>
      <c r="BE178" s="209"/>
      <c r="BF178" s="343"/>
      <c r="BS178" s="31"/>
    </row>
    <row r="179" spans="1:71" ht="12.75">
      <c r="A179" s="10"/>
      <c r="B179" s="10"/>
      <c r="C179" s="10"/>
      <c r="D179" s="10"/>
      <c r="E179" s="10"/>
      <c r="F179" s="10"/>
      <c r="G179" s="10"/>
      <c r="H179" s="10"/>
      <c r="I179" s="10"/>
      <c r="J179" s="10"/>
      <c r="K179" s="10"/>
      <c r="L179" s="10"/>
      <c r="BB179" s="344" t="s">
        <v>411</v>
      </c>
      <c r="BC179" s="345">
        <v>0.35</v>
      </c>
      <c r="BD179" s="343"/>
      <c r="BE179" s="209"/>
      <c r="BF179" s="343"/>
      <c r="BS179" s="31"/>
    </row>
    <row r="180" spans="1:71" ht="12.75">
      <c r="A180" s="10"/>
      <c r="B180" s="10"/>
      <c r="C180" s="10"/>
      <c r="D180" s="10"/>
      <c r="E180" s="10"/>
      <c r="F180" s="10"/>
      <c r="G180" s="10"/>
      <c r="H180" s="10"/>
      <c r="I180" s="10"/>
      <c r="J180" s="10"/>
      <c r="K180" s="10"/>
      <c r="L180" s="10"/>
      <c r="BB180" s="344" t="s">
        <v>1088</v>
      </c>
      <c r="BC180" s="345">
        <v>0.35</v>
      </c>
      <c r="BD180" s="343"/>
      <c r="BE180" s="209"/>
      <c r="BF180" s="343"/>
      <c r="BS180" s="31"/>
    </row>
    <row r="181" spans="1:71" ht="12.75">
      <c r="A181" s="10"/>
      <c r="B181" s="10"/>
      <c r="C181" s="10"/>
      <c r="D181" s="10"/>
      <c r="E181" s="10"/>
      <c r="F181" s="10"/>
      <c r="G181" s="10"/>
      <c r="H181" s="10"/>
      <c r="I181" s="10"/>
      <c r="J181" s="10"/>
      <c r="K181" s="10"/>
      <c r="L181" s="10"/>
      <c r="BB181" s="344" t="s">
        <v>1087</v>
      </c>
      <c r="BC181" s="345">
        <v>1.52</v>
      </c>
      <c r="BD181" s="343"/>
      <c r="BE181" s="209"/>
      <c r="BF181" s="343"/>
      <c r="BS181" s="31"/>
    </row>
    <row r="182" spans="1:71" ht="12.75">
      <c r="A182" s="10"/>
      <c r="B182" s="10"/>
      <c r="C182" s="10"/>
      <c r="D182" s="10"/>
      <c r="E182" s="10"/>
      <c r="F182" s="10"/>
      <c r="G182" s="10"/>
      <c r="H182" s="10"/>
      <c r="I182" s="10"/>
      <c r="J182" s="10"/>
      <c r="K182" s="10"/>
      <c r="L182" s="10"/>
      <c r="BB182" s="344" t="s">
        <v>1086</v>
      </c>
      <c r="BC182" s="345">
        <v>1.4</v>
      </c>
      <c r="BD182" s="343"/>
      <c r="BE182" s="209"/>
      <c r="BF182" s="343"/>
      <c r="BS182" s="103"/>
    </row>
    <row r="183" spans="1:71" ht="12.75">
      <c r="A183" s="10"/>
      <c r="B183" s="10"/>
      <c r="C183" s="112"/>
      <c r="D183" s="10"/>
      <c r="E183" s="10"/>
      <c r="F183" s="10"/>
      <c r="G183" s="10"/>
      <c r="H183" s="10"/>
      <c r="I183" s="10"/>
      <c r="J183" s="10"/>
      <c r="K183" s="10"/>
      <c r="L183" s="10"/>
      <c r="BB183" s="344" t="s">
        <v>1085</v>
      </c>
      <c r="BC183" s="345">
        <v>1.28</v>
      </c>
      <c r="BD183" s="343"/>
      <c r="BE183" s="209"/>
      <c r="BF183" s="343"/>
      <c r="BS183" s="31"/>
    </row>
    <row r="184" spans="1:71" ht="12.75">
      <c r="A184" s="10"/>
      <c r="B184" s="10"/>
      <c r="C184" s="10"/>
      <c r="D184" s="10"/>
      <c r="E184" s="10"/>
      <c r="F184" s="10"/>
      <c r="G184" s="10"/>
      <c r="H184" s="10"/>
      <c r="I184" s="10"/>
      <c r="J184" s="10"/>
      <c r="K184" s="10"/>
      <c r="L184" s="10"/>
      <c r="BB184" s="344" t="s">
        <v>1102</v>
      </c>
      <c r="BC184" s="345">
        <v>1.16</v>
      </c>
      <c r="BD184" s="343"/>
      <c r="BE184" s="209"/>
      <c r="BF184" s="343"/>
      <c r="BS184" s="31"/>
    </row>
    <row r="185" spans="1:71" ht="12.75">
      <c r="A185" s="10"/>
      <c r="B185" s="10"/>
      <c r="C185" s="10"/>
      <c r="D185" s="10"/>
      <c r="E185" s="10"/>
      <c r="F185" s="10"/>
      <c r="G185" s="10"/>
      <c r="H185" s="10"/>
      <c r="I185" s="10"/>
      <c r="J185" s="10"/>
      <c r="K185" s="10"/>
      <c r="L185" s="10"/>
      <c r="BA185" s="29"/>
      <c r="BB185" s="344" t="s">
        <v>1101</v>
      </c>
      <c r="BC185" s="345">
        <v>1.06</v>
      </c>
      <c r="BD185" s="343"/>
      <c r="BE185" s="209"/>
      <c r="BF185" s="343"/>
      <c r="BS185" s="31"/>
    </row>
    <row r="186" spans="1:71" ht="12.75">
      <c r="A186" s="10"/>
      <c r="B186" s="10"/>
      <c r="C186" s="10"/>
      <c r="D186" s="10"/>
      <c r="E186" s="10"/>
      <c r="F186" s="10"/>
      <c r="G186" s="10"/>
      <c r="H186" s="10"/>
      <c r="I186" s="10"/>
      <c r="J186" s="10"/>
      <c r="K186" s="10"/>
      <c r="L186" s="10"/>
      <c r="BB186" s="344" t="s">
        <v>1100</v>
      </c>
      <c r="BC186" s="345">
        <v>0.96</v>
      </c>
      <c r="BD186" s="343"/>
      <c r="BE186" s="209"/>
      <c r="BF186" s="343"/>
      <c r="BS186" s="31"/>
    </row>
    <row r="187" spans="1:71" ht="12.75">
      <c r="A187" s="10"/>
      <c r="B187" s="10"/>
      <c r="C187" s="10"/>
      <c r="D187" s="10"/>
      <c r="E187" s="10"/>
      <c r="F187" s="10"/>
      <c r="G187" s="10"/>
      <c r="H187" s="10"/>
      <c r="I187" s="10"/>
      <c r="J187" s="10"/>
      <c r="K187" s="10"/>
      <c r="L187" s="10"/>
      <c r="BB187" s="344" t="s">
        <v>1129</v>
      </c>
      <c r="BC187" s="345">
        <v>0.89</v>
      </c>
      <c r="BD187" s="343"/>
      <c r="BE187" s="209"/>
      <c r="BF187" s="343"/>
      <c r="BS187" s="31"/>
    </row>
    <row r="188" spans="1:71" ht="12.75">
      <c r="A188" s="10"/>
      <c r="B188" s="10"/>
      <c r="C188" s="10"/>
      <c r="D188" s="10"/>
      <c r="E188" s="10"/>
      <c r="F188" s="10"/>
      <c r="G188" s="10"/>
      <c r="H188" s="10"/>
      <c r="I188" s="10"/>
      <c r="J188" s="10"/>
      <c r="K188" s="10"/>
      <c r="L188" s="10"/>
      <c r="BB188" s="344" t="s">
        <v>1128</v>
      </c>
      <c r="BC188" s="345">
        <v>0.81</v>
      </c>
      <c r="BD188" s="343"/>
      <c r="BE188" s="209"/>
      <c r="BF188" s="343"/>
      <c r="BS188" s="103"/>
    </row>
    <row r="189" spans="1:71" ht="12.75">
      <c r="A189" s="10"/>
      <c r="B189" s="10"/>
      <c r="C189" s="10"/>
      <c r="D189" s="10"/>
      <c r="E189" s="10"/>
      <c r="F189" s="10"/>
      <c r="G189" s="10"/>
      <c r="H189" s="10"/>
      <c r="I189" s="10"/>
      <c r="J189" s="10"/>
      <c r="K189" s="10"/>
      <c r="L189" s="10"/>
      <c r="BB189" s="344" t="s">
        <v>1127</v>
      </c>
      <c r="BC189" s="345">
        <v>0.73</v>
      </c>
      <c r="BD189" s="343"/>
      <c r="BE189" s="209"/>
      <c r="BF189" s="343"/>
      <c r="BS189" s="31"/>
    </row>
    <row r="190" spans="1:71" ht="12.75">
      <c r="A190" s="10"/>
      <c r="B190" s="10"/>
      <c r="C190" s="10"/>
      <c r="D190" s="10"/>
      <c r="E190" s="10"/>
      <c r="F190" s="10"/>
      <c r="G190" s="10"/>
      <c r="H190" s="10"/>
      <c r="I190" s="10"/>
      <c r="J190" s="10"/>
      <c r="K190" s="10"/>
      <c r="L190" s="10"/>
      <c r="BB190" s="344" t="s">
        <v>1126</v>
      </c>
      <c r="BC190" s="345">
        <v>0.67</v>
      </c>
      <c r="BD190" s="343"/>
      <c r="BE190" s="209"/>
      <c r="BF190" s="343"/>
      <c r="BS190" s="31"/>
    </row>
    <row r="191" spans="1:71" ht="12.75">
      <c r="A191" s="10"/>
      <c r="B191" s="10"/>
      <c r="C191" s="10"/>
      <c r="D191" s="10"/>
      <c r="E191" s="10"/>
      <c r="F191" s="10"/>
      <c r="G191" s="10"/>
      <c r="H191" s="10"/>
      <c r="I191" s="10"/>
      <c r="J191" s="10"/>
      <c r="K191" s="10"/>
      <c r="L191" s="10"/>
      <c r="BB191" s="344" t="s">
        <v>1125</v>
      </c>
      <c r="BC191" s="345">
        <v>0.655</v>
      </c>
      <c r="BD191" s="343"/>
      <c r="BE191" s="209"/>
      <c r="BF191" s="343"/>
      <c r="BS191" s="103"/>
    </row>
    <row r="192" spans="1:71" ht="12.75">
      <c r="A192" s="10"/>
      <c r="B192" s="10"/>
      <c r="C192" s="10"/>
      <c r="D192" s="10"/>
      <c r="E192" s="10"/>
      <c r="F192" s="10"/>
      <c r="G192" s="10"/>
      <c r="H192" s="10"/>
      <c r="I192" s="10"/>
      <c r="J192" s="10"/>
      <c r="K192" s="10"/>
      <c r="L192" s="10"/>
      <c r="BB192" s="344" t="s">
        <v>1124</v>
      </c>
      <c r="BC192" s="345">
        <v>0.59</v>
      </c>
      <c r="BD192" s="343"/>
      <c r="BE192" s="209"/>
      <c r="BF192" s="343"/>
      <c r="BJ192" s="33"/>
      <c r="BK192" s="41"/>
      <c r="BL192" s="31"/>
      <c r="BS192" s="31"/>
    </row>
    <row r="193" spans="1:71" ht="12.75">
      <c r="A193" s="10"/>
      <c r="B193" s="10"/>
      <c r="C193" s="10"/>
      <c r="D193" s="10"/>
      <c r="E193" s="10"/>
      <c r="F193" s="10"/>
      <c r="G193" s="10"/>
      <c r="H193" s="10"/>
      <c r="I193" s="10"/>
      <c r="J193" s="10"/>
      <c r="K193" s="10"/>
      <c r="L193" s="10"/>
      <c r="BB193" s="344" t="s">
        <v>79</v>
      </c>
      <c r="BC193" s="345">
        <v>0.535</v>
      </c>
      <c r="BD193" s="343"/>
      <c r="BE193" s="209"/>
      <c r="BF193" s="343"/>
      <c r="BJ193" s="33"/>
      <c r="BK193" s="39"/>
      <c r="BL193" s="31"/>
      <c r="BS193" s="31"/>
    </row>
    <row r="194" spans="1:71" ht="12.75">
      <c r="A194" s="10"/>
      <c r="B194" s="10"/>
      <c r="C194" s="10"/>
      <c r="D194" s="10"/>
      <c r="E194" s="10"/>
      <c r="F194" s="10"/>
      <c r="G194" s="10"/>
      <c r="H194" s="10"/>
      <c r="I194" s="10"/>
      <c r="J194" s="10"/>
      <c r="K194" s="10"/>
      <c r="L194" s="10"/>
      <c r="BB194" s="344" t="s">
        <v>400</v>
      </c>
      <c r="BC194" s="345">
        <v>0.48</v>
      </c>
      <c r="BD194" s="343"/>
      <c r="BE194" s="209"/>
      <c r="BF194" s="343"/>
      <c r="BJ194" s="74"/>
      <c r="BK194" s="43"/>
      <c r="BL194" s="31"/>
      <c r="BM194" s="75"/>
      <c r="BS194" s="31"/>
    </row>
    <row r="195" spans="1:71" ht="12.75">
      <c r="A195" s="10"/>
      <c r="B195" s="10"/>
      <c r="C195" s="10"/>
      <c r="D195" s="10"/>
      <c r="E195" s="10"/>
      <c r="F195" s="10"/>
      <c r="G195" s="10"/>
      <c r="H195" s="10"/>
      <c r="I195" s="10"/>
      <c r="J195" s="10"/>
      <c r="K195" s="10"/>
      <c r="L195" s="10"/>
      <c r="BB195" s="344" t="s">
        <v>399</v>
      </c>
      <c r="BC195" s="345">
        <v>0.425</v>
      </c>
      <c r="BD195" s="343"/>
      <c r="BE195" s="209"/>
      <c r="BF195" s="343"/>
      <c r="BJ195" s="57"/>
      <c r="BS195" s="31"/>
    </row>
    <row r="196" spans="1:71" ht="12.75">
      <c r="A196" s="10"/>
      <c r="B196" s="10"/>
      <c r="C196" s="10"/>
      <c r="D196" s="10"/>
      <c r="E196" s="10"/>
      <c r="F196" s="10"/>
      <c r="G196" s="10"/>
      <c r="H196" s="10"/>
      <c r="I196" s="10"/>
      <c r="J196" s="10"/>
      <c r="K196" s="10"/>
      <c r="L196" s="10"/>
      <c r="BB196" s="344" t="s">
        <v>398</v>
      </c>
      <c r="BC196" s="345">
        <v>0.495</v>
      </c>
      <c r="BD196" s="343"/>
      <c r="BE196" s="209"/>
      <c r="BF196" s="343"/>
      <c r="BJ196" s="33"/>
      <c r="BK196" s="39"/>
      <c r="BL196" s="31"/>
      <c r="BS196" s="31"/>
    </row>
    <row r="197" spans="1:71" ht="12.75">
      <c r="A197" s="10"/>
      <c r="B197" s="10"/>
      <c r="C197" s="10"/>
      <c r="D197" s="10"/>
      <c r="E197" s="10"/>
      <c r="F197" s="10"/>
      <c r="G197" s="10"/>
      <c r="H197" s="10"/>
      <c r="I197" s="10"/>
      <c r="J197" s="10"/>
      <c r="K197" s="10"/>
      <c r="L197" s="10"/>
      <c r="BB197" s="344" t="s">
        <v>397</v>
      </c>
      <c r="BC197" s="345">
        <v>0.45</v>
      </c>
      <c r="BD197" s="343"/>
      <c r="BE197" s="209"/>
      <c r="BF197" s="343"/>
      <c r="BJ197" s="33"/>
      <c r="BK197" s="41"/>
      <c r="BL197" s="31"/>
      <c r="BS197" s="31"/>
    </row>
    <row r="198" spans="1:71" ht="12.75">
      <c r="A198" s="10"/>
      <c r="B198" s="10"/>
      <c r="C198" s="10"/>
      <c r="D198" s="10"/>
      <c r="E198" s="10"/>
      <c r="F198" s="10"/>
      <c r="G198" s="10"/>
      <c r="H198" s="10"/>
      <c r="I198" s="10"/>
      <c r="J198" s="10"/>
      <c r="K198" s="10"/>
      <c r="L198" s="10"/>
      <c r="BB198" s="344" t="s">
        <v>396</v>
      </c>
      <c r="BC198" s="345">
        <v>0.415</v>
      </c>
      <c r="BD198" s="343"/>
      <c r="BE198" s="209"/>
      <c r="BF198" s="343"/>
      <c r="BJ198" s="33"/>
      <c r="BK198" s="39"/>
      <c r="BL198" s="31"/>
      <c r="BR198" s="130"/>
      <c r="BS198" s="103"/>
    </row>
    <row r="199" spans="1:71" ht="12.75">
      <c r="A199" s="262"/>
      <c r="B199" s="2"/>
      <c r="C199" s="118"/>
      <c r="D199" s="2"/>
      <c r="E199" s="2"/>
      <c r="F199" s="2"/>
      <c r="G199" s="2"/>
      <c r="H199" s="2"/>
      <c r="I199" s="2"/>
      <c r="J199" s="2"/>
      <c r="K199" s="2"/>
      <c r="L199" s="2"/>
      <c r="BB199" s="344" t="s">
        <v>395</v>
      </c>
      <c r="BC199" s="345">
        <v>0.39</v>
      </c>
      <c r="BD199" s="343"/>
      <c r="BE199" s="209"/>
      <c r="BF199" s="343"/>
      <c r="BJ199" s="74"/>
      <c r="BK199" s="39"/>
      <c r="BL199" s="31"/>
      <c r="BM199" s="75"/>
      <c r="BS199" s="31"/>
    </row>
    <row r="200" spans="1:71" ht="12.75">
      <c r="A200" s="10"/>
      <c r="B200" s="10"/>
      <c r="C200" s="112"/>
      <c r="D200" s="80"/>
      <c r="E200" s="10"/>
      <c r="F200" s="10"/>
      <c r="G200" s="10"/>
      <c r="H200" s="10"/>
      <c r="I200" s="235"/>
      <c r="J200" s="235"/>
      <c r="K200" s="235"/>
      <c r="L200" s="235"/>
      <c r="BB200" s="344" t="s">
        <v>387</v>
      </c>
      <c r="BC200" s="345">
        <v>0.355</v>
      </c>
      <c r="BD200" s="343"/>
      <c r="BE200" s="209"/>
      <c r="BF200" s="343"/>
      <c r="BS200" s="31"/>
    </row>
    <row r="201" spans="1:71" ht="12.75">
      <c r="A201" s="10"/>
      <c r="B201" s="10"/>
      <c r="C201" s="112"/>
      <c r="D201" s="10"/>
      <c r="E201" s="10"/>
      <c r="F201" s="10"/>
      <c r="G201" s="10"/>
      <c r="H201" s="89"/>
      <c r="I201" s="270"/>
      <c r="J201" s="270"/>
      <c r="K201" s="270"/>
      <c r="L201" s="270"/>
      <c r="BB201" s="344" t="s">
        <v>386</v>
      </c>
      <c r="BC201" s="345">
        <v>0.36</v>
      </c>
      <c r="BD201" s="343"/>
      <c r="BE201" s="209"/>
      <c r="BF201" s="343"/>
      <c r="BJ201" s="33"/>
      <c r="BK201" s="41"/>
      <c r="BL201" s="31"/>
      <c r="BM201" s="48"/>
      <c r="BS201" s="31"/>
    </row>
    <row r="202" spans="1:74" ht="12.75">
      <c r="A202" s="52"/>
      <c r="B202" s="10"/>
      <c r="C202" s="112"/>
      <c r="D202" s="10"/>
      <c r="E202" s="55"/>
      <c r="F202" s="55"/>
      <c r="G202" s="10"/>
      <c r="H202" s="89"/>
      <c r="I202" s="271"/>
      <c r="J202" s="271"/>
      <c r="K202" s="271"/>
      <c r="L202" s="271"/>
      <c r="O202" s="252"/>
      <c r="P202" s="250"/>
      <c r="Q202" s="250"/>
      <c r="R202" s="250"/>
      <c r="S202" s="25"/>
      <c r="T202" s="252"/>
      <c r="U202" s="250"/>
      <c r="V202" s="250"/>
      <c r="W202" s="250"/>
      <c r="X202" s="26"/>
      <c r="Y202" s="252"/>
      <c r="Z202" s="250"/>
      <c r="AA202" s="250"/>
      <c r="AB202" s="250"/>
      <c r="AC202" s="37"/>
      <c r="AD202" s="252"/>
      <c r="AE202" s="250"/>
      <c r="AF202" s="250"/>
      <c r="AG202" s="250"/>
      <c r="AH202" s="37"/>
      <c r="AI202" s="252"/>
      <c r="AJ202" s="250"/>
      <c r="AK202" s="250"/>
      <c r="AL202" s="250"/>
      <c r="AM202" s="37"/>
      <c r="AN202" s="544"/>
      <c r="AO202" s="544"/>
      <c r="AP202" s="544"/>
      <c r="AQ202" s="544"/>
      <c r="BB202" s="344" t="s">
        <v>385</v>
      </c>
      <c r="BC202" s="345">
        <v>0.315</v>
      </c>
      <c r="BD202" s="343"/>
      <c r="BE202" s="209"/>
      <c r="BF202" s="343"/>
      <c r="BJ202" s="33"/>
      <c r="BK202" s="41"/>
      <c r="BL202" s="31"/>
      <c r="BS202" s="204"/>
      <c r="BT202" s="25"/>
      <c r="BU202" s="25"/>
      <c r="BV202" s="204"/>
    </row>
    <row r="203" spans="1:74" ht="12.75">
      <c r="A203" s="10"/>
      <c r="B203" s="10"/>
      <c r="C203" s="10"/>
      <c r="D203" s="10"/>
      <c r="E203" s="10"/>
      <c r="F203" s="10"/>
      <c r="G203" s="10"/>
      <c r="H203" s="10"/>
      <c r="I203" s="10"/>
      <c r="J203" s="10"/>
      <c r="K203" s="10"/>
      <c r="L203" s="10"/>
      <c r="O203" s="557"/>
      <c r="P203" s="248"/>
      <c r="Q203" s="249"/>
      <c r="R203" s="248"/>
      <c r="S203" s="277"/>
      <c r="T203" s="557"/>
      <c r="U203" s="248"/>
      <c r="V203" s="249"/>
      <c r="W203" s="248"/>
      <c r="X203" s="26"/>
      <c r="Y203" s="557"/>
      <c r="Z203" s="248"/>
      <c r="AA203" s="249"/>
      <c r="AB203" s="248"/>
      <c r="AC203" s="37"/>
      <c r="AD203" s="557"/>
      <c r="AE203" s="248"/>
      <c r="AF203" s="249"/>
      <c r="AG203" s="248"/>
      <c r="AH203" s="37"/>
      <c r="AI203" s="557"/>
      <c r="AJ203" s="248"/>
      <c r="AK203" s="249"/>
      <c r="AL203" s="248"/>
      <c r="AM203" s="37"/>
      <c r="AN203" s="544"/>
      <c r="AO203" s="544"/>
      <c r="AP203" s="544"/>
      <c r="AQ203" s="544"/>
      <c r="BB203" s="344" t="s">
        <v>384</v>
      </c>
      <c r="BC203" s="345">
        <v>0.3</v>
      </c>
      <c r="BD203" s="343"/>
      <c r="BE203" s="209"/>
      <c r="BF203" s="343"/>
      <c r="BJ203" s="33"/>
      <c r="BK203" s="41"/>
      <c r="BL203" s="31"/>
      <c r="BS203" s="252"/>
      <c r="BT203" s="253"/>
      <c r="BU203" s="253"/>
      <c r="BV203" s="253"/>
    </row>
    <row r="204" spans="1:74" ht="12.75">
      <c r="A204" s="10"/>
      <c r="B204" s="10"/>
      <c r="C204" s="10"/>
      <c r="D204" s="10"/>
      <c r="E204" s="10"/>
      <c r="F204" s="10"/>
      <c r="G204" s="10"/>
      <c r="H204" s="10"/>
      <c r="I204" s="10"/>
      <c r="J204" s="10"/>
      <c r="K204" s="10"/>
      <c r="L204" s="10"/>
      <c r="O204" s="557"/>
      <c r="P204" s="244"/>
      <c r="Q204" s="244"/>
      <c r="R204" s="558"/>
      <c r="S204" s="25"/>
      <c r="T204" s="557"/>
      <c r="U204" s="244"/>
      <c r="V204" s="244"/>
      <c r="W204" s="558"/>
      <c r="X204" s="26"/>
      <c r="Y204" s="557"/>
      <c r="Z204" s="244"/>
      <c r="AA204" s="244"/>
      <c r="AB204" s="558"/>
      <c r="AC204" s="37"/>
      <c r="AD204" s="557"/>
      <c r="AE204" s="244"/>
      <c r="AF204" s="244"/>
      <c r="AG204" s="558"/>
      <c r="AH204" s="37"/>
      <c r="AI204" s="557"/>
      <c r="AJ204" s="244"/>
      <c r="AK204" s="244"/>
      <c r="AL204" s="558"/>
      <c r="AM204" s="37"/>
      <c r="AN204" s="544"/>
      <c r="AO204" s="544"/>
      <c r="AP204" s="544"/>
      <c r="AQ204" s="544"/>
      <c r="BB204" s="344" t="s">
        <v>383</v>
      </c>
      <c r="BC204" s="345">
        <v>0.585</v>
      </c>
      <c r="BD204" s="343"/>
      <c r="BE204" s="209"/>
      <c r="BF204" s="343"/>
      <c r="BS204" s="254"/>
      <c r="BT204" s="255"/>
      <c r="BU204" s="249"/>
      <c r="BV204" s="255"/>
    </row>
    <row r="205" spans="1:74" ht="12.75">
      <c r="A205" s="10"/>
      <c r="B205" s="10"/>
      <c r="C205" s="10"/>
      <c r="D205" s="10"/>
      <c r="E205" s="10"/>
      <c r="F205" s="10"/>
      <c r="G205" s="10"/>
      <c r="H205" s="10"/>
      <c r="I205" s="10"/>
      <c r="J205" s="10"/>
      <c r="K205" s="10"/>
      <c r="L205" s="10"/>
      <c r="O205" s="244"/>
      <c r="P205" s="559"/>
      <c r="Q205" s="259"/>
      <c r="R205" s="559"/>
      <c r="S205" s="25"/>
      <c r="T205" s="244"/>
      <c r="U205" s="559"/>
      <c r="V205" s="259"/>
      <c r="W205" s="559"/>
      <c r="X205" s="26"/>
      <c r="Y205" s="244"/>
      <c r="Z205" s="559"/>
      <c r="AA205" s="259"/>
      <c r="AB205" s="559"/>
      <c r="AC205" s="37"/>
      <c r="AD205" s="244"/>
      <c r="AE205" s="559"/>
      <c r="AF205" s="259"/>
      <c r="AG205" s="559"/>
      <c r="AH205" s="37"/>
      <c r="AI205" s="244"/>
      <c r="AJ205" s="559"/>
      <c r="AK205" s="259"/>
      <c r="AL205" s="559"/>
      <c r="AM205" s="37"/>
      <c r="AN205" s="544"/>
      <c r="AO205" s="544"/>
      <c r="AP205" s="544"/>
      <c r="AQ205" s="544"/>
      <c r="BB205" s="344" t="s">
        <v>278</v>
      </c>
      <c r="BC205" s="345">
        <v>0.525</v>
      </c>
      <c r="BD205" s="343"/>
      <c r="BE205" s="209"/>
      <c r="BF205" s="343"/>
      <c r="BJ205" s="33"/>
      <c r="BK205" s="34"/>
      <c r="BL205" s="31"/>
      <c r="BS205" s="254"/>
      <c r="BT205" s="257"/>
      <c r="BU205" s="257"/>
      <c r="BV205" s="258"/>
    </row>
    <row r="206" spans="1:74" ht="12.75">
      <c r="A206" s="10"/>
      <c r="B206" s="10"/>
      <c r="C206" s="10"/>
      <c r="D206" s="10"/>
      <c r="E206" s="10"/>
      <c r="F206" s="10"/>
      <c r="G206" s="10"/>
      <c r="H206" s="10"/>
      <c r="I206" s="10"/>
      <c r="J206" s="10"/>
      <c r="K206" s="10"/>
      <c r="L206" s="10"/>
      <c r="O206" s="244"/>
      <c r="P206" s="563"/>
      <c r="Q206" s="259"/>
      <c r="R206" s="563"/>
      <c r="S206" s="25"/>
      <c r="T206" s="244"/>
      <c r="U206" s="563"/>
      <c r="V206" s="259"/>
      <c r="W206" s="563"/>
      <c r="X206" s="26"/>
      <c r="Y206" s="244"/>
      <c r="Z206" s="563"/>
      <c r="AA206" s="259"/>
      <c r="AB206" s="563"/>
      <c r="AC206" s="37"/>
      <c r="AD206" s="244"/>
      <c r="AE206" s="563"/>
      <c r="AF206" s="259"/>
      <c r="AG206" s="563"/>
      <c r="AH206" s="37"/>
      <c r="AI206" s="244"/>
      <c r="AJ206" s="563"/>
      <c r="AK206" s="259"/>
      <c r="AL206" s="563"/>
      <c r="AM206" s="37"/>
      <c r="AN206" s="544"/>
      <c r="AO206" s="544"/>
      <c r="AP206" s="544"/>
      <c r="AQ206" s="544"/>
      <c r="BB206" s="344" t="s">
        <v>277</v>
      </c>
      <c r="BC206" s="345">
        <v>0.455</v>
      </c>
      <c r="BD206" s="343"/>
      <c r="BE206" s="209"/>
      <c r="BF206" s="343"/>
      <c r="BJ206" s="33"/>
      <c r="BK206" s="34"/>
      <c r="BL206" s="31"/>
      <c r="BS206" s="257"/>
      <c r="BT206" s="257"/>
      <c r="BU206" s="259"/>
      <c r="BV206" s="257"/>
    </row>
    <row r="207" spans="1:74" ht="12.75">
      <c r="A207" s="10"/>
      <c r="B207" s="10"/>
      <c r="C207" s="10"/>
      <c r="D207" s="10"/>
      <c r="E207" s="10"/>
      <c r="F207" s="10"/>
      <c r="G207" s="10"/>
      <c r="H207" s="10"/>
      <c r="I207" s="10"/>
      <c r="J207" s="10"/>
      <c r="K207" s="10"/>
      <c r="L207" s="10"/>
      <c r="O207" s="244"/>
      <c r="P207" s="563"/>
      <c r="Q207" s="259"/>
      <c r="R207" s="563"/>
      <c r="S207" s="25"/>
      <c r="T207" s="244"/>
      <c r="U207" s="563"/>
      <c r="V207" s="259"/>
      <c r="W207" s="563"/>
      <c r="X207" s="26"/>
      <c r="Y207" s="244"/>
      <c r="Z207" s="563"/>
      <c r="AA207" s="259"/>
      <c r="AB207" s="563"/>
      <c r="AC207" s="37"/>
      <c r="AD207" s="244"/>
      <c r="AE207" s="563"/>
      <c r="AF207" s="259"/>
      <c r="AG207" s="563"/>
      <c r="AH207" s="37"/>
      <c r="AI207" s="244"/>
      <c r="AJ207" s="563"/>
      <c r="AK207" s="259"/>
      <c r="AL207" s="563"/>
      <c r="AM207" s="37"/>
      <c r="AN207" s="544"/>
      <c r="AO207" s="544"/>
      <c r="AP207" s="544"/>
      <c r="AQ207" s="544"/>
      <c r="BB207" s="344" t="s">
        <v>276</v>
      </c>
      <c r="BC207" s="345">
        <v>0.395</v>
      </c>
      <c r="BD207" s="343"/>
      <c r="BE207" s="209"/>
      <c r="BF207" s="343"/>
      <c r="BJ207" s="33"/>
      <c r="BK207" s="41"/>
      <c r="BL207" s="31"/>
      <c r="BS207" s="257"/>
      <c r="BT207" s="259"/>
      <c r="BU207" s="259"/>
      <c r="BV207" s="259"/>
    </row>
    <row r="208" spans="1:74" ht="12.75">
      <c r="A208" s="10"/>
      <c r="B208" s="10"/>
      <c r="C208" s="10"/>
      <c r="D208" s="10"/>
      <c r="E208" s="10"/>
      <c r="F208" s="10"/>
      <c r="G208" s="10"/>
      <c r="H208" s="10"/>
      <c r="I208" s="10"/>
      <c r="J208" s="10"/>
      <c r="K208" s="10"/>
      <c r="L208" s="10"/>
      <c r="O208" s="244"/>
      <c r="P208" s="563"/>
      <c r="Q208" s="259"/>
      <c r="R208" s="563"/>
      <c r="S208" s="25"/>
      <c r="T208" s="244"/>
      <c r="U208" s="563"/>
      <c r="V208" s="259"/>
      <c r="W208" s="563"/>
      <c r="X208" s="26"/>
      <c r="Y208" s="244"/>
      <c r="Z208" s="563"/>
      <c r="AA208" s="259"/>
      <c r="AB208" s="563"/>
      <c r="AC208" s="37"/>
      <c r="AD208" s="244"/>
      <c r="AE208" s="563"/>
      <c r="AF208" s="259"/>
      <c r="AG208" s="563"/>
      <c r="AH208" s="37"/>
      <c r="AI208" s="244"/>
      <c r="AJ208" s="563"/>
      <c r="AK208" s="259"/>
      <c r="AL208" s="563"/>
      <c r="AM208" s="37"/>
      <c r="AN208" s="544"/>
      <c r="AO208" s="544"/>
      <c r="AP208" s="544"/>
      <c r="AQ208" s="544"/>
      <c r="BB208" s="344" t="s">
        <v>275</v>
      </c>
      <c r="BC208" s="345">
        <v>0.43</v>
      </c>
      <c r="BD208" s="343"/>
      <c r="BE208" s="209"/>
      <c r="BF208" s="343"/>
      <c r="BJ208" s="33"/>
      <c r="BK208" s="41"/>
      <c r="BL208" s="31"/>
      <c r="BS208" s="257"/>
      <c r="BT208" s="259"/>
      <c r="BU208" s="259"/>
      <c r="BV208" s="259"/>
    </row>
    <row r="209" spans="1:74" ht="12.75">
      <c r="A209" s="10"/>
      <c r="B209" s="10"/>
      <c r="C209" s="10"/>
      <c r="D209" s="10"/>
      <c r="E209" s="10"/>
      <c r="F209" s="10"/>
      <c r="G209" s="10"/>
      <c r="H209" s="10"/>
      <c r="I209" s="10"/>
      <c r="J209" s="10"/>
      <c r="K209" s="10"/>
      <c r="L209" s="10"/>
      <c r="O209" s="244"/>
      <c r="P209" s="563"/>
      <c r="Q209" s="259"/>
      <c r="R209" s="563"/>
      <c r="S209" s="25"/>
      <c r="T209" s="244"/>
      <c r="U209" s="563"/>
      <c r="V209" s="259"/>
      <c r="W209" s="563"/>
      <c r="X209" s="26"/>
      <c r="Y209" s="244"/>
      <c r="Z209" s="563"/>
      <c r="AA209" s="259"/>
      <c r="AB209" s="563"/>
      <c r="AC209" s="37"/>
      <c r="AD209" s="244"/>
      <c r="AE209" s="563"/>
      <c r="AF209" s="259"/>
      <c r="AG209" s="563"/>
      <c r="AH209" s="37"/>
      <c r="AI209" s="244"/>
      <c r="AJ209" s="563"/>
      <c r="AK209" s="259"/>
      <c r="AL209" s="563"/>
      <c r="AM209" s="37"/>
      <c r="AN209" s="544"/>
      <c r="AO209" s="544"/>
      <c r="AP209" s="544"/>
      <c r="AQ209" s="544"/>
      <c r="BB209" s="344" t="s">
        <v>274</v>
      </c>
      <c r="BC209" s="345">
        <v>0.38</v>
      </c>
      <c r="BD209" s="343"/>
      <c r="BE209" s="209"/>
      <c r="BF209" s="343"/>
      <c r="BJ209" s="33"/>
      <c r="BK209" s="41"/>
      <c r="BL209" s="31"/>
      <c r="BS209" s="257"/>
      <c r="BT209" s="259"/>
      <c r="BU209" s="259"/>
      <c r="BV209" s="259"/>
    </row>
    <row r="210" spans="1:74" ht="12.75">
      <c r="A210" s="10"/>
      <c r="B210" s="10"/>
      <c r="C210" s="10"/>
      <c r="D210" s="10"/>
      <c r="E210" s="10"/>
      <c r="F210" s="10"/>
      <c r="G210" s="10"/>
      <c r="H210" s="10"/>
      <c r="I210" s="10"/>
      <c r="J210" s="10"/>
      <c r="K210" s="10"/>
      <c r="L210" s="10"/>
      <c r="O210" s="244"/>
      <c r="P210" s="563"/>
      <c r="Q210" s="259"/>
      <c r="R210" s="563"/>
      <c r="S210" s="25"/>
      <c r="T210" s="244"/>
      <c r="U210" s="563"/>
      <c r="V210" s="259"/>
      <c r="W210" s="563"/>
      <c r="X210" s="26"/>
      <c r="Y210" s="244"/>
      <c r="Z210" s="563"/>
      <c r="AA210" s="259"/>
      <c r="AB210" s="563"/>
      <c r="AC210" s="37"/>
      <c r="AD210" s="244"/>
      <c r="AE210" s="563"/>
      <c r="AF210" s="259"/>
      <c r="AG210" s="563"/>
      <c r="AH210" s="37"/>
      <c r="AI210" s="244"/>
      <c r="AJ210" s="563"/>
      <c r="AK210" s="259"/>
      <c r="AL210" s="563"/>
      <c r="AM210" s="37"/>
      <c r="AN210" s="544"/>
      <c r="AO210" s="544"/>
      <c r="AP210" s="544"/>
      <c r="AQ210" s="544"/>
      <c r="BB210" s="344" t="s">
        <v>65</v>
      </c>
      <c r="BC210" s="345">
        <v>0.345</v>
      </c>
      <c r="BD210" s="343"/>
      <c r="BE210" s="209"/>
      <c r="BF210" s="343"/>
      <c r="BJ210" s="33"/>
      <c r="BK210" s="41"/>
      <c r="BL210" s="31"/>
      <c r="BS210" s="257"/>
      <c r="BT210" s="259"/>
      <c r="BU210" s="259"/>
      <c r="BV210" s="259"/>
    </row>
    <row r="211" spans="1:74" ht="12.75">
      <c r="A211" s="10"/>
      <c r="B211" s="10"/>
      <c r="C211" s="10"/>
      <c r="D211" s="10"/>
      <c r="E211" s="10"/>
      <c r="F211" s="10"/>
      <c r="G211" s="10"/>
      <c r="H211" s="10"/>
      <c r="I211" s="10"/>
      <c r="J211" s="10"/>
      <c r="K211" s="10"/>
      <c r="L211" s="10"/>
      <c r="O211" s="244"/>
      <c r="P211" s="563"/>
      <c r="Q211" s="259"/>
      <c r="R211" s="563"/>
      <c r="S211" s="25"/>
      <c r="T211" s="244"/>
      <c r="U211" s="563"/>
      <c r="V211" s="259"/>
      <c r="W211" s="563"/>
      <c r="X211" s="26"/>
      <c r="Y211" s="244"/>
      <c r="Z211" s="563"/>
      <c r="AA211" s="259"/>
      <c r="AB211" s="563"/>
      <c r="AC211" s="37"/>
      <c r="AD211" s="244"/>
      <c r="AE211" s="563"/>
      <c r="AF211" s="259"/>
      <c r="AG211" s="563"/>
      <c r="AH211" s="37"/>
      <c r="AI211" s="244"/>
      <c r="AJ211" s="563"/>
      <c r="AK211" s="259"/>
      <c r="AL211" s="563"/>
      <c r="AM211" s="37"/>
      <c r="AN211" s="544"/>
      <c r="AO211" s="544"/>
      <c r="AP211" s="544"/>
      <c r="AQ211" s="544"/>
      <c r="AU211" s="29"/>
      <c r="AV211" s="29"/>
      <c r="AW211" s="29"/>
      <c r="AX211" s="29"/>
      <c r="AY211" s="29"/>
      <c r="AZ211" s="29"/>
      <c r="BB211" s="344" t="s">
        <v>64</v>
      </c>
      <c r="BC211" s="345">
        <v>0.305</v>
      </c>
      <c r="BD211" s="343"/>
      <c r="BE211" s="209"/>
      <c r="BF211" s="343"/>
      <c r="BS211" s="257"/>
      <c r="BT211" s="259"/>
      <c r="BU211" s="259"/>
      <c r="BV211" s="259"/>
    </row>
    <row r="212" spans="1:74" ht="12.75">
      <c r="A212" s="10"/>
      <c r="B212" s="10"/>
      <c r="C212" s="10"/>
      <c r="D212" s="10"/>
      <c r="E212" s="10"/>
      <c r="F212" s="10"/>
      <c r="G212" s="10"/>
      <c r="H212" s="10"/>
      <c r="I212" s="10"/>
      <c r="J212" s="10"/>
      <c r="K212" s="10"/>
      <c r="L212" s="10"/>
      <c r="O212" s="244"/>
      <c r="P212" s="563"/>
      <c r="Q212" s="259"/>
      <c r="R212" s="563"/>
      <c r="S212" s="25"/>
      <c r="T212" s="244"/>
      <c r="U212" s="563"/>
      <c r="V212" s="259"/>
      <c r="W212" s="563"/>
      <c r="X212" s="26"/>
      <c r="Y212" s="244"/>
      <c r="Z212" s="563"/>
      <c r="AA212" s="259"/>
      <c r="AB212" s="563"/>
      <c r="AC212" s="37"/>
      <c r="AD212" s="244"/>
      <c r="AE212" s="563"/>
      <c r="AF212" s="259"/>
      <c r="AG212" s="563"/>
      <c r="AH212" s="37"/>
      <c r="AI212" s="244"/>
      <c r="AJ212" s="563"/>
      <c r="AK212" s="259"/>
      <c r="AL212" s="563"/>
      <c r="AM212" s="37"/>
      <c r="AN212" s="544"/>
      <c r="AO212" s="544"/>
      <c r="AP212" s="544"/>
      <c r="AQ212" s="544"/>
      <c r="BB212" s="344" t="s">
        <v>63</v>
      </c>
      <c r="BC212" s="345">
        <v>0.295</v>
      </c>
      <c r="BD212" s="343"/>
      <c r="BE212" s="209"/>
      <c r="BF212" s="343"/>
      <c r="BS212" s="257"/>
      <c r="BT212" s="259"/>
      <c r="BU212" s="259"/>
      <c r="BV212" s="259"/>
    </row>
    <row r="213" spans="1:74" ht="12.75">
      <c r="A213" s="10"/>
      <c r="B213" s="10"/>
      <c r="C213" s="10"/>
      <c r="D213" s="10"/>
      <c r="E213" s="10"/>
      <c r="F213" s="10"/>
      <c r="G213" s="10"/>
      <c r="H213" s="10"/>
      <c r="I213" s="10"/>
      <c r="J213" s="10"/>
      <c r="K213" s="10"/>
      <c r="L213" s="10"/>
      <c r="O213" s="244"/>
      <c r="P213" s="563"/>
      <c r="Q213" s="259"/>
      <c r="R213" s="563"/>
      <c r="S213" s="25"/>
      <c r="T213" s="244"/>
      <c r="U213" s="563"/>
      <c r="V213" s="259"/>
      <c r="W213" s="563"/>
      <c r="X213" s="26"/>
      <c r="Y213" s="244"/>
      <c r="Z213" s="563"/>
      <c r="AA213" s="259"/>
      <c r="AB213" s="563"/>
      <c r="AC213" s="37"/>
      <c r="AD213" s="244"/>
      <c r="AE213" s="563"/>
      <c r="AF213" s="259"/>
      <c r="AG213" s="563"/>
      <c r="AH213" s="37"/>
      <c r="AI213" s="244"/>
      <c r="AJ213" s="563"/>
      <c r="AK213" s="259"/>
      <c r="AL213" s="563"/>
      <c r="AM213" s="37"/>
      <c r="AN213" s="544"/>
      <c r="AO213" s="544"/>
      <c r="AP213" s="544"/>
      <c r="AQ213" s="544"/>
      <c r="BB213" s="344" t="s">
        <v>62</v>
      </c>
      <c r="BC213" s="345">
        <v>0.275</v>
      </c>
      <c r="BD213" s="343"/>
      <c r="BE213" s="209"/>
      <c r="BF213" s="343"/>
      <c r="BS213" s="257"/>
      <c r="BT213" s="259"/>
      <c r="BU213" s="259"/>
      <c r="BV213" s="259"/>
    </row>
    <row r="214" spans="1:74" ht="12.75">
      <c r="A214" s="10"/>
      <c r="B214" s="10"/>
      <c r="C214" s="10"/>
      <c r="D214" s="10"/>
      <c r="E214" s="10"/>
      <c r="F214" s="10"/>
      <c r="G214" s="10"/>
      <c r="H214" s="10"/>
      <c r="I214" s="10"/>
      <c r="J214" s="10"/>
      <c r="K214" s="10"/>
      <c r="L214" s="10"/>
      <c r="O214" s="244"/>
      <c r="P214" s="563"/>
      <c r="Q214" s="259"/>
      <c r="R214" s="563"/>
      <c r="S214" s="25"/>
      <c r="T214" s="244"/>
      <c r="U214" s="563"/>
      <c r="V214" s="259"/>
      <c r="W214" s="563"/>
      <c r="X214" s="26"/>
      <c r="Y214" s="244"/>
      <c r="Z214" s="563"/>
      <c r="AA214" s="259"/>
      <c r="AB214" s="563"/>
      <c r="AC214" s="37"/>
      <c r="AD214" s="244"/>
      <c r="AE214" s="563"/>
      <c r="AF214" s="259"/>
      <c r="AG214" s="563"/>
      <c r="AH214" s="37"/>
      <c r="AI214" s="244"/>
      <c r="AJ214" s="563"/>
      <c r="AK214" s="259"/>
      <c r="AL214" s="563"/>
      <c r="AM214" s="37"/>
      <c r="AN214" s="544"/>
      <c r="AO214" s="544"/>
      <c r="AP214" s="544"/>
      <c r="AQ214" s="544"/>
      <c r="BB214" s="344" t="s">
        <v>61</v>
      </c>
      <c r="BC214" s="345">
        <v>0.25</v>
      </c>
      <c r="BD214" s="343"/>
      <c r="BE214" s="209"/>
      <c r="BF214" s="343"/>
      <c r="BS214" s="257"/>
      <c r="BT214" s="259"/>
      <c r="BU214" s="259"/>
      <c r="BV214" s="259"/>
    </row>
    <row r="215" spans="1:74" ht="12.75">
      <c r="A215" s="10"/>
      <c r="B215" s="10"/>
      <c r="C215" s="10"/>
      <c r="D215" s="10"/>
      <c r="E215" s="10"/>
      <c r="F215" s="10"/>
      <c r="G215" s="10"/>
      <c r="H215" s="10"/>
      <c r="I215" s="10"/>
      <c r="J215" s="10"/>
      <c r="K215" s="10"/>
      <c r="L215" s="10"/>
      <c r="O215" s="244"/>
      <c r="P215" s="563"/>
      <c r="Q215" s="259"/>
      <c r="R215" s="563"/>
      <c r="S215" s="25"/>
      <c r="T215" s="244"/>
      <c r="U215" s="563"/>
      <c r="V215" s="259"/>
      <c r="W215" s="563"/>
      <c r="X215" s="26"/>
      <c r="Y215" s="244"/>
      <c r="Z215" s="563"/>
      <c r="AA215" s="259"/>
      <c r="AB215" s="563"/>
      <c r="AC215" s="37"/>
      <c r="AD215" s="244"/>
      <c r="AE215" s="563"/>
      <c r="AF215" s="259"/>
      <c r="AG215" s="563"/>
      <c r="AH215" s="37"/>
      <c r="AI215" s="244"/>
      <c r="AJ215" s="563"/>
      <c r="AK215" s="259"/>
      <c r="AL215" s="563"/>
      <c r="AM215" s="37"/>
      <c r="AN215" s="544"/>
      <c r="AO215" s="544"/>
      <c r="AP215" s="544"/>
      <c r="AQ215" s="544"/>
      <c r="BB215" s="344" t="s">
        <v>223</v>
      </c>
      <c r="BC215" s="345">
        <v>3.74</v>
      </c>
      <c r="BD215" s="343"/>
      <c r="BE215" s="209"/>
      <c r="BF215" s="343"/>
      <c r="BS215" s="257"/>
      <c r="BT215" s="259"/>
      <c r="BU215" s="259"/>
      <c r="BV215" s="259"/>
    </row>
    <row r="216" spans="1:74" ht="12.75">
      <c r="A216" s="10"/>
      <c r="B216" s="10"/>
      <c r="C216" s="10"/>
      <c r="D216" s="10"/>
      <c r="E216" s="10"/>
      <c r="F216" s="10"/>
      <c r="G216" s="10"/>
      <c r="H216" s="10"/>
      <c r="I216" s="10"/>
      <c r="J216" s="10"/>
      <c r="K216" s="10"/>
      <c r="L216" s="10"/>
      <c r="O216" s="244"/>
      <c r="P216" s="563"/>
      <c r="Q216" s="259"/>
      <c r="R216" s="563"/>
      <c r="S216" s="25"/>
      <c r="T216" s="244"/>
      <c r="U216" s="563"/>
      <c r="V216" s="259"/>
      <c r="W216" s="563"/>
      <c r="X216" s="26"/>
      <c r="Y216" s="244"/>
      <c r="Z216" s="563"/>
      <c r="AA216" s="259"/>
      <c r="AB216" s="563"/>
      <c r="AC216" s="37"/>
      <c r="AD216" s="244"/>
      <c r="AE216" s="563"/>
      <c r="AF216" s="259"/>
      <c r="AG216" s="563"/>
      <c r="AH216" s="37"/>
      <c r="AI216" s="244"/>
      <c r="AJ216" s="563"/>
      <c r="AK216" s="259"/>
      <c r="AL216" s="563"/>
      <c r="AM216" s="37"/>
      <c r="AN216" s="544"/>
      <c r="AO216" s="544"/>
      <c r="AP216" s="544"/>
      <c r="AQ216" s="544"/>
      <c r="BB216" s="344" t="s">
        <v>60</v>
      </c>
      <c r="BC216" s="345">
        <v>3.07</v>
      </c>
      <c r="BD216" s="343"/>
      <c r="BE216" s="209"/>
      <c r="BF216" s="343"/>
      <c r="BS216" s="257"/>
      <c r="BT216" s="259"/>
      <c r="BU216" s="259"/>
      <c r="BV216" s="259"/>
    </row>
    <row r="217" spans="1:74" ht="12.75">
      <c r="A217" s="10"/>
      <c r="B217" s="10"/>
      <c r="C217" s="10"/>
      <c r="D217" s="10"/>
      <c r="E217" s="10"/>
      <c r="F217" s="10"/>
      <c r="G217" s="10"/>
      <c r="H217" s="10"/>
      <c r="I217" s="10"/>
      <c r="J217" s="10"/>
      <c r="K217" s="10"/>
      <c r="L217" s="10"/>
      <c r="O217" s="244"/>
      <c r="P217" s="563"/>
      <c r="Q217" s="259"/>
      <c r="R217" s="563"/>
      <c r="S217" s="25"/>
      <c r="T217" s="244"/>
      <c r="U217" s="563"/>
      <c r="V217" s="259"/>
      <c r="W217" s="563"/>
      <c r="X217" s="26"/>
      <c r="Y217" s="244"/>
      <c r="Z217" s="563"/>
      <c r="AA217" s="259"/>
      <c r="AB217" s="563"/>
      <c r="AC217" s="37"/>
      <c r="AD217" s="244"/>
      <c r="AE217" s="563"/>
      <c r="AF217" s="259"/>
      <c r="AG217" s="563"/>
      <c r="AH217" s="37"/>
      <c r="AI217" s="244"/>
      <c r="AJ217" s="563"/>
      <c r="AK217" s="259"/>
      <c r="AL217" s="563"/>
      <c r="AM217" s="37"/>
      <c r="AN217" s="544"/>
      <c r="AO217" s="544"/>
      <c r="AP217" s="544"/>
      <c r="AQ217" s="544"/>
      <c r="BB217" s="344" t="s">
        <v>59</v>
      </c>
      <c r="BC217" s="345">
        <v>2.83</v>
      </c>
      <c r="BD217" s="343"/>
      <c r="BE217" s="209"/>
      <c r="BF217" s="343"/>
      <c r="BS217" s="257"/>
      <c r="BT217" s="259"/>
      <c r="BU217" s="259"/>
      <c r="BV217" s="259"/>
    </row>
    <row r="218" spans="1:74" ht="12.75">
      <c r="A218" s="10"/>
      <c r="B218" s="10"/>
      <c r="C218" s="10"/>
      <c r="D218" s="10"/>
      <c r="E218" s="10"/>
      <c r="F218" s="10"/>
      <c r="G218" s="10"/>
      <c r="H218" s="10"/>
      <c r="I218" s="10"/>
      <c r="J218" s="10"/>
      <c r="K218" s="10"/>
      <c r="L218" s="10"/>
      <c r="BB218" s="344" t="s">
        <v>103</v>
      </c>
      <c r="BC218" s="345">
        <v>2.6</v>
      </c>
      <c r="BD218" s="343"/>
      <c r="BE218" s="209"/>
      <c r="BF218" s="343"/>
      <c r="BS218" s="257"/>
      <c r="BT218" s="259"/>
      <c r="BU218" s="259"/>
      <c r="BV218" s="259"/>
    </row>
    <row r="219" spans="1:74" ht="12.75">
      <c r="A219" s="10"/>
      <c r="B219" s="10"/>
      <c r="C219" s="10"/>
      <c r="D219" s="10"/>
      <c r="E219" s="10"/>
      <c r="F219" s="10"/>
      <c r="G219" s="10"/>
      <c r="H219" s="10"/>
      <c r="I219" s="10"/>
      <c r="J219" s="10"/>
      <c r="K219" s="10"/>
      <c r="L219" s="10"/>
      <c r="BB219" s="344" t="s">
        <v>102</v>
      </c>
      <c r="BC219" s="345">
        <v>2.38</v>
      </c>
      <c r="BD219" s="343"/>
      <c r="BE219" s="209"/>
      <c r="BF219" s="343"/>
      <c r="BS219" s="257"/>
      <c r="BT219" s="259"/>
      <c r="BU219" s="259"/>
      <c r="BV219" s="259"/>
    </row>
    <row r="220" spans="1:74" ht="12.75">
      <c r="A220" s="10"/>
      <c r="B220" s="10"/>
      <c r="C220" s="10"/>
      <c r="D220" s="10"/>
      <c r="E220" s="10"/>
      <c r="F220" s="10"/>
      <c r="G220" s="10"/>
      <c r="H220" s="10"/>
      <c r="I220" s="10"/>
      <c r="J220" s="10"/>
      <c r="K220" s="10"/>
      <c r="L220" s="10"/>
      <c r="BB220" s="344" t="s">
        <v>101</v>
      </c>
      <c r="BC220" s="345">
        <v>2.19</v>
      </c>
      <c r="BD220" s="343"/>
      <c r="BE220" s="209"/>
      <c r="BF220" s="343"/>
      <c r="BS220" s="257"/>
      <c r="BT220" s="259"/>
      <c r="BU220" s="259"/>
      <c r="BV220" s="259"/>
    </row>
    <row r="221" spans="1:74" ht="12.75">
      <c r="A221" s="10"/>
      <c r="B221" s="10"/>
      <c r="C221" s="10"/>
      <c r="D221" s="10"/>
      <c r="E221" s="10"/>
      <c r="F221" s="10"/>
      <c r="G221" s="10"/>
      <c r="H221" s="10"/>
      <c r="I221" s="10"/>
      <c r="J221" s="10"/>
      <c r="K221" s="10"/>
      <c r="L221" s="10"/>
      <c r="BB221" s="344" t="s">
        <v>100</v>
      </c>
      <c r="BC221" s="345">
        <v>2.02</v>
      </c>
      <c r="BD221" s="343"/>
      <c r="BE221" s="209"/>
      <c r="BF221" s="343"/>
      <c r="BS221" s="257"/>
      <c r="BT221" s="259"/>
      <c r="BU221" s="259"/>
      <c r="BV221" s="259"/>
    </row>
    <row r="222" spans="1:74" ht="12.75">
      <c r="A222" s="10"/>
      <c r="B222" s="10"/>
      <c r="C222" s="10"/>
      <c r="D222" s="10"/>
      <c r="E222" s="10"/>
      <c r="F222" s="10"/>
      <c r="G222" s="10"/>
      <c r="H222" s="10"/>
      <c r="I222" s="10"/>
      <c r="J222" s="10"/>
      <c r="K222" s="10"/>
      <c r="L222" s="10"/>
      <c r="BB222" s="344" t="s">
        <v>99</v>
      </c>
      <c r="BC222" s="345">
        <v>1.88</v>
      </c>
      <c r="BD222" s="343"/>
      <c r="BE222" s="209"/>
      <c r="BF222" s="343"/>
      <c r="BR222" s="50"/>
      <c r="BS222" s="257"/>
      <c r="BT222" s="259"/>
      <c r="BU222" s="259"/>
      <c r="BV222" s="259"/>
    </row>
    <row r="223" spans="1:74" ht="12.75">
      <c r="A223" s="45"/>
      <c r="B223" s="55"/>
      <c r="C223" s="121"/>
      <c r="D223" s="63"/>
      <c r="E223" s="55"/>
      <c r="F223" s="55"/>
      <c r="G223" s="55"/>
      <c r="H223" s="55"/>
      <c r="I223" s="55"/>
      <c r="J223" s="55"/>
      <c r="K223" s="55"/>
      <c r="L223" s="55"/>
      <c r="BB223" s="344" t="s">
        <v>501</v>
      </c>
      <c r="BC223" s="345">
        <v>1.77</v>
      </c>
      <c r="BD223" s="343"/>
      <c r="BE223" s="209"/>
      <c r="BF223" s="343"/>
      <c r="BR223" s="57"/>
      <c r="BS223" s="257"/>
      <c r="BT223" s="259"/>
      <c r="BU223" s="259"/>
      <c r="BV223" s="259"/>
    </row>
    <row r="224" spans="1:74" ht="12.75">
      <c r="A224" s="45"/>
      <c r="B224" s="45"/>
      <c r="C224" s="121"/>
      <c r="D224" s="52"/>
      <c r="E224" s="55"/>
      <c r="F224" s="55"/>
      <c r="G224" s="55"/>
      <c r="H224" s="55"/>
      <c r="I224" s="55"/>
      <c r="J224" s="55"/>
      <c r="K224" s="55"/>
      <c r="L224" s="55"/>
      <c r="BB224" s="344" t="s">
        <v>423</v>
      </c>
      <c r="BC224" s="345">
        <v>1.66</v>
      </c>
      <c r="BD224" s="343"/>
      <c r="BE224" s="209"/>
      <c r="BF224" s="343"/>
      <c r="BR224" s="57"/>
      <c r="BS224" s="257"/>
      <c r="BT224" s="259"/>
      <c r="BU224" s="259"/>
      <c r="BV224" s="259"/>
    </row>
    <row r="225" spans="1:74" ht="12.75">
      <c r="A225" s="58"/>
      <c r="B225" s="47"/>
      <c r="C225" s="113"/>
      <c r="D225" s="52"/>
      <c r="E225" s="55"/>
      <c r="F225" s="55"/>
      <c r="G225" s="55"/>
      <c r="H225" s="52"/>
      <c r="I225" s="55"/>
      <c r="J225" s="55"/>
      <c r="K225" s="55"/>
      <c r="L225" s="55"/>
      <c r="BB225" s="344" t="s">
        <v>506</v>
      </c>
      <c r="BC225" s="345">
        <v>1.54</v>
      </c>
      <c r="BD225" s="343"/>
      <c r="BE225" s="209"/>
      <c r="BF225" s="343"/>
      <c r="BR225" s="57"/>
      <c r="BS225" s="257"/>
      <c r="BT225" s="259"/>
      <c r="BU225" s="259"/>
      <c r="BV225" s="259"/>
    </row>
    <row r="226" spans="1:74" ht="12.75">
      <c r="A226" s="58"/>
      <c r="B226" s="4"/>
      <c r="C226" s="113"/>
      <c r="D226" s="52"/>
      <c r="E226" s="45"/>
      <c r="F226" s="45"/>
      <c r="G226" s="45"/>
      <c r="H226" s="45"/>
      <c r="I226" s="45"/>
      <c r="J226" s="45"/>
      <c r="K226" s="45"/>
      <c r="L226" s="45"/>
      <c r="BB226" s="344" t="s">
        <v>373</v>
      </c>
      <c r="BC226" s="345">
        <v>1.41</v>
      </c>
      <c r="BD226" s="343"/>
      <c r="BE226" s="209"/>
      <c r="BF226" s="343"/>
      <c r="BR226" s="57"/>
      <c r="BS226" s="257"/>
      <c r="BT226" s="259"/>
      <c r="BU226" s="259"/>
      <c r="BV226" s="259"/>
    </row>
    <row r="227" spans="1:74" ht="12.75">
      <c r="A227" s="58"/>
      <c r="B227" s="4"/>
      <c r="C227" s="113"/>
      <c r="D227" s="52"/>
      <c r="E227" s="55"/>
      <c r="F227" s="55"/>
      <c r="G227" s="55"/>
      <c r="H227" s="45"/>
      <c r="I227" s="55"/>
      <c r="J227" s="55"/>
      <c r="K227" s="55"/>
      <c r="L227" s="55"/>
      <c r="BB227" s="344" t="s">
        <v>372</v>
      </c>
      <c r="BC227" s="345">
        <v>1.29</v>
      </c>
      <c r="BD227" s="343"/>
      <c r="BE227" s="209"/>
      <c r="BF227" s="343"/>
      <c r="BR227" s="50"/>
      <c r="BS227" s="257"/>
      <c r="BT227" s="259"/>
      <c r="BU227" s="259"/>
      <c r="BV227" s="259"/>
    </row>
    <row r="228" spans="1:74" ht="12.75">
      <c r="A228" s="55"/>
      <c r="B228" s="55"/>
      <c r="C228" s="55"/>
      <c r="D228" s="55"/>
      <c r="E228" s="55"/>
      <c r="F228" s="55"/>
      <c r="G228" s="55"/>
      <c r="H228" s="55"/>
      <c r="I228" s="55"/>
      <c r="J228" s="55"/>
      <c r="K228" s="55"/>
      <c r="L228" s="55"/>
      <c r="BB228" s="344" t="s">
        <v>371</v>
      </c>
      <c r="BC228" s="345">
        <v>1.18</v>
      </c>
      <c r="BD228" s="343"/>
      <c r="BE228" s="209"/>
      <c r="BF228" s="343"/>
      <c r="BR228" s="57"/>
      <c r="BS228" s="257"/>
      <c r="BT228" s="259"/>
      <c r="BU228" s="259"/>
      <c r="BV228" s="259"/>
    </row>
    <row r="229" spans="1:74" ht="12.75">
      <c r="A229" s="63"/>
      <c r="B229" s="4"/>
      <c r="C229" s="113"/>
      <c r="D229" s="5"/>
      <c r="E229" s="55"/>
      <c r="F229" s="55"/>
      <c r="G229" s="55"/>
      <c r="H229" s="55"/>
      <c r="I229" s="55"/>
      <c r="J229" s="55"/>
      <c r="K229" s="55"/>
      <c r="L229" s="55"/>
      <c r="BB229" s="344" t="s">
        <v>370</v>
      </c>
      <c r="BC229" s="345">
        <v>1.07</v>
      </c>
      <c r="BD229" s="343"/>
      <c r="BE229" s="209"/>
      <c r="BF229" s="343"/>
      <c r="BR229" s="57"/>
      <c r="BS229" s="257"/>
      <c r="BT229" s="259"/>
      <c r="BU229" s="259"/>
      <c r="BV229" s="259"/>
    </row>
    <row r="230" spans="1:74" ht="12.75">
      <c r="A230" s="272"/>
      <c r="B230" s="4"/>
      <c r="C230" s="113"/>
      <c r="D230" s="5"/>
      <c r="E230" s="55"/>
      <c r="F230" s="55"/>
      <c r="G230" s="55"/>
      <c r="H230" s="55"/>
      <c r="I230" s="55"/>
      <c r="J230" s="55"/>
      <c r="K230" s="55"/>
      <c r="L230" s="55"/>
      <c r="BB230" s="344" t="s">
        <v>369</v>
      </c>
      <c r="BC230" s="345">
        <v>0.98</v>
      </c>
      <c r="BD230" s="343"/>
      <c r="BE230" s="209"/>
      <c r="BF230" s="343"/>
      <c r="BR230" s="57"/>
      <c r="BS230" s="257"/>
      <c r="BT230" s="259"/>
      <c r="BU230" s="259"/>
      <c r="BV230" s="259"/>
    </row>
    <row r="231" spans="1:74" ht="12.75">
      <c r="A231" s="58"/>
      <c r="B231" s="4"/>
      <c r="C231" s="113"/>
      <c r="D231" s="52"/>
      <c r="E231" s="55"/>
      <c r="F231" s="55"/>
      <c r="G231" s="55"/>
      <c r="H231" s="55"/>
      <c r="I231" s="55"/>
      <c r="J231" s="55"/>
      <c r="K231" s="55"/>
      <c r="L231" s="55"/>
      <c r="BB231" s="344" t="s">
        <v>22</v>
      </c>
      <c r="BC231" s="345">
        <v>0.89</v>
      </c>
      <c r="BD231" s="343"/>
      <c r="BE231" s="209"/>
      <c r="BF231" s="343"/>
      <c r="BR231" s="57"/>
      <c r="BS231" s="257"/>
      <c r="BT231" s="254"/>
      <c r="BU231" s="266"/>
      <c r="BV231" s="257"/>
    </row>
    <row r="232" spans="1:74" ht="12.75">
      <c r="A232" s="58"/>
      <c r="B232" s="47"/>
      <c r="C232" s="113"/>
      <c r="D232" s="52"/>
      <c r="E232" s="55"/>
      <c r="F232" s="55"/>
      <c r="G232" s="55"/>
      <c r="H232" s="55"/>
      <c r="I232" s="55"/>
      <c r="J232" s="55"/>
      <c r="K232" s="55"/>
      <c r="L232" s="55"/>
      <c r="BB232" s="344" t="s">
        <v>74</v>
      </c>
      <c r="BC232" s="345">
        <v>0.83</v>
      </c>
      <c r="BD232" s="343"/>
      <c r="BE232" s="209"/>
      <c r="BF232" s="343"/>
      <c r="BR232" s="57"/>
      <c r="BS232" s="257"/>
      <c r="BT232" s="255"/>
      <c r="BU232" s="257"/>
      <c r="BV232" s="259"/>
    </row>
    <row r="233" spans="1:74" ht="12.75">
      <c r="A233" s="58"/>
      <c r="B233" s="4"/>
      <c r="C233" s="113"/>
      <c r="D233" s="52"/>
      <c r="E233" s="55"/>
      <c r="F233" s="55"/>
      <c r="G233" s="55"/>
      <c r="H233" s="55"/>
      <c r="I233" s="55"/>
      <c r="J233" s="55"/>
      <c r="K233" s="55"/>
      <c r="L233" s="55"/>
      <c r="BB233" s="344" t="s">
        <v>73</v>
      </c>
      <c r="BC233" s="345">
        <v>0.745</v>
      </c>
      <c r="BD233" s="343"/>
      <c r="BE233" s="209"/>
      <c r="BF233" s="343"/>
      <c r="BR233" s="57"/>
      <c r="BS233" s="254"/>
      <c r="BT233" s="249"/>
      <c r="BU233" s="259"/>
      <c r="BV233" s="267"/>
    </row>
    <row r="234" spans="1:74" ht="12.75">
      <c r="A234" s="58"/>
      <c r="B234" s="4"/>
      <c r="C234" s="113"/>
      <c r="D234" s="45"/>
      <c r="E234" s="55"/>
      <c r="F234" s="55"/>
      <c r="G234" s="55"/>
      <c r="H234" s="55"/>
      <c r="I234" s="55"/>
      <c r="J234" s="55"/>
      <c r="K234" s="55"/>
      <c r="L234" s="55"/>
      <c r="BB234" s="344" t="s">
        <v>72</v>
      </c>
      <c r="BC234" s="345">
        <v>0.68</v>
      </c>
      <c r="BD234" s="343"/>
      <c r="BE234" s="209"/>
      <c r="BF234" s="343"/>
      <c r="BR234" s="57"/>
      <c r="BS234" s="258"/>
      <c r="BT234" s="255"/>
      <c r="BU234" s="268"/>
      <c r="BV234" s="259"/>
    </row>
    <row r="235" spans="1:71" ht="12.75">
      <c r="A235" s="58"/>
      <c r="B235" s="4"/>
      <c r="C235" s="113"/>
      <c r="D235" s="52"/>
      <c r="E235" s="55"/>
      <c r="F235" s="55"/>
      <c r="G235" s="55"/>
      <c r="H235" s="55"/>
      <c r="I235" s="55"/>
      <c r="J235" s="55"/>
      <c r="K235" s="55"/>
      <c r="L235" s="55"/>
      <c r="BB235" s="344" t="s">
        <v>71</v>
      </c>
      <c r="BC235" s="345">
        <v>0.645</v>
      </c>
      <c r="BD235" s="343"/>
      <c r="BE235" s="209"/>
      <c r="BF235" s="343"/>
      <c r="BR235" s="57"/>
      <c r="BS235" s="57"/>
    </row>
    <row r="236" spans="1:79" ht="12.75">
      <c r="A236" s="58"/>
      <c r="B236" s="4"/>
      <c r="C236" s="121"/>
      <c r="D236" s="52"/>
      <c r="E236" s="55"/>
      <c r="F236" s="55"/>
      <c r="G236" s="45"/>
      <c r="H236" s="45"/>
      <c r="I236" s="55"/>
      <c r="J236" s="55"/>
      <c r="K236" s="55"/>
      <c r="L236" s="55"/>
      <c r="BB236" s="344" t="s">
        <v>70</v>
      </c>
      <c r="BC236" s="345">
        <v>0.59</v>
      </c>
      <c r="BD236" s="343"/>
      <c r="BE236" s="209"/>
      <c r="BF236" s="343"/>
      <c r="BR236" s="50"/>
      <c r="BS236" s="204"/>
      <c r="BT236" s="25"/>
      <c r="BU236" s="25"/>
      <c r="BV236" s="204"/>
      <c r="BW236" s="26"/>
      <c r="BX236" s="204"/>
      <c r="BY236" s="25"/>
      <c r="BZ236" s="25"/>
      <c r="CA236" s="204"/>
    </row>
    <row r="237" spans="1:79" ht="12.75">
      <c r="A237" s="55"/>
      <c r="B237" s="55"/>
      <c r="C237" s="55"/>
      <c r="D237" s="55"/>
      <c r="E237" s="55"/>
      <c r="F237" s="55"/>
      <c r="G237" s="55"/>
      <c r="H237" s="55"/>
      <c r="I237" s="55"/>
      <c r="J237" s="55"/>
      <c r="K237" s="55"/>
      <c r="L237" s="55"/>
      <c r="BB237" s="344" t="s">
        <v>69</v>
      </c>
      <c r="BC237" s="345">
        <v>0.525</v>
      </c>
      <c r="BD237" s="343"/>
      <c r="BE237" s="209"/>
      <c r="BF237" s="343"/>
      <c r="BR237" s="57"/>
      <c r="BS237" s="252"/>
      <c r="BT237" s="253"/>
      <c r="BU237" s="253"/>
      <c r="BV237" s="253"/>
      <c r="BW237" s="26"/>
      <c r="BX237" s="252"/>
      <c r="BY237" s="253"/>
      <c r="BZ237" s="253"/>
      <c r="CA237" s="253"/>
    </row>
    <row r="238" spans="1:79" ht="12.75">
      <c r="A238" s="52"/>
      <c r="B238" s="4"/>
      <c r="C238" s="121"/>
      <c r="D238" s="52"/>
      <c r="E238" s="55"/>
      <c r="F238" s="55"/>
      <c r="G238" s="55"/>
      <c r="H238" s="55"/>
      <c r="I238" s="45"/>
      <c r="J238" s="45"/>
      <c r="K238" s="45"/>
      <c r="L238" s="45"/>
      <c r="BB238" s="344" t="s">
        <v>68</v>
      </c>
      <c r="BC238" s="345">
        <v>0.485</v>
      </c>
      <c r="BD238" s="343"/>
      <c r="BE238" s="209"/>
      <c r="BF238" s="343"/>
      <c r="BR238" s="57"/>
      <c r="BS238" s="254"/>
      <c r="BT238" s="255"/>
      <c r="BU238" s="249"/>
      <c r="BV238" s="255"/>
      <c r="BW238" s="26"/>
      <c r="BX238" s="254"/>
      <c r="BY238" s="255"/>
      <c r="BZ238" s="249"/>
      <c r="CA238" s="255"/>
    </row>
    <row r="239" spans="1:79" ht="12.75">
      <c r="A239" s="272"/>
      <c r="B239" s="4"/>
      <c r="C239" s="121"/>
      <c r="D239" s="63"/>
      <c r="E239" s="55"/>
      <c r="F239" s="55"/>
      <c r="G239" s="55"/>
      <c r="H239" s="55"/>
      <c r="I239" s="45"/>
      <c r="J239" s="45"/>
      <c r="K239" s="45"/>
      <c r="L239" s="45"/>
      <c r="BB239" s="344" t="s">
        <v>67</v>
      </c>
      <c r="BC239" s="345">
        <v>0.44</v>
      </c>
      <c r="BD239" s="343"/>
      <c r="BE239" s="209"/>
      <c r="BF239" s="343"/>
      <c r="BR239" s="57"/>
      <c r="BS239" s="254"/>
      <c r="BT239" s="257"/>
      <c r="BU239" s="257"/>
      <c r="BV239" s="258"/>
      <c r="BW239" s="26"/>
      <c r="BX239" s="254"/>
      <c r="BY239" s="257"/>
      <c r="BZ239" s="257"/>
      <c r="CA239" s="258"/>
    </row>
    <row r="240" spans="1:79" ht="12.75">
      <c r="A240" s="58"/>
      <c r="B240" s="4"/>
      <c r="C240" s="113"/>
      <c r="D240" s="52"/>
      <c r="E240" s="55"/>
      <c r="F240" s="55"/>
      <c r="G240" s="55"/>
      <c r="H240" s="55"/>
      <c r="I240" s="45"/>
      <c r="J240" s="45"/>
      <c r="K240" s="45"/>
      <c r="L240" s="45"/>
      <c r="BB240" s="344" t="s">
        <v>66</v>
      </c>
      <c r="BC240" s="345">
        <v>0.51</v>
      </c>
      <c r="BD240" s="343"/>
      <c r="BE240" s="209"/>
      <c r="BF240" s="343"/>
      <c r="BR240" s="57"/>
      <c r="BS240" s="257"/>
      <c r="BT240" s="257"/>
      <c r="BU240" s="259"/>
      <c r="BV240" s="257"/>
      <c r="BW240" s="26"/>
      <c r="BX240" s="257"/>
      <c r="BY240" s="257"/>
      <c r="BZ240" s="259"/>
      <c r="CA240" s="257"/>
    </row>
    <row r="241" spans="1:79" ht="12.75">
      <c r="A241" s="58"/>
      <c r="B241" s="4"/>
      <c r="C241" s="113"/>
      <c r="D241" s="5"/>
      <c r="E241" s="55"/>
      <c r="F241" s="55"/>
      <c r="G241" s="55"/>
      <c r="H241" s="55"/>
      <c r="I241" s="45"/>
      <c r="J241" s="45"/>
      <c r="K241" s="45"/>
      <c r="L241" s="45"/>
      <c r="BB241" s="344" t="s">
        <v>208</v>
      </c>
      <c r="BC241" s="345">
        <v>0.45</v>
      </c>
      <c r="BD241" s="343"/>
      <c r="BE241" s="209"/>
      <c r="BF241" s="343"/>
      <c r="BR241" s="57"/>
      <c r="BS241" s="257"/>
      <c r="BT241" s="259"/>
      <c r="BU241" s="259"/>
      <c r="BV241" s="259"/>
      <c r="BW241" s="26"/>
      <c r="BX241" s="257"/>
      <c r="BY241" s="259"/>
      <c r="BZ241" s="259"/>
      <c r="CA241" s="259"/>
    </row>
    <row r="242" spans="1:79" ht="12.75">
      <c r="A242" s="273"/>
      <c r="B242" s="47"/>
      <c r="C242" s="113"/>
      <c r="D242" s="82"/>
      <c r="E242" s="55"/>
      <c r="F242" s="55"/>
      <c r="G242" s="55"/>
      <c r="H242" s="55"/>
      <c r="I242" s="45"/>
      <c r="J242" s="45"/>
      <c r="K242" s="45"/>
      <c r="L242" s="45"/>
      <c r="BB242" s="344" t="s">
        <v>207</v>
      </c>
      <c r="BC242" s="345">
        <v>0.415</v>
      </c>
      <c r="BD242" s="343"/>
      <c r="BE242" s="209"/>
      <c r="BF242" s="343"/>
      <c r="BR242" s="57"/>
      <c r="BS242" s="257"/>
      <c r="BT242" s="259"/>
      <c r="BU242" s="259"/>
      <c r="BV242" s="259"/>
      <c r="BW242" s="26"/>
      <c r="BX242" s="257"/>
      <c r="BY242" s="259"/>
      <c r="BZ242" s="259"/>
      <c r="CA242" s="259"/>
    </row>
    <row r="243" spans="1:79" ht="12.75">
      <c r="A243" s="273"/>
      <c r="B243" s="47"/>
      <c r="C243" s="113"/>
      <c r="D243" s="82"/>
      <c r="E243" s="52"/>
      <c r="F243" s="55"/>
      <c r="G243" s="55"/>
      <c r="H243" s="55"/>
      <c r="I243" s="45"/>
      <c r="J243" s="45"/>
      <c r="K243" s="45"/>
      <c r="L243" s="45"/>
      <c r="BB243" s="344" t="s">
        <v>206</v>
      </c>
      <c r="BC243" s="345">
        <v>0.375</v>
      </c>
      <c r="BD243" s="343"/>
      <c r="BE243" s="209"/>
      <c r="BF243" s="343"/>
      <c r="BR243" s="57"/>
      <c r="BS243" s="257"/>
      <c r="BT243" s="259"/>
      <c r="BU243" s="259"/>
      <c r="BV243" s="259"/>
      <c r="BW243" s="26"/>
      <c r="BX243" s="257"/>
      <c r="BY243" s="259"/>
      <c r="BZ243" s="259"/>
      <c r="CA243" s="259"/>
    </row>
    <row r="244" spans="1:79" ht="12.75">
      <c r="A244" s="55"/>
      <c r="B244" s="55"/>
      <c r="C244" s="55"/>
      <c r="D244" s="55"/>
      <c r="E244" s="55"/>
      <c r="F244" s="55"/>
      <c r="G244" s="45"/>
      <c r="H244" s="55"/>
      <c r="I244" s="55"/>
      <c r="J244" s="55"/>
      <c r="K244" s="55"/>
      <c r="L244" s="55"/>
      <c r="BB244" s="344" t="s">
        <v>205</v>
      </c>
      <c r="BC244" s="345">
        <v>0.37</v>
      </c>
      <c r="BD244" s="343"/>
      <c r="BE244" s="209"/>
      <c r="BF244" s="343"/>
      <c r="BR244" s="50"/>
      <c r="BS244" s="257"/>
      <c r="BT244" s="259"/>
      <c r="BU244" s="259"/>
      <c r="BV244" s="259"/>
      <c r="BW244" s="26"/>
      <c r="BX244" s="257"/>
      <c r="BY244" s="259"/>
      <c r="BZ244" s="259"/>
      <c r="CA244" s="259"/>
    </row>
    <row r="245" spans="54:79" ht="12.75">
      <c r="BB245" s="344" t="s">
        <v>204</v>
      </c>
      <c r="BC245" s="345">
        <v>0.34</v>
      </c>
      <c r="BD245" s="343"/>
      <c r="BE245" s="209"/>
      <c r="BF245" s="343"/>
      <c r="BS245" s="257"/>
      <c r="BT245" s="259"/>
      <c r="BU245" s="259"/>
      <c r="BV245" s="259"/>
      <c r="BW245" s="26"/>
      <c r="BX245" s="257"/>
      <c r="BY245" s="259"/>
      <c r="BZ245" s="259"/>
      <c r="CA245" s="259"/>
    </row>
    <row r="246" spans="54:79" ht="12.75">
      <c r="BB246" s="344" t="s">
        <v>203</v>
      </c>
      <c r="BC246" s="345">
        <v>0.305</v>
      </c>
      <c r="BD246" s="343"/>
      <c r="BE246" s="209"/>
      <c r="BF246" s="343"/>
      <c r="BS246" s="257"/>
      <c r="BT246" s="259"/>
      <c r="BU246" s="259"/>
      <c r="BV246" s="259"/>
      <c r="BW246" s="26"/>
      <c r="BX246" s="257"/>
      <c r="BY246" s="259"/>
      <c r="BZ246" s="259"/>
      <c r="CA246" s="259"/>
    </row>
    <row r="247" spans="54:79" ht="12.75">
      <c r="BB247" s="344" t="s">
        <v>202</v>
      </c>
      <c r="BC247" s="345">
        <v>0.31</v>
      </c>
      <c r="BD247" s="343"/>
      <c r="BE247" s="209"/>
      <c r="BF247" s="343"/>
      <c r="BS247" s="257"/>
      <c r="BT247" s="259"/>
      <c r="BU247" s="259"/>
      <c r="BV247" s="259"/>
      <c r="BW247" s="26"/>
      <c r="BX247" s="257"/>
      <c r="BY247" s="259"/>
      <c r="BZ247" s="259"/>
      <c r="CA247" s="259"/>
    </row>
    <row r="248" spans="54:79" ht="12.75">
      <c r="BB248" s="344" t="s">
        <v>201</v>
      </c>
      <c r="BC248" s="345">
        <v>0.285</v>
      </c>
      <c r="BD248" s="343"/>
      <c r="BE248" s="209"/>
      <c r="BF248" s="343"/>
      <c r="BS248" s="257"/>
      <c r="BT248" s="259"/>
      <c r="BU248" s="259"/>
      <c r="BV248" s="259"/>
      <c r="BW248" s="26"/>
      <c r="BX248" s="257"/>
      <c r="BY248" s="259"/>
      <c r="BZ248" s="259"/>
      <c r="CA248" s="259"/>
    </row>
    <row r="249" spans="54:79" ht="12.75">
      <c r="BB249" s="344" t="s">
        <v>93</v>
      </c>
      <c r="BC249" s="345">
        <v>0.27</v>
      </c>
      <c r="BD249" s="343"/>
      <c r="BE249" s="209"/>
      <c r="BF249" s="343"/>
      <c r="BS249" s="257"/>
      <c r="BT249" s="259"/>
      <c r="BU249" s="259"/>
      <c r="BV249" s="259"/>
      <c r="BW249" s="26"/>
      <c r="BX249" s="257"/>
      <c r="BY249" s="259"/>
      <c r="BZ249" s="259"/>
      <c r="CA249" s="259"/>
    </row>
    <row r="250" spans="1:79" ht="12.75">
      <c r="A250" s="10"/>
      <c r="B250" s="10"/>
      <c r="C250" s="10"/>
      <c r="D250" s="10"/>
      <c r="E250" s="10"/>
      <c r="F250" s="10"/>
      <c r="G250" s="10"/>
      <c r="H250" s="10"/>
      <c r="I250" s="7"/>
      <c r="J250" s="7"/>
      <c r="K250" s="7"/>
      <c r="L250" s="7"/>
      <c r="BB250" s="344" t="s">
        <v>92</v>
      </c>
      <c r="BC250" s="345">
        <v>0.255</v>
      </c>
      <c r="BD250" s="343"/>
      <c r="BE250" s="209"/>
      <c r="BF250" s="343"/>
      <c r="BS250" s="257"/>
      <c r="BT250" s="259"/>
      <c r="BU250" s="259"/>
      <c r="BV250" s="259"/>
      <c r="BW250" s="26"/>
      <c r="BX250" s="257"/>
      <c r="BY250" s="259"/>
      <c r="BZ250" s="259"/>
      <c r="CA250" s="259"/>
    </row>
    <row r="251" spans="1:79" ht="12.75">
      <c r="A251" s="10"/>
      <c r="B251" s="10"/>
      <c r="C251" s="10"/>
      <c r="D251" s="10"/>
      <c r="E251" s="10"/>
      <c r="F251" s="10"/>
      <c r="G251" s="10"/>
      <c r="H251" s="89"/>
      <c r="I251" s="270"/>
      <c r="J251" s="270"/>
      <c r="K251" s="270"/>
      <c r="L251" s="270"/>
      <c r="BB251" s="344" t="s">
        <v>91</v>
      </c>
      <c r="BC251" s="345">
        <v>0.23</v>
      </c>
      <c r="BD251" s="343"/>
      <c r="BE251" s="209"/>
      <c r="BF251" s="343"/>
      <c r="BS251" s="257"/>
      <c r="BT251" s="259"/>
      <c r="BU251" s="259"/>
      <c r="BV251" s="259"/>
      <c r="BW251" s="26"/>
      <c r="BX251" s="257"/>
      <c r="BY251" s="259"/>
      <c r="BZ251" s="259"/>
      <c r="CA251" s="259"/>
    </row>
    <row r="252" spans="1:79" ht="12.75">
      <c r="A252" s="10"/>
      <c r="B252" s="10"/>
      <c r="C252" s="10"/>
      <c r="D252" s="10"/>
      <c r="E252" s="10"/>
      <c r="F252" s="10"/>
      <c r="G252" s="10"/>
      <c r="H252" s="89"/>
      <c r="I252" s="271"/>
      <c r="J252" s="271"/>
      <c r="K252" s="271"/>
      <c r="L252" s="271"/>
      <c r="BB252" s="344" t="s">
        <v>468</v>
      </c>
      <c r="BC252" s="345">
        <v>1.78</v>
      </c>
      <c r="BD252" s="343"/>
      <c r="BE252" s="209"/>
      <c r="BF252" s="343"/>
      <c r="BS252" s="257"/>
      <c r="BT252" s="259"/>
      <c r="BU252" s="259"/>
      <c r="BV252" s="259"/>
      <c r="BW252" s="26"/>
      <c r="BX252" s="257"/>
      <c r="BY252" s="259"/>
      <c r="BZ252" s="259"/>
      <c r="CA252" s="259"/>
    </row>
    <row r="253" spans="1:79" ht="12.75">
      <c r="A253" s="274"/>
      <c r="B253" s="10"/>
      <c r="C253" s="10"/>
      <c r="D253" s="10"/>
      <c r="E253" s="10"/>
      <c r="F253" s="10"/>
      <c r="G253" s="10"/>
      <c r="H253" s="196"/>
      <c r="I253" s="26"/>
      <c r="J253" s="26"/>
      <c r="K253" s="26"/>
      <c r="L253" s="26"/>
      <c r="BB253" s="344" t="s">
        <v>467</v>
      </c>
      <c r="BC253" s="345">
        <v>1.63</v>
      </c>
      <c r="BD253" s="343"/>
      <c r="BE253" s="209"/>
      <c r="BF253" s="343"/>
      <c r="BS253" s="257"/>
      <c r="BT253" s="259"/>
      <c r="BU253" s="259"/>
      <c r="BV253" s="259"/>
      <c r="BW253" s="26"/>
      <c r="BX253" s="257"/>
      <c r="BY253" s="259"/>
      <c r="BZ253" s="259"/>
      <c r="CA253" s="259"/>
    </row>
    <row r="254" spans="1:79" ht="12.75">
      <c r="A254" s="52"/>
      <c r="B254" s="45"/>
      <c r="C254" s="45"/>
      <c r="D254" s="45"/>
      <c r="E254" s="10"/>
      <c r="F254" s="10"/>
      <c r="G254" s="10"/>
      <c r="H254" s="89"/>
      <c r="I254" s="26"/>
      <c r="J254" s="26"/>
      <c r="K254" s="26"/>
      <c r="L254" s="26"/>
      <c r="BB254" s="344" t="s">
        <v>466</v>
      </c>
      <c r="BC254" s="345">
        <v>1.53</v>
      </c>
      <c r="BD254" s="343"/>
      <c r="BE254" s="209"/>
      <c r="BF254" s="343"/>
      <c r="BS254" s="257"/>
      <c r="BT254" s="259"/>
      <c r="BU254" s="259"/>
      <c r="BV254" s="259"/>
      <c r="BW254" s="26"/>
      <c r="BX254" s="257"/>
      <c r="BY254" s="259"/>
      <c r="BZ254" s="259"/>
      <c r="CA254" s="259"/>
    </row>
    <row r="255" spans="1:79" ht="12.75">
      <c r="A255" s="58"/>
      <c r="B255" s="275"/>
      <c r="C255" s="52"/>
      <c r="D255" s="52"/>
      <c r="E255" s="10"/>
      <c r="F255" s="10"/>
      <c r="G255" s="10"/>
      <c r="H255" s="10"/>
      <c r="I255" s="10"/>
      <c r="J255" s="10"/>
      <c r="K255" s="10"/>
      <c r="L255" s="10"/>
      <c r="BB255" s="344" t="s">
        <v>333</v>
      </c>
      <c r="BC255" s="345">
        <v>1.4</v>
      </c>
      <c r="BD255" s="343"/>
      <c r="BE255" s="209"/>
      <c r="BF255" s="343"/>
      <c r="BS255" s="257"/>
      <c r="BT255" s="259"/>
      <c r="BU255" s="259"/>
      <c r="BV255" s="259"/>
      <c r="BW255" s="26"/>
      <c r="BX255" s="257"/>
      <c r="BY255" s="259"/>
      <c r="BZ255" s="259"/>
      <c r="CA255" s="259"/>
    </row>
    <row r="256" spans="1:79" ht="12.75">
      <c r="A256" s="58"/>
      <c r="B256" s="275"/>
      <c r="C256" s="52"/>
      <c r="D256" s="52"/>
      <c r="E256" s="45"/>
      <c r="F256" s="10"/>
      <c r="G256" s="10"/>
      <c r="H256" s="80"/>
      <c r="I256" s="10"/>
      <c r="J256" s="10"/>
      <c r="K256" s="10"/>
      <c r="L256" s="10"/>
      <c r="BB256" s="344" t="s">
        <v>332</v>
      </c>
      <c r="BC256" s="345">
        <v>1.29</v>
      </c>
      <c r="BD256" s="343"/>
      <c r="BE256" s="209"/>
      <c r="BF256" s="343"/>
      <c r="BS256" s="257"/>
      <c r="BT256" s="259"/>
      <c r="BU256" s="259"/>
      <c r="BV256" s="259"/>
      <c r="BW256" s="26"/>
      <c r="BX256" s="257"/>
      <c r="BY256" s="259"/>
      <c r="BZ256" s="259"/>
      <c r="CA256" s="259"/>
    </row>
    <row r="257" spans="1:79" ht="12.75">
      <c r="A257" s="55"/>
      <c r="B257" s="55"/>
      <c r="C257" s="55"/>
      <c r="D257" s="63"/>
      <c r="E257" s="55"/>
      <c r="F257" s="10"/>
      <c r="G257" s="10"/>
      <c r="H257" s="55"/>
      <c r="I257" s="10"/>
      <c r="J257" s="10"/>
      <c r="K257" s="10"/>
      <c r="L257" s="10"/>
      <c r="BB257" s="344" t="s">
        <v>331</v>
      </c>
      <c r="BC257" s="345">
        <v>1.18</v>
      </c>
      <c r="BD257" s="343"/>
      <c r="BE257" s="209"/>
      <c r="BF257" s="343"/>
      <c r="BS257" s="257"/>
      <c r="BT257" s="259"/>
      <c r="BU257" s="259"/>
      <c r="BV257" s="259"/>
      <c r="BW257" s="26"/>
      <c r="BX257" s="257"/>
      <c r="BY257" s="259"/>
      <c r="BZ257" s="259"/>
      <c r="CA257" s="259"/>
    </row>
    <row r="258" spans="1:79" ht="12.75">
      <c r="A258" s="272"/>
      <c r="B258" s="3"/>
      <c r="C258" s="63"/>
      <c r="D258" s="63"/>
      <c r="E258" s="55"/>
      <c r="F258" s="10"/>
      <c r="G258" s="10"/>
      <c r="H258" s="55"/>
      <c r="I258" s="10"/>
      <c r="J258" s="10"/>
      <c r="K258" s="10"/>
      <c r="L258" s="10"/>
      <c r="BB258" s="344" t="s">
        <v>330</v>
      </c>
      <c r="BC258" s="345">
        <v>1.06</v>
      </c>
      <c r="BD258" s="343"/>
      <c r="BE258" s="209"/>
      <c r="BF258" s="343"/>
      <c r="BS258" s="257"/>
      <c r="BT258" s="259"/>
      <c r="BU258" s="259"/>
      <c r="BV258" s="259"/>
      <c r="BW258" s="26"/>
      <c r="BX258" s="257"/>
      <c r="BY258" s="259"/>
      <c r="BZ258" s="259"/>
      <c r="CA258" s="259"/>
    </row>
    <row r="259" spans="1:79" ht="12.75">
      <c r="A259" s="272"/>
      <c r="B259" s="6"/>
      <c r="C259" s="63"/>
      <c r="D259" s="63"/>
      <c r="E259" s="55"/>
      <c r="F259" s="10"/>
      <c r="G259" s="10"/>
      <c r="H259" s="55"/>
      <c r="I259" s="10"/>
      <c r="J259" s="10"/>
      <c r="K259" s="10"/>
      <c r="L259" s="10"/>
      <c r="BB259" s="344" t="s">
        <v>329</v>
      </c>
      <c r="BC259" s="345">
        <v>0.96</v>
      </c>
      <c r="BD259" s="343"/>
      <c r="BE259" s="209"/>
      <c r="BF259" s="343"/>
      <c r="BS259" s="257"/>
      <c r="BT259" s="259"/>
      <c r="BU259" s="259"/>
      <c r="BV259" s="259"/>
      <c r="BW259" s="26"/>
      <c r="BX259" s="257"/>
      <c r="BY259" s="259"/>
      <c r="BZ259" s="259"/>
      <c r="CA259" s="259"/>
    </row>
    <row r="260" spans="1:79" ht="12.75">
      <c r="A260" s="273"/>
      <c r="B260" s="6"/>
      <c r="C260" s="63"/>
      <c r="D260" s="82"/>
      <c r="E260" s="10"/>
      <c r="F260" s="10"/>
      <c r="G260" s="10"/>
      <c r="H260" s="59"/>
      <c r="I260" s="10"/>
      <c r="J260" s="10"/>
      <c r="K260" s="10"/>
      <c r="L260" s="10"/>
      <c r="BB260" s="344" t="s">
        <v>328</v>
      </c>
      <c r="BC260" s="345">
        <v>0.87</v>
      </c>
      <c r="BD260" s="343"/>
      <c r="BE260" s="209"/>
      <c r="BF260" s="343"/>
      <c r="BS260" s="257"/>
      <c r="BT260" s="259"/>
      <c r="BU260" s="259"/>
      <c r="BV260" s="259"/>
      <c r="BW260" s="26"/>
      <c r="BX260" s="257"/>
      <c r="BY260" s="259"/>
      <c r="BZ260" s="259"/>
      <c r="CA260" s="259"/>
    </row>
    <row r="261" spans="1:79" ht="12.75">
      <c r="A261" s="45"/>
      <c r="B261" s="55"/>
      <c r="C261" s="55"/>
      <c r="D261" s="63"/>
      <c r="E261" s="55"/>
      <c r="F261" s="55"/>
      <c r="G261" s="10"/>
      <c r="H261" s="10"/>
      <c r="I261" s="10"/>
      <c r="J261" s="10"/>
      <c r="K261" s="10"/>
      <c r="L261" s="10"/>
      <c r="BB261" s="344" t="s">
        <v>327</v>
      </c>
      <c r="BC261" s="345">
        <v>0.79</v>
      </c>
      <c r="BD261" s="343"/>
      <c r="BE261" s="209"/>
      <c r="BF261" s="343"/>
      <c r="BS261" s="257"/>
      <c r="BT261" s="259"/>
      <c r="BU261" s="259"/>
      <c r="BV261" s="259"/>
      <c r="BW261" s="26"/>
      <c r="BX261" s="257"/>
      <c r="BY261" s="259"/>
      <c r="BZ261" s="259"/>
      <c r="CA261" s="259"/>
    </row>
    <row r="262" spans="1:79" ht="12.75">
      <c r="A262" s="44"/>
      <c r="B262" s="6"/>
      <c r="C262" s="63"/>
      <c r="D262" s="63"/>
      <c r="E262" s="10"/>
      <c r="F262" s="55"/>
      <c r="G262" s="10"/>
      <c r="H262" s="10"/>
      <c r="I262" s="10"/>
      <c r="J262" s="10"/>
      <c r="K262" s="10"/>
      <c r="L262" s="10"/>
      <c r="BB262" s="344" t="s">
        <v>476</v>
      </c>
      <c r="BC262" s="345">
        <v>0.71</v>
      </c>
      <c r="BD262" s="343"/>
      <c r="BE262" s="209"/>
      <c r="BF262" s="343"/>
      <c r="BS262" s="257"/>
      <c r="BT262" s="259"/>
      <c r="BU262" s="259"/>
      <c r="BV262" s="259"/>
      <c r="BW262" s="26"/>
      <c r="BX262" s="257"/>
      <c r="BY262" s="259"/>
      <c r="BZ262" s="259"/>
      <c r="CA262" s="259"/>
    </row>
    <row r="263" spans="1:79" ht="12.75">
      <c r="A263" s="272"/>
      <c r="B263" s="3"/>
      <c r="C263" s="63"/>
      <c r="D263" s="63"/>
      <c r="E263" s="55"/>
      <c r="F263" s="55"/>
      <c r="G263" s="10"/>
      <c r="H263" s="10"/>
      <c r="I263" s="10"/>
      <c r="J263" s="10"/>
      <c r="K263" s="10"/>
      <c r="L263" s="10"/>
      <c r="BB263" s="344" t="s">
        <v>78</v>
      </c>
      <c r="BC263" s="345">
        <v>0.61</v>
      </c>
      <c r="BD263" s="343"/>
      <c r="BE263" s="209"/>
      <c r="BF263" s="343"/>
      <c r="BS263" s="257"/>
      <c r="BT263" s="259"/>
      <c r="BU263" s="259"/>
      <c r="BV263" s="259"/>
      <c r="BW263" s="26"/>
      <c r="BX263" s="257"/>
      <c r="BY263" s="259"/>
      <c r="BZ263" s="259"/>
      <c r="CA263" s="259"/>
    </row>
    <row r="264" spans="1:79" ht="12.75">
      <c r="A264" s="272"/>
      <c r="B264" s="6"/>
      <c r="C264" s="63"/>
      <c r="D264" s="63"/>
      <c r="E264" s="55"/>
      <c r="F264" s="55"/>
      <c r="G264" s="10"/>
      <c r="H264" s="10"/>
      <c r="I264" s="10"/>
      <c r="J264" s="10"/>
      <c r="K264" s="10"/>
      <c r="L264" s="10"/>
      <c r="BB264" s="344" t="s">
        <v>77</v>
      </c>
      <c r="BC264" s="345">
        <v>0.55</v>
      </c>
      <c r="BD264" s="343"/>
      <c r="BE264" s="209"/>
      <c r="BF264" s="343"/>
      <c r="BS264" s="257"/>
      <c r="BT264" s="259"/>
      <c r="BU264" s="259"/>
      <c r="BV264" s="259"/>
      <c r="BW264" s="26"/>
      <c r="BX264" s="257"/>
      <c r="BY264" s="259"/>
      <c r="BZ264" s="259"/>
      <c r="CA264" s="259"/>
    </row>
    <row r="265" spans="1:79" ht="12.75">
      <c r="A265" s="273"/>
      <c r="B265" s="6"/>
      <c r="C265" s="63"/>
      <c r="D265" s="82"/>
      <c r="E265" s="55"/>
      <c r="F265" s="10"/>
      <c r="G265" s="55"/>
      <c r="H265" s="59"/>
      <c r="I265" s="10"/>
      <c r="J265" s="10"/>
      <c r="K265" s="10"/>
      <c r="L265" s="10"/>
      <c r="BB265" s="344" t="s">
        <v>76</v>
      </c>
      <c r="BC265" s="345">
        <v>0.515</v>
      </c>
      <c r="BD265" s="343"/>
      <c r="BE265" s="209"/>
      <c r="BF265" s="343"/>
      <c r="BS265" s="257"/>
      <c r="BT265" s="254"/>
      <c r="BU265" s="266"/>
      <c r="BV265" s="257"/>
      <c r="BW265" s="26"/>
      <c r="BX265" s="257"/>
      <c r="BY265" s="254"/>
      <c r="BZ265" s="266"/>
      <c r="CA265" s="257"/>
    </row>
    <row r="266" spans="1:79" ht="12.75">
      <c r="A266" s="45"/>
      <c r="B266" s="45"/>
      <c r="C266" s="45"/>
      <c r="D266" s="52"/>
      <c r="E266" s="45"/>
      <c r="F266" s="10"/>
      <c r="G266" s="10"/>
      <c r="H266" s="10"/>
      <c r="I266" s="10"/>
      <c r="J266" s="10"/>
      <c r="K266" s="10"/>
      <c r="L266" s="10"/>
      <c r="BB266" s="344" t="s">
        <v>356</v>
      </c>
      <c r="BC266" s="345">
        <v>0.47</v>
      </c>
      <c r="BD266" s="343"/>
      <c r="BE266" s="209"/>
      <c r="BF266" s="343"/>
      <c r="BS266" s="257"/>
      <c r="BT266" s="255"/>
      <c r="BU266" s="257"/>
      <c r="BV266" s="259"/>
      <c r="BW266" s="26"/>
      <c r="BX266" s="257"/>
      <c r="BY266" s="255"/>
      <c r="BZ266" s="257"/>
      <c r="CA266" s="259"/>
    </row>
    <row r="267" spans="1:79" ht="12.75">
      <c r="A267" s="58"/>
      <c r="B267" s="3"/>
      <c r="C267" s="52"/>
      <c r="D267" s="52"/>
      <c r="E267" s="45"/>
      <c r="F267" s="10"/>
      <c r="G267" s="10"/>
      <c r="H267" s="10"/>
      <c r="I267" s="10"/>
      <c r="J267" s="10"/>
      <c r="K267" s="10"/>
      <c r="L267" s="10"/>
      <c r="BB267" s="344" t="s">
        <v>355</v>
      </c>
      <c r="BC267" s="345">
        <v>0.43</v>
      </c>
      <c r="BD267" s="343"/>
      <c r="BE267" s="209"/>
      <c r="BF267" s="343"/>
      <c r="BS267" s="254"/>
      <c r="BT267" s="249"/>
      <c r="BU267" s="259"/>
      <c r="BV267" s="267"/>
      <c r="BW267" s="26"/>
      <c r="BX267" s="254"/>
      <c r="BY267" s="249"/>
      <c r="BZ267" s="259"/>
      <c r="CA267" s="267"/>
    </row>
    <row r="268" spans="1:79" ht="12.75">
      <c r="A268" s="58"/>
      <c r="B268" s="3"/>
      <c r="C268" s="52"/>
      <c r="D268" s="52"/>
      <c r="E268" s="45"/>
      <c r="F268" s="10"/>
      <c r="G268" s="10"/>
      <c r="H268" s="10"/>
      <c r="I268" s="10"/>
      <c r="J268" s="10"/>
      <c r="K268" s="10"/>
      <c r="L268" s="10"/>
      <c r="BB268" s="344" t="s">
        <v>354</v>
      </c>
      <c r="BC268" s="345">
        <v>0.39</v>
      </c>
      <c r="BD268" s="343"/>
      <c r="BE268" s="209"/>
      <c r="BF268" s="343"/>
      <c r="BS268" s="258"/>
      <c r="BT268" s="255"/>
      <c r="BU268" s="268"/>
      <c r="BV268" s="259"/>
      <c r="BW268" s="26"/>
      <c r="BX268" s="258"/>
      <c r="BY268" s="255"/>
      <c r="BZ268" s="268"/>
      <c r="CA268" s="259"/>
    </row>
    <row r="269" spans="1:58" ht="12.75">
      <c r="A269" s="58"/>
      <c r="B269" s="3"/>
      <c r="C269" s="52"/>
      <c r="D269" s="52"/>
      <c r="E269" s="45"/>
      <c r="F269" s="10"/>
      <c r="G269" s="10"/>
      <c r="H269" s="80"/>
      <c r="I269" s="10"/>
      <c r="J269" s="10"/>
      <c r="K269" s="10"/>
      <c r="L269" s="10"/>
      <c r="BB269" s="344" t="s">
        <v>353</v>
      </c>
      <c r="BC269" s="345">
        <v>0.36</v>
      </c>
      <c r="BD269" s="343"/>
      <c r="BE269" s="209"/>
      <c r="BF269" s="343"/>
    </row>
    <row r="270" spans="1:79" ht="12.75">
      <c r="A270" s="45"/>
      <c r="B270" s="45"/>
      <c r="C270" s="45"/>
      <c r="D270" s="52"/>
      <c r="E270" s="45"/>
      <c r="F270" s="10"/>
      <c r="G270" s="10"/>
      <c r="H270" s="10"/>
      <c r="I270" s="10"/>
      <c r="J270" s="10"/>
      <c r="K270" s="10"/>
      <c r="L270" s="10"/>
      <c r="BB270" s="344" t="s">
        <v>352</v>
      </c>
      <c r="BC270" s="345">
        <v>0.345</v>
      </c>
      <c r="BD270" s="343"/>
      <c r="BE270" s="209"/>
      <c r="BF270" s="343"/>
      <c r="BS270" s="204"/>
      <c r="BT270" s="25"/>
      <c r="BU270" s="25"/>
      <c r="BV270" s="204"/>
      <c r="BW270" s="26"/>
      <c r="BX270" s="204"/>
      <c r="BY270" s="25"/>
      <c r="BZ270" s="25"/>
      <c r="CA270" s="204"/>
    </row>
    <row r="271" spans="1:79" ht="12.75">
      <c r="A271" s="58"/>
      <c r="B271" s="8"/>
      <c r="C271" s="52"/>
      <c r="D271" s="52"/>
      <c r="E271" s="45"/>
      <c r="F271" s="10"/>
      <c r="G271" s="10"/>
      <c r="H271" s="10"/>
      <c r="I271" s="10"/>
      <c r="J271" s="10"/>
      <c r="K271" s="10"/>
      <c r="L271" s="10"/>
      <c r="BB271" s="344" t="s">
        <v>88</v>
      </c>
      <c r="BC271" s="345">
        <v>0.37</v>
      </c>
      <c r="BD271" s="343"/>
      <c r="BE271" s="209"/>
      <c r="BF271" s="343"/>
      <c r="BS271" s="252"/>
      <c r="BT271" s="253"/>
      <c r="BU271" s="253"/>
      <c r="BV271" s="253"/>
      <c r="BW271" s="26"/>
      <c r="BX271" s="252"/>
      <c r="BY271" s="253"/>
      <c r="BZ271" s="253"/>
      <c r="CA271" s="253"/>
    </row>
    <row r="272" spans="1:79" ht="12.75">
      <c r="A272" s="58"/>
      <c r="B272" s="3"/>
      <c r="C272" s="52"/>
      <c r="D272" s="52"/>
      <c r="E272" s="45"/>
      <c r="F272" s="10"/>
      <c r="G272" s="10"/>
      <c r="H272" s="10"/>
      <c r="I272" s="10"/>
      <c r="J272" s="10"/>
      <c r="K272" s="10"/>
      <c r="L272" s="10"/>
      <c r="BB272" s="344" t="s">
        <v>87</v>
      </c>
      <c r="BC272" s="345">
        <v>0.335</v>
      </c>
      <c r="BD272" s="343"/>
      <c r="BE272" s="209"/>
      <c r="BF272" s="343"/>
      <c r="BS272" s="254"/>
      <c r="BT272" s="255"/>
      <c r="BU272" s="249"/>
      <c r="BV272" s="255"/>
      <c r="BW272" s="26"/>
      <c r="BX272" s="254"/>
      <c r="BY272" s="255"/>
      <c r="BZ272" s="249"/>
      <c r="CA272" s="255"/>
    </row>
    <row r="273" spans="1:79" ht="12.75">
      <c r="A273" s="58"/>
      <c r="B273" s="3"/>
      <c r="C273" s="52"/>
      <c r="D273" s="52"/>
      <c r="E273" s="45"/>
      <c r="F273" s="10"/>
      <c r="G273" s="10"/>
      <c r="H273" s="10"/>
      <c r="I273" s="10"/>
      <c r="J273" s="10"/>
      <c r="K273" s="10"/>
      <c r="L273" s="10"/>
      <c r="BB273" s="344" t="s">
        <v>86</v>
      </c>
      <c r="BC273" s="345">
        <v>0.295</v>
      </c>
      <c r="BD273" s="343"/>
      <c r="BE273" s="209"/>
      <c r="BF273" s="343"/>
      <c r="BS273" s="254"/>
      <c r="BT273" s="257"/>
      <c r="BU273" s="257"/>
      <c r="BV273" s="258"/>
      <c r="BW273" s="26"/>
      <c r="BX273" s="254"/>
      <c r="BY273" s="257"/>
      <c r="BZ273" s="257"/>
      <c r="CA273" s="258"/>
    </row>
    <row r="274" spans="1:79" ht="12.75">
      <c r="A274" s="58"/>
      <c r="B274" s="3"/>
      <c r="C274" s="52"/>
      <c r="D274" s="52"/>
      <c r="E274" s="45"/>
      <c r="F274" s="10"/>
      <c r="G274" s="10"/>
      <c r="H274" s="10"/>
      <c r="I274" s="10"/>
      <c r="J274" s="10"/>
      <c r="K274" s="10"/>
      <c r="L274" s="10"/>
      <c r="BB274" s="344" t="s">
        <v>194</v>
      </c>
      <c r="BC274" s="345">
        <v>0.3</v>
      </c>
      <c r="BD274" s="343"/>
      <c r="BE274" s="209"/>
      <c r="BF274" s="343"/>
      <c r="BS274" s="257"/>
      <c r="BT274" s="257"/>
      <c r="BU274" s="259"/>
      <c r="BV274" s="257"/>
      <c r="BW274" s="26"/>
      <c r="BX274" s="257"/>
      <c r="BY274" s="257"/>
      <c r="BZ274" s="259"/>
      <c r="CA274" s="257"/>
    </row>
    <row r="275" spans="1:79" ht="12.75">
      <c r="A275" s="58"/>
      <c r="B275" s="3"/>
      <c r="C275" s="52"/>
      <c r="D275" s="52"/>
      <c r="E275" s="45"/>
      <c r="F275" s="10"/>
      <c r="G275" s="10"/>
      <c r="H275" s="80"/>
      <c r="I275" s="10"/>
      <c r="J275" s="10"/>
      <c r="K275" s="10"/>
      <c r="L275" s="10"/>
      <c r="BB275" s="344" t="s">
        <v>193</v>
      </c>
      <c r="BC275" s="345">
        <v>0.26</v>
      </c>
      <c r="BD275" s="343"/>
      <c r="BE275" s="209"/>
      <c r="BF275" s="343"/>
      <c r="BS275" s="257"/>
      <c r="BT275" s="259"/>
      <c r="BU275" s="259"/>
      <c r="BV275" s="259"/>
      <c r="BW275" s="26"/>
      <c r="BX275" s="257"/>
      <c r="BY275" s="259"/>
      <c r="BZ275" s="259"/>
      <c r="CA275" s="259"/>
    </row>
    <row r="276" spans="1:79" ht="12.75">
      <c r="A276" s="10"/>
      <c r="B276" s="10"/>
      <c r="C276" s="10"/>
      <c r="D276" s="10"/>
      <c r="E276" s="10"/>
      <c r="F276" s="10"/>
      <c r="G276" s="10"/>
      <c r="H276" s="10"/>
      <c r="I276" s="10"/>
      <c r="J276" s="10"/>
      <c r="K276" s="10"/>
      <c r="L276" s="10"/>
      <c r="O276" s="244"/>
      <c r="P276" s="563"/>
      <c r="Q276" s="259"/>
      <c r="R276" s="563"/>
      <c r="S276" s="25"/>
      <c r="T276" s="244"/>
      <c r="U276" s="563"/>
      <c r="V276" s="259"/>
      <c r="W276" s="563"/>
      <c r="X276" s="26"/>
      <c r="Y276" s="244"/>
      <c r="Z276" s="563"/>
      <c r="AA276" s="259"/>
      <c r="AB276" s="563"/>
      <c r="AC276" s="37"/>
      <c r="AD276" s="244"/>
      <c r="AE276" s="563"/>
      <c r="AF276" s="259"/>
      <c r="AG276" s="563"/>
      <c r="AH276" s="37"/>
      <c r="AI276" s="244"/>
      <c r="AJ276" s="563"/>
      <c r="AK276" s="259"/>
      <c r="AL276" s="563"/>
      <c r="AM276" s="37"/>
      <c r="AN276" s="544"/>
      <c r="AO276" s="544"/>
      <c r="AP276" s="544"/>
      <c r="AQ276" s="544"/>
      <c r="BB276" s="344" t="s">
        <v>1113</v>
      </c>
      <c r="BC276" s="345">
        <v>0.23</v>
      </c>
      <c r="BD276" s="343"/>
      <c r="BE276" s="209"/>
      <c r="BF276" s="343"/>
      <c r="BS276" s="257"/>
      <c r="BT276" s="259"/>
      <c r="BU276" s="259"/>
      <c r="BV276" s="259"/>
      <c r="BW276" s="26"/>
      <c r="BX276" s="257"/>
      <c r="BY276" s="259"/>
      <c r="BZ276" s="259"/>
      <c r="CA276" s="259"/>
    </row>
    <row r="277" spans="1:79" ht="12.75">
      <c r="A277" s="10"/>
      <c r="B277" s="10"/>
      <c r="C277" s="10"/>
      <c r="D277" s="10"/>
      <c r="E277" s="10"/>
      <c r="F277" s="10"/>
      <c r="G277" s="10"/>
      <c r="H277" s="10"/>
      <c r="I277" s="10"/>
      <c r="J277" s="10"/>
      <c r="K277" s="10"/>
      <c r="L277" s="10"/>
      <c r="O277" s="244"/>
      <c r="P277" s="563"/>
      <c r="Q277" s="259"/>
      <c r="R277" s="563"/>
      <c r="S277" s="25"/>
      <c r="T277" s="244"/>
      <c r="U277" s="563"/>
      <c r="V277" s="259"/>
      <c r="W277" s="563"/>
      <c r="X277" s="26"/>
      <c r="Y277" s="244"/>
      <c r="Z277" s="563"/>
      <c r="AA277" s="259"/>
      <c r="AB277" s="563"/>
      <c r="AC277" s="37"/>
      <c r="AD277" s="244"/>
      <c r="AE277" s="563"/>
      <c r="AF277" s="259"/>
      <c r="AG277" s="563"/>
      <c r="AH277" s="37"/>
      <c r="AI277" s="244"/>
      <c r="AJ277" s="563"/>
      <c r="AK277" s="259"/>
      <c r="AL277" s="563"/>
      <c r="AM277" s="37"/>
      <c r="AN277" s="544"/>
      <c r="AO277" s="544"/>
      <c r="AP277" s="544"/>
      <c r="AQ277" s="544"/>
      <c r="BB277" s="344" t="s">
        <v>1112</v>
      </c>
      <c r="BC277" s="345">
        <v>0.26</v>
      </c>
      <c r="BD277" s="343"/>
      <c r="BE277" s="209"/>
      <c r="BF277" s="343"/>
      <c r="BS277" s="257"/>
      <c r="BT277" s="259"/>
      <c r="BU277" s="259"/>
      <c r="BV277" s="259"/>
      <c r="BW277" s="26"/>
      <c r="BX277" s="257"/>
      <c r="BY277" s="259"/>
      <c r="BZ277" s="259"/>
      <c r="CA277" s="259"/>
    </row>
    <row r="278" spans="1:79" ht="12.75">
      <c r="A278" s="10"/>
      <c r="B278" s="10"/>
      <c r="C278" s="10"/>
      <c r="D278" s="10"/>
      <c r="E278" s="10"/>
      <c r="F278" s="10"/>
      <c r="G278" s="10"/>
      <c r="H278" s="10"/>
      <c r="I278" s="10"/>
      <c r="J278" s="10"/>
      <c r="K278" s="10"/>
      <c r="L278" s="10"/>
      <c r="O278" s="244"/>
      <c r="P278" s="563"/>
      <c r="Q278" s="259"/>
      <c r="R278" s="563"/>
      <c r="S278" s="25"/>
      <c r="T278" s="244"/>
      <c r="U278" s="563"/>
      <c r="V278" s="259"/>
      <c r="W278" s="563"/>
      <c r="X278" s="26"/>
      <c r="Y278" s="244"/>
      <c r="Z278" s="563"/>
      <c r="AA278" s="259"/>
      <c r="AB278" s="563"/>
      <c r="AC278" s="37"/>
      <c r="AD278" s="244"/>
      <c r="AE278" s="563"/>
      <c r="AF278" s="259"/>
      <c r="AG278" s="563"/>
      <c r="AH278" s="37"/>
      <c r="AI278" s="244"/>
      <c r="AJ278" s="563"/>
      <c r="AK278" s="259"/>
      <c r="AL278" s="563"/>
      <c r="AM278" s="37"/>
      <c r="AN278" s="544"/>
      <c r="AO278" s="544"/>
      <c r="AP278" s="544"/>
      <c r="AQ278" s="544"/>
      <c r="BB278" s="344" t="s">
        <v>1111</v>
      </c>
      <c r="BC278" s="345">
        <v>0.235</v>
      </c>
      <c r="BD278" s="343"/>
      <c r="BE278" s="209"/>
      <c r="BF278" s="343"/>
      <c r="BS278" s="257"/>
      <c r="BT278" s="259"/>
      <c r="BU278" s="259"/>
      <c r="BV278" s="259"/>
      <c r="BW278" s="26"/>
      <c r="BX278" s="257"/>
      <c r="BY278" s="259"/>
      <c r="BZ278" s="259"/>
      <c r="CA278" s="259"/>
    </row>
    <row r="279" spans="1:79" ht="12.75">
      <c r="A279" s="10"/>
      <c r="B279" s="10"/>
      <c r="C279" s="10"/>
      <c r="D279" s="10"/>
      <c r="E279" s="10"/>
      <c r="F279" s="10"/>
      <c r="G279" s="10"/>
      <c r="H279" s="10"/>
      <c r="I279" s="10"/>
      <c r="J279" s="10"/>
      <c r="K279" s="10"/>
      <c r="L279" s="10"/>
      <c r="O279" s="244"/>
      <c r="P279" s="563"/>
      <c r="Q279" s="259"/>
      <c r="R279" s="563"/>
      <c r="S279" s="25"/>
      <c r="T279" s="244"/>
      <c r="U279" s="563"/>
      <c r="V279" s="259"/>
      <c r="W279" s="563"/>
      <c r="X279" s="26"/>
      <c r="Y279" s="244"/>
      <c r="Z279" s="563"/>
      <c r="AA279" s="259"/>
      <c r="AB279" s="563"/>
      <c r="AC279" s="37"/>
      <c r="AD279" s="244"/>
      <c r="AE279" s="563"/>
      <c r="AF279" s="259"/>
      <c r="AG279" s="563"/>
      <c r="AH279" s="37"/>
      <c r="AI279" s="244"/>
      <c r="AJ279" s="563"/>
      <c r="AK279" s="259"/>
      <c r="AL279" s="563"/>
      <c r="AM279" s="37"/>
      <c r="AN279" s="544"/>
      <c r="AO279" s="544"/>
      <c r="AP279" s="544"/>
      <c r="AQ279" s="544"/>
      <c r="BB279" s="344" t="s">
        <v>1110</v>
      </c>
      <c r="BC279" s="345">
        <v>0.22</v>
      </c>
      <c r="BD279" s="343"/>
      <c r="BE279" s="209"/>
      <c r="BF279" s="343"/>
      <c r="BS279" s="257"/>
      <c r="BT279" s="259"/>
      <c r="BU279" s="259"/>
      <c r="BV279" s="259"/>
      <c r="BW279" s="26"/>
      <c r="BX279" s="257"/>
      <c r="BY279" s="259"/>
      <c r="BZ279" s="259"/>
      <c r="CA279" s="259"/>
    </row>
    <row r="280" spans="1:79" ht="12.75">
      <c r="A280" s="10"/>
      <c r="B280" s="10"/>
      <c r="C280" s="10"/>
      <c r="D280" s="10"/>
      <c r="E280" s="10"/>
      <c r="F280" s="10"/>
      <c r="G280" s="10"/>
      <c r="H280" s="10"/>
      <c r="I280" s="10"/>
      <c r="J280" s="10"/>
      <c r="K280" s="10"/>
      <c r="L280" s="10"/>
      <c r="O280" s="244"/>
      <c r="P280" s="563"/>
      <c r="Q280" s="259"/>
      <c r="R280" s="563"/>
      <c r="S280" s="25"/>
      <c r="T280" s="244"/>
      <c r="U280" s="563"/>
      <c r="V280" s="259"/>
      <c r="W280" s="563"/>
      <c r="X280" s="26"/>
      <c r="Y280" s="244"/>
      <c r="Z280" s="563"/>
      <c r="AA280" s="259"/>
      <c r="AB280" s="563"/>
      <c r="AC280" s="37"/>
      <c r="AD280" s="244"/>
      <c r="AE280" s="563"/>
      <c r="AF280" s="259"/>
      <c r="AG280" s="563"/>
      <c r="AH280" s="37"/>
      <c r="AI280" s="244"/>
      <c r="AJ280" s="563"/>
      <c r="AK280" s="259"/>
      <c r="AL280" s="563"/>
      <c r="AM280" s="37"/>
      <c r="AN280" s="544"/>
      <c r="AO280" s="544"/>
      <c r="AP280" s="544"/>
      <c r="AQ280" s="544"/>
      <c r="BB280" s="344" t="s">
        <v>1109</v>
      </c>
      <c r="BC280" s="345">
        <v>0.2</v>
      </c>
      <c r="BD280" s="343"/>
      <c r="BE280" s="209"/>
      <c r="BF280" s="343"/>
      <c r="BS280" s="257"/>
      <c r="BT280" s="259"/>
      <c r="BU280" s="259"/>
      <c r="BV280" s="259"/>
      <c r="BW280" s="26"/>
      <c r="BX280" s="257"/>
      <c r="BY280" s="259"/>
      <c r="BZ280" s="259"/>
      <c r="CA280" s="259"/>
    </row>
    <row r="281" spans="1:79" ht="12.75">
      <c r="A281" s="10"/>
      <c r="B281" s="10"/>
      <c r="C281" s="10"/>
      <c r="D281" s="10"/>
      <c r="E281" s="10"/>
      <c r="F281" s="10"/>
      <c r="G281" s="10"/>
      <c r="H281" s="10"/>
      <c r="I281" s="10"/>
      <c r="J281" s="10"/>
      <c r="K281" s="10"/>
      <c r="L281" s="10"/>
      <c r="O281" s="244"/>
      <c r="P281" s="563"/>
      <c r="Q281" s="259"/>
      <c r="R281" s="563"/>
      <c r="S281" s="25"/>
      <c r="T281" s="244"/>
      <c r="U281" s="563"/>
      <c r="V281" s="259"/>
      <c r="W281" s="563"/>
      <c r="X281" s="26"/>
      <c r="Y281" s="244"/>
      <c r="Z281" s="563"/>
      <c r="AA281" s="259"/>
      <c r="AB281" s="563"/>
      <c r="AC281" s="37"/>
      <c r="AD281" s="244"/>
      <c r="AE281" s="563"/>
      <c r="AF281" s="259"/>
      <c r="AG281" s="563"/>
      <c r="AH281" s="37"/>
      <c r="AI281" s="244"/>
      <c r="AJ281" s="563"/>
      <c r="AK281" s="259"/>
      <c r="AL281" s="563"/>
      <c r="AM281" s="37"/>
      <c r="AN281" s="544"/>
      <c r="AO281" s="544"/>
      <c r="AP281" s="544"/>
      <c r="AQ281" s="544"/>
      <c r="BB281" s="344" t="s">
        <v>1108</v>
      </c>
      <c r="BC281" s="345">
        <v>0.755</v>
      </c>
      <c r="BD281" s="343"/>
      <c r="BE281" s="209"/>
      <c r="BF281" s="343"/>
      <c r="BS281" s="257"/>
      <c r="BT281" s="259"/>
      <c r="BU281" s="259"/>
      <c r="BV281" s="259"/>
      <c r="BW281" s="26"/>
      <c r="BX281" s="257"/>
      <c r="BY281" s="259"/>
      <c r="BZ281" s="259"/>
      <c r="CA281" s="259"/>
    </row>
    <row r="282" spans="1:79" ht="12.75">
      <c r="A282" s="10"/>
      <c r="B282" s="10"/>
      <c r="C282" s="10"/>
      <c r="D282" s="10"/>
      <c r="E282" s="10"/>
      <c r="F282" s="10"/>
      <c r="G282" s="10"/>
      <c r="H282" s="10"/>
      <c r="I282" s="10"/>
      <c r="J282" s="10"/>
      <c r="K282" s="10"/>
      <c r="L282" s="10"/>
      <c r="O282" s="244"/>
      <c r="P282" s="563"/>
      <c r="Q282" s="259"/>
      <c r="R282" s="563"/>
      <c r="S282" s="25"/>
      <c r="T282" s="244"/>
      <c r="U282" s="563"/>
      <c r="V282" s="259"/>
      <c r="W282" s="563"/>
      <c r="X282" s="26"/>
      <c r="Y282" s="244"/>
      <c r="Z282" s="563"/>
      <c r="AA282" s="259"/>
      <c r="AB282" s="563"/>
      <c r="AC282" s="37"/>
      <c r="AD282" s="244"/>
      <c r="AE282" s="563"/>
      <c r="AF282" s="259"/>
      <c r="AG282" s="563"/>
      <c r="AH282" s="37"/>
      <c r="AI282" s="244"/>
      <c r="AJ282" s="563"/>
      <c r="AK282" s="259"/>
      <c r="AL282" s="563"/>
      <c r="AM282" s="37"/>
      <c r="AN282" s="544"/>
      <c r="AO282" s="544"/>
      <c r="AP282" s="544"/>
      <c r="AQ282" s="544"/>
      <c r="BB282" s="344" t="s">
        <v>1107</v>
      </c>
      <c r="BC282" s="345">
        <v>0.68</v>
      </c>
      <c r="BD282" s="343"/>
      <c r="BE282" s="209"/>
      <c r="BF282" s="343"/>
      <c r="BS282" s="257"/>
      <c r="BT282" s="259"/>
      <c r="BU282" s="259"/>
      <c r="BV282" s="259"/>
      <c r="BW282" s="26"/>
      <c r="BX282" s="257"/>
      <c r="BY282" s="259"/>
      <c r="BZ282" s="259"/>
      <c r="CA282" s="259"/>
    </row>
    <row r="283" spans="1:79" ht="12.75">
      <c r="A283" s="10"/>
      <c r="B283" s="10"/>
      <c r="C283" s="10"/>
      <c r="D283" s="10"/>
      <c r="E283" s="10"/>
      <c r="F283" s="10"/>
      <c r="G283" s="10"/>
      <c r="H283" s="10"/>
      <c r="I283" s="10"/>
      <c r="J283" s="10"/>
      <c r="K283" s="10"/>
      <c r="L283" s="10"/>
      <c r="O283" s="244"/>
      <c r="P283" s="563"/>
      <c r="Q283" s="259"/>
      <c r="R283" s="563"/>
      <c r="S283" s="25"/>
      <c r="T283" s="244"/>
      <c r="U283" s="563"/>
      <c r="V283" s="259"/>
      <c r="W283" s="563"/>
      <c r="X283" s="26"/>
      <c r="Y283" s="244"/>
      <c r="Z283" s="563"/>
      <c r="AA283" s="259"/>
      <c r="AB283" s="563"/>
      <c r="AC283" s="37"/>
      <c r="AD283" s="244"/>
      <c r="AE283" s="563"/>
      <c r="AF283" s="259"/>
      <c r="AG283" s="563"/>
      <c r="AH283" s="37"/>
      <c r="AI283" s="244"/>
      <c r="AJ283" s="563"/>
      <c r="AK283" s="259"/>
      <c r="AL283" s="563"/>
      <c r="AM283" s="37"/>
      <c r="AN283" s="544"/>
      <c r="AO283" s="544"/>
      <c r="AP283" s="544"/>
      <c r="AQ283" s="544"/>
      <c r="BB283" s="344" t="s">
        <v>1106</v>
      </c>
      <c r="BC283" s="345">
        <v>0.605</v>
      </c>
      <c r="BD283" s="343"/>
      <c r="BE283" s="209"/>
      <c r="BF283" s="343"/>
      <c r="BS283" s="257"/>
      <c r="BT283" s="259"/>
      <c r="BU283" s="259"/>
      <c r="BV283" s="259"/>
      <c r="BW283" s="26"/>
      <c r="BX283" s="257"/>
      <c r="BY283" s="259"/>
      <c r="BZ283" s="259"/>
      <c r="CA283" s="259"/>
    </row>
    <row r="284" spans="1:79" ht="12.75">
      <c r="A284" s="10"/>
      <c r="B284" s="10"/>
      <c r="C284" s="10"/>
      <c r="D284" s="10"/>
      <c r="E284" s="10"/>
      <c r="F284" s="10"/>
      <c r="G284" s="10"/>
      <c r="H284" s="10"/>
      <c r="I284" s="10"/>
      <c r="J284" s="10"/>
      <c r="K284" s="10"/>
      <c r="L284" s="10"/>
      <c r="O284" s="244"/>
      <c r="P284" s="563"/>
      <c r="Q284" s="259"/>
      <c r="R284" s="563"/>
      <c r="S284" s="25"/>
      <c r="T284" s="244"/>
      <c r="U284" s="563"/>
      <c r="V284" s="259"/>
      <c r="W284" s="563"/>
      <c r="X284" s="26"/>
      <c r="Y284" s="244"/>
      <c r="Z284" s="563"/>
      <c r="AA284" s="259"/>
      <c r="AB284" s="563"/>
      <c r="AC284" s="37"/>
      <c r="AD284" s="244"/>
      <c r="AE284" s="563"/>
      <c r="AF284" s="259"/>
      <c r="AG284" s="563"/>
      <c r="AH284" s="37"/>
      <c r="AI284" s="244"/>
      <c r="AJ284" s="563"/>
      <c r="AK284" s="259"/>
      <c r="AL284" s="563"/>
      <c r="AM284" s="37"/>
      <c r="AN284" s="544"/>
      <c r="AO284" s="544"/>
      <c r="AP284" s="544"/>
      <c r="AQ284" s="544"/>
      <c r="BB284" s="344" t="s">
        <v>1105</v>
      </c>
      <c r="BC284" s="345">
        <v>0.53</v>
      </c>
      <c r="BD284" s="343"/>
      <c r="BE284" s="209"/>
      <c r="BF284" s="343"/>
      <c r="BS284" s="257"/>
      <c r="BT284" s="259"/>
      <c r="BU284" s="259"/>
      <c r="BV284" s="259"/>
      <c r="BW284" s="26"/>
      <c r="BX284" s="257"/>
      <c r="BY284" s="259"/>
      <c r="BZ284" s="259"/>
      <c r="CA284" s="259"/>
    </row>
    <row r="285" spans="1:79" ht="12.75">
      <c r="A285" s="10"/>
      <c r="B285" s="10"/>
      <c r="C285" s="10"/>
      <c r="D285" s="10"/>
      <c r="E285" s="10"/>
      <c r="F285" s="10"/>
      <c r="G285" s="10"/>
      <c r="H285" s="10"/>
      <c r="I285" s="10"/>
      <c r="J285" s="10"/>
      <c r="K285" s="10"/>
      <c r="L285" s="10"/>
      <c r="O285" s="244"/>
      <c r="P285" s="563"/>
      <c r="Q285" s="259"/>
      <c r="R285" s="563"/>
      <c r="S285" s="25"/>
      <c r="T285" s="244"/>
      <c r="U285" s="563"/>
      <c r="V285" s="259"/>
      <c r="W285" s="563"/>
      <c r="X285" s="26"/>
      <c r="Y285" s="244"/>
      <c r="Z285" s="563"/>
      <c r="AA285" s="259"/>
      <c r="AB285" s="563"/>
      <c r="AC285" s="37"/>
      <c r="AD285" s="244"/>
      <c r="AE285" s="563"/>
      <c r="AF285" s="259"/>
      <c r="AG285" s="563"/>
      <c r="AH285" s="37"/>
      <c r="AI285" s="244"/>
      <c r="AJ285" s="563"/>
      <c r="AK285" s="259"/>
      <c r="AL285" s="563"/>
      <c r="AM285" s="37"/>
      <c r="AN285" s="544"/>
      <c r="AO285" s="544"/>
      <c r="AP285" s="544"/>
      <c r="AQ285" s="544"/>
      <c r="BB285" s="344" t="s">
        <v>1104</v>
      </c>
      <c r="BC285" s="345">
        <v>0.47</v>
      </c>
      <c r="BD285" s="343"/>
      <c r="BE285" s="209"/>
      <c r="BF285" s="343"/>
      <c r="BS285" s="257"/>
      <c r="BT285" s="259"/>
      <c r="BU285" s="259"/>
      <c r="BV285" s="259"/>
      <c r="BW285" s="26"/>
      <c r="BX285" s="257"/>
      <c r="BY285" s="259"/>
      <c r="BZ285" s="259"/>
      <c r="CA285" s="259"/>
    </row>
    <row r="286" spans="1:79" ht="12.75">
      <c r="A286" s="10"/>
      <c r="B286" s="10"/>
      <c r="C286" s="10"/>
      <c r="D286" s="10"/>
      <c r="E286" s="10"/>
      <c r="F286" s="10"/>
      <c r="G286" s="10"/>
      <c r="H286" s="10"/>
      <c r="I286" s="10"/>
      <c r="J286" s="10"/>
      <c r="K286" s="10"/>
      <c r="L286" s="10"/>
      <c r="O286" s="244"/>
      <c r="P286" s="563"/>
      <c r="Q286" s="259"/>
      <c r="R286" s="563"/>
      <c r="S286" s="10"/>
      <c r="T286" s="244"/>
      <c r="U286" s="563"/>
      <c r="V286" s="259"/>
      <c r="W286" s="563"/>
      <c r="X286" s="544"/>
      <c r="Y286" s="244"/>
      <c r="Z286" s="563"/>
      <c r="AA286" s="259"/>
      <c r="AB286" s="563"/>
      <c r="AC286" s="37"/>
      <c r="AD286" s="244"/>
      <c r="AE286" s="563"/>
      <c r="AF286" s="259"/>
      <c r="AG286" s="563"/>
      <c r="AH286" s="37"/>
      <c r="AI286" s="244"/>
      <c r="AJ286" s="563"/>
      <c r="AK286" s="259"/>
      <c r="AL286" s="563"/>
      <c r="AM286" s="37"/>
      <c r="AN286" s="544"/>
      <c r="AO286" s="544"/>
      <c r="AP286" s="544"/>
      <c r="AQ286" s="544"/>
      <c r="BB286" s="344" t="s">
        <v>1103</v>
      </c>
      <c r="BC286" s="345">
        <v>0.42</v>
      </c>
      <c r="BD286" s="343"/>
      <c r="BE286" s="209"/>
      <c r="BF286" s="343"/>
      <c r="BS286" s="257"/>
      <c r="BT286" s="259"/>
      <c r="BU286" s="259"/>
      <c r="BV286" s="259"/>
      <c r="BW286" s="26"/>
      <c r="BX286" s="257"/>
      <c r="BY286" s="259"/>
      <c r="BZ286" s="259"/>
      <c r="CA286" s="259"/>
    </row>
    <row r="287" spans="1:79" ht="12.75">
      <c r="A287" s="10"/>
      <c r="B287" s="10"/>
      <c r="C287" s="10"/>
      <c r="D287" s="10"/>
      <c r="E287" s="10"/>
      <c r="F287" s="10"/>
      <c r="G287" s="10"/>
      <c r="H287" s="10"/>
      <c r="I287" s="10"/>
      <c r="J287" s="10"/>
      <c r="K287" s="10"/>
      <c r="L287" s="10"/>
      <c r="O287" s="244"/>
      <c r="P287" s="563"/>
      <c r="Q287" s="259"/>
      <c r="R287" s="563"/>
      <c r="S287" s="37"/>
      <c r="T287" s="244"/>
      <c r="U287" s="563"/>
      <c r="V287" s="259"/>
      <c r="W287" s="563"/>
      <c r="X287" s="544"/>
      <c r="Y287" s="244"/>
      <c r="Z287" s="563"/>
      <c r="AA287" s="259"/>
      <c r="AB287" s="563"/>
      <c r="AC287" s="37"/>
      <c r="AD287" s="244"/>
      <c r="AE287" s="563"/>
      <c r="AF287" s="259"/>
      <c r="AG287" s="563"/>
      <c r="AH287" s="37"/>
      <c r="AI287" s="244"/>
      <c r="AJ287" s="563"/>
      <c r="AK287" s="259"/>
      <c r="AL287" s="563"/>
      <c r="AM287" s="37"/>
      <c r="AN287" s="544"/>
      <c r="AO287" s="544"/>
      <c r="AP287" s="544"/>
      <c r="AQ287" s="544"/>
      <c r="BB287" s="344" t="s">
        <v>363</v>
      </c>
      <c r="BC287" s="345">
        <v>0.37</v>
      </c>
      <c r="BD287" s="343"/>
      <c r="BE287" s="209"/>
      <c r="BF287" s="343"/>
      <c r="BS287" s="257"/>
      <c r="BT287" s="259"/>
      <c r="BU287" s="259"/>
      <c r="BV287" s="259"/>
      <c r="BW287" s="26"/>
      <c r="BX287" s="257"/>
      <c r="BY287" s="259"/>
      <c r="BZ287" s="259"/>
      <c r="CA287" s="259"/>
    </row>
    <row r="288" spans="1:79" ht="12.75">
      <c r="A288" s="10"/>
      <c r="B288" s="10"/>
      <c r="C288" s="10"/>
      <c r="D288" s="10"/>
      <c r="E288" s="10"/>
      <c r="F288" s="10"/>
      <c r="G288" s="10"/>
      <c r="H288" s="10"/>
      <c r="I288" s="10"/>
      <c r="J288" s="10"/>
      <c r="K288" s="10"/>
      <c r="L288" s="10"/>
      <c r="O288" s="244"/>
      <c r="P288" s="557"/>
      <c r="Q288" s="560"/>
      <c r="R288" s="257"/>
      <c r="S288" s="37"/>
      <c r="T288" s="244"/>
      <c r="U288" s="557"/>
      <c r="V288" s="560"/>
      <c r="W288" s="257"/>
      <c r="X288" s="544"/>
      <c r="Y288" s="244"/>
      <c r="Z288" s="557"/>
      <c r="AA288" s="560"/>
      <c r="AB288" s="257"/>
      <c r="AC288" s="37"/>
      <c r="AD288" s="244"/>
      <c r="AE288" s="557"/>
      <c r="AF288" s="560"/>
      <c r="AG288" s="257"/>
      <c r="AH288" s="37"/>
      <c r="AI288" s="244"/>
      <c r="AJ288" s="557"/>
      <c r="AK288" s="560"/>
      <c r="AL288" s="257"/>
      <c r="AM288" s="37"/>
      <c r="AN288" s="544"/>
      <c r="AO288" s="544"/>
      <c r="AP288" s="544"/>
      <c r="AQ288" s="544"/>
      <c r="BB288" s="344" t="s">
        <v>360</v>
      </c>
      <c r="BC288" s="345">
        <v>0.34</v>
      </c>
      <c r="BD288" s="343"/>
      <c r="BE288" s="209"/>
      <c r="BF288" s="343"/>
      <c r="BS288" s="257"/>
      <c r="BT288" s="259"/>
      <c r="BU288" s="259"/>
      <c r="BV288" s="259"/>
      <c r="BW288" s="26"/>
      <c r="BX288" s="257"/>
      <c r="BY288" s="259"/>
      <c r="BZ288" s="259"/>
      <c r="CA288" s="259"/>
    </row>
    <row r="289" spans="1:79" ht="12.75">
      <c r="A289" s="10"/>
      <c r="B289" s="10"/>
      <c r="C289" s="10"/>
      <c r="D289" s="10"/>
      <c r="E289" s="10"/>
      <c r="F289" s="10"/>
      <c r="G289" s="10"/>
      <c r="H289" s="10"/>
      <c r="I289" s="10"/>
      <c r="J289" s="10"/>
      <c r="K289" s="10"/>
      <c r="L289" s="10"/>
      <c r="O289" s="244"/>
      <c r="P289" s="248"/>
      <c r="Q289" s="559"/>
      <c r="R289" s="563"/>
      <c r="S289" s="37"/>
      <c r="T289" s="244"/>
      <c r="U289" s="248"/>
      <c r="V289" s="559"/>
      <c r="W289" s="563"/>
      <c r="X289" s="544"/>
      <c r="Y289" s="244"/>
      <c r="Z289" s="248"/>
      <c r="AA289" s="559"/>
      <c r="AB289" s="563"/>
      <c r="AC289" s="37"/>
      <c r="AD289" s="244"/>
      <c r="AE289" s="248"/>
      <c r="AF289" s="559"/>
      <c r="AG289" s="563"/>
      <c r="AH289" s="37"/>
      <c r="AI289" s="244"/>
      <c r="AJ289" s="248"/>
      <c r="AK289" s="559"/>
      <c r="AL289" s="563"/>
      <c r="AM289" s="37"/>
      <c r="AN289" s="544"/>
      <c r="AO289" s="544"/>
      <c r="AP289" s="544"/>
      <c r="AQ289" s="544"/>
      <c r="BB289" s="344" t="s">
        <v>359</v>
      </c>
      <c r="BC289" s="345">
        <v>0.35</v>
      </c>
      <c r="BD289" s="343"/>
      <c r="BE289" s="209"/>
      <c r="BF289" s="343"/>
      <c r="BS289" s="257"/>
      <c r="BT289" s="259"/>
      <c r="BU289" s="259"/>
      <c r="BV289" s="259"/>
      <c r="BW289" s="26"/>
      <c r="BX289" s="257"/>
      <c r="BY289" s="259"/>
      <c r="BZ289" s="259"/>
      <c r="CA289" s="259"/>
    </row>
    <row r="290" spans="1:79" ht="12.75">
      <c r="A290" s="10"/>
      <c r="B290" s="10"/>
      <c r="C290" s="10"/>
      <c r="D290" s="10"/>
      <c r="E290" s="10"/>
      <c r="F290" s="10"/>
      <c r="G290" s="10"/>
      <c r="H290" s="10"/>
      <c r="I290" s="10"/>
      <c r="J290" s="10"/>
      <c r="K290" s="10"/>
      <c r="L290" s="10"/>
      <c r="O290" s="557"/>
      <c r="P290" s="249"/>
      <c r="Q290" s="259"/>
      <c r="R290" s="267"/>
      <c r="S290" s="37"/>
      <c r="T290" s="557"/>
      <c r="U290" s="249"/>
      <c r="V290" s="259"/>
      <c r="W290" s="267"/>
      <c r="X290" s="544"/>
      <c r="Y290" s="557"/>
      <c r="Z290" s="249"/>
      <c r="AA290" s="259"/>
      <c r="AB290" s="267"/>
      <c r="AC290" s="37"/>
      <c r="AD290" s="557"/>
      <c r="AE290" s="249"/>
      <c r="AF290" s="259"/>
      <c r="AG290" s="267"/>
      <c r="AH290" s="37"/>
      <c r="AI290" s="557"/>
      <c r="AJ290" s="249"/>
      <c r="AK290" s="259"/>
      <c r="AL290" s="267"/>
      <c r="AM290" s="37"/>
      <c r="AN290" s="544"/>
      <c r="AO290" s="544"/>
      <c r="AP290" s="544"/>
      <c r="AQ290" s="544"/>
      <c r="BB290" s="344" t="s">
        <v>358</v>
      </c>
      <c r="BC290" s="345">
        <v>0.315</v>
      </c>
      <c r="BD290" s="343"/>
      <c r="BE290" s="209"/>
      <c r="BF290" s="343"/>
      <c r="BS290" s="257"/>
      <c r="BT290" s="259"/>
      <c r="BU290" s="259"/>
      <c r="BV290" s="259"/>
      <c r="BW290" s="26"/>
      <c r="BX290" s="257"/>
      <c r="BY290" s="259"/>
      <c r="BZ290" s="259"/>
      <c r="CA290" s="259"/>
    </row>
    <row r="291" spans="1:79" ht="12.75">
      <c r="A291" s="10"/>
      <c r="B291" s="10"/>
      <c r="C291" s="10"/>
      <c r="D291" s="10"/>
      <c r="E291" s="10"/>
      <c r="F291" s="10"/>
      <c r="G291" s="10"/>
      <c r="H291" s="10"/>
      <c r="I291" s="10"/>
      <c r="J291" s="10"/>
      <c r="K291" s="10"/>
      <c r="L291" s="10"/>
      <c r="O291" s="558"/>
      <c r="P291" s="248"/>
      <c r="Q291" s="564"/>
      <c r="R291" s="563"/>
      <c r="S291" s="37"/>
      <c r="T291" s="558"/>
      <c r="U291" s="248"/>
      <c r="V291" s="564"/>
      <c r="W291" s="563"/>
      <c r="X291" s="544"/>
      <c r="Y291" s="558"/>
      <c r="Z291" s="248"/>
      <c r="AA291" s="564"/>
      <c r="AB291" s="563"/>
      <c r="AC291" s="37"/>
      <c r="AD291" s="558"/>
      <c r="AE291" s="248"/>
      <c r="AF291" s="564"/>
      <c r="AG291" s="563"/>
      <c r="AH291" s="37"/>
      <c r="AI291" s="558"/>
      <c r="AJ291" s="248"/>
      <c r="AK291" s="564"/>
      <c r="AL291" s="563"/>
      <c r="AM291" s="37"/>
      <c r="AN291" s="544"/>
      <c r="AO291" s="544"/>
      <c r="AP291" s="544"/>
      <c r="AQ291" s="544"/>
      <c r="BB291" s="344" t="s">
        <v>357</v>
      </c>
      <c r="BC291" s="345">
        <v>0.29</v>
      </c>
      <c r="BD291" s="343"/>
      <c r="BE291" s="209"/>
      <c r="BF291" s="343"/>
      <c r="BS291" s="257"/>
      <c r="BT291" s="259"/>
      <c r="BU291" s="259"/>
      <c r="BV291" s="259"/>
      <c r="BW291" s="26"/>
      <c r="BX291" s="257"/>
      <c r="BY291" s="259"/>
      <c r="BZ291" s="259"/>
      <c r="CA291" s="259"/>
    </row>
    <row r="292" spans="1:79" ht="12.75">
      <c r="A292" s="10"/>
      <c r="B292" s="10"/>
      <c r="C292" s="10"/>
      <c r="D292" s="10"/>
      <c r="E292" s="10"/>
      <c r="F292" s="10"/>
      <c r="G292" s="10"/>
      <c r="H292" s="10"/>
      <c r="I292" s="10"/>
      <c r="J292" s="10"/>
      <c r="K292" s="10"/>
      <c r="L292" s="10"/>
      <c r="O292" s="37"/>
      <c r="P292" s="37"/>
      <c r="Q292" s="37"/>
      <c r="R292" s="37"/>
      <c r="S292" s="37"/>
      <c r="T292" s="37"/>
      <c r="U292" s="544"/>
      <c r="V292" s="544"/>
      <c r="W292" s="544"/>
      <c r="X292" s="544"/>
      <c r="Y292" s="544"/>
      <c r="Z292" s="544"/>
      <c r="AA292" s="544"/>
      <c r="AB292" s="544"/>
      <c r="AC292" s="544"/>
      <c r="AD292" s="544"/>
      <c r="AE292" s="544"/>
      <c r="AF292" s="544"/>
      <c r="AG292" s="544"/>
      <c r="AH292" s="544"/>
      <c r="AI292" s="544"/>
      <c r="AJ292" s="544"/>
      <c r="AK292" s="544"/>
      <c r="AL292" s="544"/>
      <c r="AM292" s="544"/>
      <c r="AN292" s="544"/>
      <c r="AO292" s="544"/>
      <c r="AP292" s="544"/>
      <c r="AQ292" s="544"/>
      <c r="BB292" s="344" t="s">
        <v>90</v>
      </c>
      <c r="BC292" s="345">
        <v>0.3</v>
      </c>
      <c r="BD292" s="343"/>
      <c r="BE292" s="209"/>
      <c r="BF292" s="343"/>
      <c r="BS292" s="257"/>
      <c r="BT292" s="259"/>
      <c r="BU292" s="259"/>
      <c r="BV292" s="259"/>
      <c r="BW292" s="26"/>
      <c r="BX292" s="257"/>
      <c r="BY292" s="259"/>
      <c r="BZ292" s="259"/>
      <c r="CA292" s="259"/>
    </row>
    <row r="293" spans="1:79" ht="12.75">
      <c r="A293" s="10"/>
      <c r="B293" s="10"/>
      <c r="C293" s="10"/>
      <c r="D293" s="10"/>
      <c r="E293" s="10"/>
      <c r="F293" s="10"/>
      <c r="G293" s="10"/>
      <c r="H293" s="10"/>
      <c r="I293" s="10"/>
      <c r="J293" s="10"/>
      <c r="K293" s="10"/>
      <c r="L293" s="10"/>
      <c r="O293" s="204"/>
      <c r="P293" s="37"/>
      <c r="Q293" s="37"/>
      <c r="R293" s="37"/>
      <c r="S293" s="37"/>
      <c r="T293" s="204"/>
      <c r="U293" s="37"/>
      <c r="V293" s="37"/>
      <c r="W293" s="37"/>
      <c r="X293" s="10"/>
      <c r="Y293" s="204"/>
      <c r="Z293" s="37"/>
      <c r="AA293" s="37"/>
      <c r="AB293" s="37"/>
      <c r="AC293" s="10"/>
      <c r="AD293" s="204"/>
      <c r="AE293" s="37"/>
      <c r="AF293" s="37"/>
      <c r="AG293" s="37"/>
      <c r="AH293" s="10"/>
      <c r="AI293" s="204"/>
      <c r="AJ293" s="37"/>
      <c r="AK293" s="37"/>
      <c r="AL293" s="37"/>
      <c r="AM293" s="544"/>
      <c r="AN293" s="204"/>
      <c r="AO293" s="37"/>
      <c r="AP293" s="561"/>
      <c r="AQ293" s="562"/>
      <c r="BB293" s="344" t="s">
        <v>89</v>
      </c>
      <c r="BC293" s="345">
        <v>0.26</v>
      </c>
      <c r="BD293" s="343"/>
      <c r="BE293" s="209"/>
      <c r="BF293" s="343"/>
      <c r="BS293" s="257"/>
      <c r="BT293" s="259"/>
      <c r="BU293" s="259"/>
      <c r="BV293" s="259"/>
      <c r="BW293" s="26"/>
      <c r="BX293" s="257"/>
      <c r="BY293" s="259"/>
      <c r="BZ293" s="259"/>
      <c r="CA293" s="259"/>
    </row>
    <row r="294" spans="1:79" ht="12.75">
      <c r="A294" s="10"/>
      <c r="B294" s="10"/>
      <c r="C294" s="10"/>
      <c r="D294" s="10"/>
      <c r="E294" s="10"/>
      <c r="F294" s="10"/>
      <c r="G294" s="10"/>
      <c r="H294" s="10"/>
      <c r="I294" s="10"/>
      <c r="J294" s="10"/>
      <c r="K294" s="10"/>
      <c r="L294" s="10"/>
      <c r="O294" s="252"/>
      <c r="P294" s="250"/>
      <c r="Q294" s="250"/>
      <c r="R294" s="250"/>
      <c r="S294" s="37"/>
      <c r="T294" s="252"/>
      <c r="U294" s="250"/>
      <c r="V294" s="250"/>
      <c r="W294" s="250"/>
      <c r="X294" s="10"/>
      <c r="Y294" s="252"/>
      <c r="Z294" s="250"/>
      <c r="AA294" s="250"/>
      <c r="AB294" s="250"/>
      <c r="AC294" s="10"/>
      <c r="AD294" s="252"/>
      <c r="AE294" s="250"/>
      <c r="AF294" s="250"/>
      <c r="AG294" s="250"/>
      <c r="AH294" s="10"/>
      <c r="AI294" s="252"/>
      <c r="AJ294" s="250"/>
      <c r="AK294" s="250"/>
      <c r="AL294" s="250"/>
      <c r="AM294" s="544"/>
      <c r="AN294" s="252"/>
      <c r="AO294" s="250"/>
      <c r="AP294" s="250"/>
      <c r="AQ294" s="250"/>
      <c r="BB294" s="344" t="s">
        <v>465</v>
      </c>
      <c r="BC294" s="345">
        <v>0.24</v>
      </c>
      <c r="BD294" s="343"/>
      <c r="BE294" s="209"/>
      <c r="BF294" s="343"/>
      <c r="BS294" s="257"/>
      <c r="BT294" s="259"/>
      <c r="BU294" s="259"/>
      <c r="BV294" s="259"/>
      <c r="BW294" s="26"/>
      <c r="BX294" s="257"/>
      <c r="BY294" s="259"/>
      <c r="BZ294" s="259"/>
      <c r="CA294" s="259"/>
    </row>
    <row r="295" spans="1:79" ht="12.75">
      <c r="A295" s="10"/>
      <c r="B295" s="10"/>
      <c r="C295" s="10"/>
      <c r="D295" s="10"/>
      <c r="E295" s="10"/>
      <c r="F295" s="10"/>
      <c r="G295" s="10"/>
      <c r="H295" s="10"/>
      <c r="I295" s="10"/>
      <c r="J295" s="10"/>
      <c r="K295" s="10"/>
      <c r="L295" s="10"/>
      <c r="O295" s="557"/>
      <c r="P295" s="248"/>
      <c r="Q295" s="249"/>
      <c r="R295" s="248"/>
      <c r="S295" s="37"/>
      <c r="T295" s="557"/>
      <c r="U295" s="248"/>
      <c r="V295" s="249"/>
      <c r="W295" s="248"/>
      <c r="X295" s="10"/>
      <c r="Y295" s="557"/>
      <c r="Z295" s="248"/>
      <c r="AA295" s="249"/>
      <c r="AB295" s="248"/>
      <c r="AC295" s="10"/>
      <c r="AD295" s="557"/>
      <c r="AE295" s="248"/>
      <c r="AF295" s="249"/>
      <c r="AG295" s="248"/>
      <c r="AH295" s="10"/>
      <c r="AI295" s="557"/>
      <c r="AJ295" s="248"/>
      <c r="AK295" s="249"/>
      <c r="AL295" s="248"/>
      <c r="AM295" s="544"/>
      <c r="AN295" s="557"/>
      <c r="AO295" s="248"/>
      <c r="AP295" s="249"/>
      <c r="AQ295" s="248"/>
      <c r="BB295" s="344" t="s">
        <v>464</v>
      </c>
      <c r="BC295" s="345">
        <v>0.25</v>
      </c>
      <c r="BD295" s="343"/>
      <c r="BE295" s="209"/>
      <c r="BF295" s="343"/>
      <c r="BS295" s="257"/>
      <c r="BT295" s="259"/>
      <c r="BU295" s="259"/>
      <c r="BV295" s="259"/>
      <c r="BW295" s="26"/>
      <c r="BX295" s="257"/>
      <c r="BY295" s="259"/>
      <c r="BZ295" s="259"/>
      <c r="CA295" s="259"/>
    </row>
    <row r="296" spans="1:79" ht="12.75">
      <c r="A296" s="10"/>
      <c r="B296" s="10"/>
      <c r="C296" s="10"/>
      <c r="D296" s="10"/>
      <c r="E296" s="10"/>
      <c r="F296" s="10"/>
      <c r="G296" s="10"/>
      <c r="H296" s="10"/>
      <c r="I296" s="10"/>
      <c r="J296" s="10"/>
      <c r="K296" s="10"/>
      <c r="L296" s="10"/>
      <c r="O296" s="557"/>
      <c r="P296" s="244"/>
      <c r="Q296" s="244"/>
      <c r="R296" s="558"/>
      <c r="S296" s="37"/>
      <c r="T296" s="557"/>
      <c r="U296" s="244"/>
      <c r="V296" s="244"/>
      <c r="W296" s="558"/>
      <c r="X296" s="10"/>
      <c r="Y296" s="557"/>
      <c r="Z296" s="244"/>
      <c r="AA296" s="244"/>
      <c r="AB296" s="558"/>
      <c r="AC296" s="10"/>
      <c r="AD296" s="557"/>
      <c r="AE296" s="244"/>
      <c r="AF296" s="244"/>
      <c r="AG296" s="558"/>
      <c r="AH296" s="10"/>
      <c r="AI296" s="557"/>
      <c r="AJ296" s="244"/>
      <c r="AK296" s="244"/>
      <c r="AL296" s="558"/>
      <c r="AM296" s="544"/>
      <c r="AN296" s="557"/>
      <c r="AO296" s="244"/>
      <c r="AP296" s="244"/>
      <c r="AQ296" s="558"/>
      <c r="BB296" s="344" t="s">
        <v>171</v>
      </c>
      <c r="BC296" s="345">
        <v>0.24</v>
      </c>
      <c r="BD296" s="343"/>
      <c r="BE296" s="209"/>
      <c r="BF296" s="343"/>
      <c r="BS296" s="257"/>
      <c r="BT296" s="259"/>
      <c r="BU296" s="259"/>
      <c r="BV296" s="259"/>
      <c r="BW296" s="26"/>
      <c r="BX296" s="257"/>
      <c r="BY296" s="259"/>
      <c r="BZ296" s="259"/>
      <c r="CA296" s="259"/>
    </row>
    <row r="297" spans="1:79" ht="12.75">
      <c r="A297" s="10"/>
      <c r="B297" s="10"/>
      <c r="C297" s="10"/>
      <c r="D297" s="10"/>
      <c r="E297" s="10"/>
      <c r="F297" s="10"/>
      <c r="G297" s="10"/>
      <c r="H297" s="10"/>
      <c r="I297" s="10"/>
      <c r="J297" s="10"/>
      <c r="K297" s="10"/>
      <c r="L297" s="10"/>
      <c r="O297" s="244"/>
      <c r="P297" s="559"/>
      <c r="Q297" s="259"/>
      <c r="R297" s="559"/>
      <c r="S297" s="37"/>
      <c r="T297" s="244"/>
      <c r="U297" s="559"/>
      <c r="V297" s="259"/>
      <c r="W297" s="559"/>
      <c r="X297" s="10"/>
      <c r="Y297" s="244"/>
      <c r="Z297" s="559"/>
      <c r="AA297" s="259"/>
      <c r="AB297" s="559"/>
      <c r="AC297" s="10"/>
      <c r="AD297" s="244"/>
      <c r="AE297" s="559"/>
      <c r="AF297" s="259"/>
      <c r="AG297" s="559"/>
      <c r="AH297" s="10"/>
      <c r="AI297" s="244"/>
      <c r="AJ297" s="559"/>
      <c r="AK297" s="259"/>
      <c r="AL297" s="559"/>
      <c r="AM297" s="544"/>
      <c r="AN297" s="244"/>
      <c r="AO297" s="559"/>
      <c r="AP297" s="259"/>
      <c r="AQ297" s="559"/>
      <c r="BB297" s="344" t="s">
        <v>170</v>
      </c>
      <c r="BC297" s="345">
        <v>0.23</v>
      </c>
      <c r="BD297" s="343"/>
      <c r="BE297" s="209"/>
      <c r="BF297" s="343"/>
      <c r="BS297" s="257"/>
      <c r="BT297" s="259"/>
      <c r="BU297" s="259"/>
      <c r="BV297" s="259"/>
      <c r="BW297" s="26"/>
      <c r="BX297" s="257"/>
      <c r="BY297" s="259"/>
      <c r="BZ297" s="259"/>
      <c r="CA297" s="259"/>
    </row>
    <row r="298" spans="1:79" ht="12.75">
      <c r="A298" s="10"/>
      <c r="B298" s="10"/>
      <c r="C298" s="10"/>
      <c r="D298" s="10"/>
      <c r="E298" s="10"/>
      <c r="F298" s="10"/>
      <c r="G298" s="10"/>
      <c r="H298" s="10"/>
      <c r="I298" s="10"/>
      <c r="J298" s="10"/>
      <c r="K298" s="10"/>
      <c r="L298" s="10"/>
      <c r="O298" s="244"/>
      <c r="P298" s="563"/>
      <c r="Q298" s="259"/>
      <c r="R298" s="563"/>
      <c r="S298" s="37"/>
      <c r="T298" s="244"/>
      <c r="U298" s="563"/>
      <c r="V298" s="259"/>
      <c r="W298" s="563"/>
      <c r="X298" s="10"/>
      <c r="Y298" s="244"/>
      <c r="Z298" s="563"/>
      <c r="AA298" s="259"/>
      <c r="AB298" s="563"/>
      <c r="AC298" s="10"/>
      <c r="AD298" s="244"/>
      <c r="AE298" s="563"/>
      <c r="AF298" s="259"/>
      <c r="AG298" s="563"/>
      <c r="AH298" s="10"/>
      <c r="AI298" s="244"/>
      <c r="AJ298" s="563"/>
      <c r="AK298" s="259"/>
      <c r="AL298" s="563"/>
      <c r="AM298" s="544"/>
      <c r="AN298" s="244"/>
      <c r="AO298" s="563"/>
      <c r="AP298" s="259"/>
      <c r="AQ298" s="563"/>
      <c r="BB298" s="344" t="s">
        <v>1123</v>
      </c>
      <c r="BC298" s="345">
        <v>0.19</v>
      </c>
      <c r="BD298" s="343"/>
      <c r="BE298" s="209"/>
      <c r="BF298" s="343"/>
      <c r="BS298" s="257"/>
      <c r="BT298" s="259"/>
      <c r="BU298" s="259"/>
      <c r="BV298" s="259"/>
      <c r="BW298" s="26"/>
      <c r="BX298" s="257"/>
      <c r="BY298" s="259"/>
      <c r="BZ298" s="259"/>
      <c r="CA298" s="259"/>
    </row>
    <row r="299" spans="1:79" ht="12.75">
      <c r="A299" s="276"/>
      <c r="B299" s="1"/>
      <c r="C299" s="1"/>
      <c r="D299" s="1"/>
      <c r="E299" s="1"/>
      <c r="F299" s="1"/>
      <c r="G299" s="1"/>
      <c r="H299" s="232"/>
      <c r="I299" s="2"/>
      <c r="J299" s="2"/>
      <c r="K299" s="2"/>
      <c r="L299" s="2"/>
      <c r="O299" s="244"/>
      <c r="P299" s="563"/>
      <c r="Q299" s="259"/>
      <c r="R299" s="563"/>
      <c r="S299" s="37"/>
      <c r="T299" s="244"/>
      <c r="U299" s="563"/>
      <c r="V299" s="259"/>
      <c r="W299" s="563"/>
      <c r="X299" s="10"/>
      <c r="Y299" s="244"/>
      <c r="Z299" s="563"/>
      <c r="AA299" s="259"/>
      <c r="AB299" s="563"/>
      <c r="AC299" s="10"/>
      <c r="AD299" s="244"/>
      <c r="AE299" s="563"/>
      <c r="AF299" s="259"/>
      <c r="AG299" s="563"/>
      <c r="AH299" s="10"/>
      <c r="AI299" s="244"/>
      <c r="AJ299" s="563"/>
      <c r="AK299" s="259"/>
      <c r="AL299" s="563"/>
      <c r="AM299" s="544"/>
      <c r="AN299" s="244"/>
      <c r="AO299" s="563"/>
      <c r="AP299" s="259"/>
      <c r="AQ299" s="563"/>
      <c r="BB299" s="344" t="s">
        <v>1122</v>
      </c>
      <c r="BC299" s="345">
        <v>0.57</v>
      </c>
      <c r="BD299" s="343"/>
      <c r="BE299" s="209"/>
      <c r="BF299" s="343"/>
      <c r="BS299" s="257"/>
      <c r="BT299" s="254"/>
      <c r="BU299" s="266"/>
      <c r="BV299" s="257"/>
      <c r="BW299" s="26"/>
      <c r="BX299" s="257"/>
      <c r="BY299" s="254"/>
      <c r="BZ299" s="266"/>
      <c r="CA299" s="257"/>
    </row>
    <row r="300" spans="1:79" ht="12.75">
      <c r="A300" s="10"/>
      <c r="B300" s="10"/>
      <c r="C300" s="10"/>
      <c r="D300" s="10"/>
      <c r="E300" s="10"/>
      <c r="F300" s="10"/>
      <c r="G300" s="10"/>
      <c r="H300" s="10"/>
      <c r="I300" s="10"/>
      <c r="J300" s="10"/>
      <c r="K300" s="10"/>
      <c r="L300" s="10"/>
      <c r="O300" s="244"/>
      <c r="P300" s="563"/>
      <c r="Q300" s="259"/>
      <c r="R300" s="563"/>
      <c r="S300" s="37"/>
      <c r="T300" s="244"/>
      <c r="U300" s="563"/>
      <c r="V300" s="259"/>
      <c r="W300" s="563"/>
      <c r="X300" s="10"/>
      <c r="Y300" s="244"/>
      <c r="Z300" s="563"/>
      <c r="AA300" s="259"/>
      <c r="AB300" s="563"/>
      <c r="AC300" s="10"/>
      <c r="AD300" s="244"/>
      <c r="AE300" s="563"/>
      <c r="AF300" s="259"/>
      <c r="AG300" s="563"/>
      <c r="AH300" s="10"/>
      <c r="AI300" s="244"/>
      <c r="AJ300" s="563"/>
      <c r="AK300" s="259"/>
      <c r="AL300" s="563"/>
      <c r="AM300" s="544"/>
      <c r="AN300" s="244"/>
      <c r="AO300" s="563"/>
      <c r="AP300" s="259"/>
      <c r="AQ300" s="563"/>
      <c r="BB300" s="344" t="s">
        <v>1121</v>
      </c>
      <c r="BC300" s="345">
        <v>0.51</v>
      </c>
      <c r="BD300" s="343"/>
      <c r="BE300" s="209"/>
      <c r="BF300" s="343"/>
      <c r="BS300" s="257"/>
      <c r="BT300" s="255"/>
      <c r="BU300" s="257"/>
      <c r="BV300" s="259"/>
      <c r="BW300" s="26"/>
      <c r="BX300" s="257"/>
      <c r="BY300" s="255"/>
      <c r="BZ300" s="257"/>
      <c r="CA300" s="259"/>
    </row>
    <row r="301" spans="15:79" ht="12.75">
      <c r="O301" s="244"/>
      <c r="P301" s="563"/>
      <c r="Q301" s="259"/>
      <c r="R301" s="563"/>
      <c r="S301" s="37"/>
      <c r="T301" s="244"/>
      <c r="U301" s="563"/>
      <c r="V301" s="259"/>
      <c r="W301" s="563"/>
      <c r="X301" s="10"/>
      <c r="Y301" s="244"/>
      <c r="Z301" s="563"/>
      <c r="AA301" s="259"/>
      <c r="AB301" s="563"/>
      <c r="AC301" s="10"/>
      <c r="AD301" s="244"/>
      <c r="AE301" s="563"/>
      <c r="AF301" s="259"/>
      <c r="AG301" s="563"/>
      <c r="AH301" s="10"/>
      <c r="AI301" s="244"/>
      <c r="AJ301" s="563"/>
      <c r="AK301" s="259"/>
      <c r="AL301" s="563"/>
      <c r="AM301" s="544"/>
      <c r="AN301" s="244"/>
      <c r="AO301" s="563"/>
      <c r="AP301" s="259"/>
      <c r="AQ301" s="563"/>
      <c r="BB301" s="344" t="s">
        <v>1120</v>
      </c>
      <c r="BC301" s="345">
        <v>0.4</v>
      </c>
      <c r="BD301" s="343"/>
      <c r="BE301" s="209"/>
      <c r="BF301" s="343"/>
      <c r="BS301" s="254"/>
      <c r="BT301" s="249"/>
      <c r="BU301" s="259"/>
      <c r="BV301" s="267"/>
      <c r="BW301" s="26"/>
      <c r="BX301" s="254"/>
      <c r="BY301" s="249"/>
      <c r="BZ301" s="259"/>
      <c r="CA301" s="267"/>
    </row>
    <row r="302" spans="15:79" ht="12.75">
      <c r="O302" s="244"/>
      <c r="P302" s="563"/>
      <c r="Q302" s="259"/>
      <c r="R302" s="563"/>
      <c r="S302" s="37"/>
      <c r="T302" s="244"/>
      <c r="U302" s="563"/>
      <c r="V302" s="259"/>
      <c r="W302" s="563"/>
      <c r="X302" s="10"/>
      <c r="Y302" s="244"/>
      <c r="Z302" s="563"/>
      <c r="AA302" s="259"/>
      <c r="AB302" s="563"/>
      <c r="AC302" s="10"/>
      <c r="AD302" s="244"/>
      <c r="AE302" s="563"/>
      <c r="AF302" s="259"/>
      <c r="AG302" s="563"/>
      <c r="AH302" s="10"/>
      <c r="AI302" s="244"/>
      <c r="AJ302" s="563"/>
      <c r="AK302" s="259"/>
      <c r="AL302" s="563"/>
      <c r="AM302" s="544"/>
      <c r="AN302" s="244"/>
      <c r="AO302" s="563"/>
      <c r="AP302" s="259"/>
      <c r="AQ302" s="563"/>
      <c r="BB302" s="344" t="s">
        <v>31</v>
      </c>
      <c r="BC302" s="345">
        <v>0.36</v>
      </c>
      <c r="BD302" s="343"/>
      <c r="BE302" s="209"/>
      <c r="BF302" s="343"/>
      <c r="BS302" s="258"/>
      <c r="BT302" s="255"/>
      <c r="BU302" s="268"/>
      <c r="BV302" s="259"/>
      <c r="BW302" s="26"/>
      <c r="BX302" s="258"/>
      <c r="BY302" s="255"/>
      <c r="BZ302" s="268"/>
      <c r="CA302" s="259"/>
    </row>
    <row r="303" spans="15:58" ht="12.75">
      <c r="O303" s="244"/>
      <c r="P303" s="563"/>
      <c r="Q303" s="259"/>
      <c r="R303" s="563"/>
      <c r="S303" s="37"/>
      <c r="T303" s="244"/>
      <c r="U303" s="563"/>
      <c r="V303" s="259"/>
      <c r="W303" s="563"/>
      <c r="X303" s="10"/>
      <c r="Y303" s="244"/>
      <c r="Z303" s="563"/>
      <c r="AA303" s="259"/>
      <c r="AB303" s="563"/>
      <c r="AC303" s="10"/>
      <c r="AD303" s="244"/>
      <c r="AE303" s="563"/>
      <c r="AF303" s="259"/>
      <c r="AG303" s="563"/>
      <c r="AH303" s="10"/>
      <c r="AI303" s="244"/>
      <c r="AJ303" s="563"/>
      <c r="AK303" s="259"/>
      <c r="AL303" s="563"/>
      <c r="AM303" s="544"/>
      <c r="AN303" s="244"/>
      <c r="AO303" s="563"/>
      <c r="AP303" s="259"/>
      <c r="AQ303" s="563"/>
      <c r="BB303" s="344" t="s">
        <v>30</v>
      </c>
      <c r="BC303" s="345">
        <v>0.31</v>
      </c>
      <c r="BD303" s="343"/>
      <c r="BE303" s="209"/>
      <c r="BF303" s="343"/>
    </row>
    <row r="304" spans="15:79" ht="12.75">
      <c r="O304" s="244"/>
      <c r="P304" s="563"/>
      <c r="Q304" s="259"/>
      <c r="R304" s="563"/>
      <c r="S304" s="37"/>
      <c r="T304" s="244"/>
      <c r="U304" s="563"/>
      <c r="V304" s="259"/>
      <c r="W304" s="563"/>
      <c r="X304" s="10"/>
      <c r="Y304" s="244"/>
      <c r="Z304" s="563"/>
      <c r="AA304" s="259"/>
      <c r="AB304" s="563"/>
      <c r="AC304" s="10"/>
      <c r="AD304" s="244"/>
      <c r="AE304" s="563"/>
      <c r="AF304" s="259"/>
      <c r="AG304" s="563"/>
      <c r="AH304" s="10"/>
      <c r="AI304" s="244"/>
      <c r="AJ304" s="563"/>
      <c r="AK304" s="259"/>
      <c r="AL304" s="563"/>
      <c r="AM304" s="544"/>
      <c r="AN304" s="244"/>
      <c r="AO304" s="563"/>
      <c r="AP304" s="259"/>
      <c r="AQ304" s="563"/>
      <c r="BB304" s="344" t="s">
        <v>29</v>
      </c>
      <c r="BC304" s="345">
        <v>0.285</v>
      </c>
      <c r="BD304" s="343"/>
      <c r="BE304" s="209"/>
      <c r="BF304" s="343"/>
      <c r="BS304" s="204"/>
      <c r="BT304" s="25"/>
      <c r="BU304" s="25"/>
      <c r="BV304" s="204"/>
      <c r="BW304" s="26"/>
      <c r="BX304" s="204"/>
      <c r="BY304" s="25"/>
      <c r="BZ304" s="25"/>
      <c r="CA304" s="204"/>
    </row>
    <row r="305" spans="15:79" ht="12.75">
      <c r="O305" s="244"/>
      <c r="P305" s="563"/>
      <c r="Q305" s="259"/>
      <c r="R305" s="563"/>
      <c r="S305" s="37"/>
      <c r="T305" s="244"/>
      <c r="U305" s="563"/>
      <c r="V305" s="259"/>
      <c r="W305" s="563"/>
      <c r="X305" s="10"/>
      <c r="Y305" s="244"/>
      <c r="Z305" s="563"/>
      <c r="AA305" s="259"/>
      <c r="AB305" s="563"/>
      <c r="AC305" s="10"/>
      <c r="AD305" s="244"/>
      <c r="AE305" s="563"/>
      <c r="AF305" s="259"/>
      <c r="AG305" s="563"/>
      <c r="AH305" s="10"/>
      <c r="AI305" s="244"/>
      <c r="AJ305" s="563"/>
      <c r="AK305" s="259"/>
      <c r="AL305" s="563"/>
      <c r="AM305" s="544"/>
      <c r="AN305" s="244"/>
      <c r="AO305" s="563"/>
      <c r="AP305" s="259"/>
      <c r="AQ305" s="563"/>
      <c r="BB305" s="344" t="s">
        <v>374</v>
      </c>
      <c r="BC305" s="345">
        <v>0.285</v>
      </c>
      <c r="BD305" s="343"/>
      <c r="BE305" s="209"/>
      <c r="BF305" s="343"/>
      <c r="BS305" s="252"/>
      <c r="BT305" s="253"/>
      <c r="BU305" s="253"/>
      <c r="BV305" s="253"/>
      <c r="BW305" s="26"/>
      <c r="BX305" s="252"/>
      <c r="BY305" s="253"/>
      <c r="BZ305" s="253"/>
      <c r="CA305" s="253"/>
    </row>
    <row r="306" spans="15:79" ht="12.75">
      <c r="O306" s="244"/>
      <c r="P306" s="563"/>
      <c r="Q306" s="259"/>
      <c r="R306" s="563"/>
      <c r="S306" s="37"/>
      <c r="T306" s="244"/>
      <c r="U306" s="563"/>
      <c r="V306" s="259"/>
      <c r="W306" s="563"/>
      <c r="X306" s="10"/>
      <c r="Y306" s="244"/>
      <c r="Z306" s="563"/>
      <c r="AA306" s="259"/>
      <c r="AB306" s="563"/>
      <c r="AC306" s="10"/>
      <c r="AD306" s="244"/>
      <c r="AE306" s="563"/>
      <c r="AF306" s="259"/>
      <c r="AG306" s="563"/>
      <c r="AH306" s="10"/>
      <c r="AI306" s="244"/>
      <c r="AJ306" s="563"/>
      <c r="AK306" s="259"/>
      <c r="AL306" s="563"/>
      <c r="AM306" s="544"/>
      <c r="AN306" s="244"/>
      <c r="AO306" s="563"/>
      <c r="AP306" s="259"/>
      <c r="AQ306" s="563"/>
      <c r="BB306" s="344" t="s">
        <v>303</v>
      </c>
      <c r="BC306" s="345">
        <v>0.245</v>
      </c>
      <c r="BD306" s="343"/>
      <c r="BE306" s="209"/>
      <c r="BF306" s="343"/>
      <c r="BS306" s="254"/>
      <c r="BT306" s="255"/>
      <c r="BU306" s="249"/>
      <c r="BV306" s="255"/>
      <c r="BW306" s="26"/>
      <c r="BX306" s="254"/>
      <c r="BY306" s="255"/>
      <c r="BZ306" s="249"/>
      <c r="CA306" s="255"/>
    </row>
    <row r="307" spans="15:79" ht="12.75">
      <c r="O307" s="244"/>
      <c r="P307" s="563"/>
      <c r="Q307" s="259"/>
      <c r="R307" s="563"/>
      <c r="S307" s="37"/>
      <c r="T307" s="244"/>
      <c r="U307" s="563"/>
      <c r="V307" s="259"/>
      <c r="W307" s="563"/>
      <c r="X307" s="10"/>
      <c r="Y307" s="244"/>
      <c r="Z307" s="563"/>
      <c r="AA307" s="259"/>
      <c r="AB307" s="563"/>
      <c r="AC307" s="10"/>
      <c r="AD307" s="244"/>
      <c r="AE307" s="563"/>
      <c r="AF307" s="259"/>
      <c r="AG307" s="563"/>
      <c r="AH307" s="10"/>
      <c r="AI307" s="244"/>
      <c r="AJ307" s="563"/>
      <c r="AK307" s="259"/>
      <c r="AL307" s="563"/>
      <c r="AM307" s="544"/>
      <c r="AN307" s="244"/>
      <c r="AO307" s="563"/>
      <c r="AP307" s="259"/>
      <c r="AQ307" s="563"/>
      <c r="BB307" s="344" t="s">
        <v>302</v>
      </c>
      <c r="BC307" s="345">
        <v>0.25</v>
      </c>
      <c r="BD307" s="343"/>
      <c r="BE307" s="209"/>
      <c r="BF307" s="343"/>
      <c r="BS307" s="254"/>
      <c r="BT307" s="257"/>
      <c r="BU307" s="257"/>
      <c r="BV307" s="258"/>
      <c r="BW307" s="26"/>
      <c r="BX307" s="254"/>
      <c r="BY307" s="257"/>
      <c r="BZ307" s="257"/>
      <c r="CA307" s="258"/>
    </row>
    <row r="308" spans="15:79" ht="12.75">
      <c r="O308" s="244"/>
      <c r="P308" s="563"/>
      <c r="Q308" s="259"/>
      <c r="R308" s="563"/>
      <c r="S308" s="37"/>
      <c r="T308" s="244"/>
      <c r="U308" s="563"/>
      <c r="V308" s="259"/>
      <c r="W308" s="563"/>
      <c r="X308" s="10"/>
      <c r="Y308" s="244"/>
      <c r="Z308" s="563"/>
      <c r="AA308" s="259"/>
      <c r="AB308" s="563"/>
      <c r="AC308" s="10"/>
      <c r="AD308" s="244"/>
      <c r="AE308" s="563"/>
      <c r="AF308" s="259"/>
      <c r="AG308" s="563"/>
      <c r="AH308" s="10"/>
      <c r="AI308" s="244"/>
      <c r="AJ308" s="563"/>
      <c r="AK308" s="259"/>
      <c r="AL308" s="563"/>
      <c r="AM308" s="544"/>
      <c r="AN308" s="244"/>
      <c r="AO308" s="563"/>
      <c r="AP308" s="259"/>
      <c r="AQ308" s="563"/>
      <c r="BB308" s="344" t="s">
        <v>301</v>
      </c>
      <c r="BC308" s="345">
        <v>0.23</v>
      </c>
      <c r="BD308" s="343"/>
      <c r="BE308" s="209"/>
      <c r="BF308" s="343"/>
      <c r="BS308" s="257"/>
      <c r="BT308" s="257"/>
      <c r="BU308" s="259"/>
      <c r="BV308" s="257"/>
      <c r="BW308" s="26"/>
      <c r="BX308" s="257"/>
      <c r="BY308" s="257"/>
      <c r="BZ308" s="259"/>
      <c r="CA308" s="257"/>
    </row>
    <row r="309" spans="15:79" ht="12.75">
      <c r="O309" s="244"/>
      <c r="P309" s="563"/>
      <c r="Q309" s="259"/>
      <c r="R309" s="563"/>
      <c r="S309" s="37"/>
      <c r="T309" s="244"/>
      <c r="U309" s="563"/>
      <c r="V309" s="259"/>
      <c r="W309" s="563"/>
      <c r="X309" s="10"/>
      <c r="Y309" s="244"/>
      <c r="Z309" s="563"/>
      <c r="AA309" s="259"/>
      <c r="AB309" s="563"/>
      <c r="AC309" s="10"/>
      <c r="AD309" s="244"/>
      <c r="AE309" s="563"/>
      <c r="AF309" s="259"/>
      <c r="AG309" s="563"/>
      <c r="AH309" s="10"/>
      <c r="AI309" s="244"/>
      <c r="AJ309" s="563"/>
      <c r="AK309" s="259"/>
      <c r="AL309" s="563"/>
      <c r="AM309" s="544"/>
      <c r="AN309" s="244"/>
      <c r="AO309" s="563"/>
      <c r="AP309" s="259"/>
      <c r="AQ309" s="563"/>
      <c r="BB309" s="344" t="s">
        <v>300</v>
      </c>
      <c r="BC309" s="345">
        <v>0.245</v>
      </c>
      <c r="BD309" s="343"/>
      <c r="BE309" s="209"/>
      <c r="BF309" s="343"/>
      <c r="BS309" s="257"/>
      <c r="BT309" s="259"/>
      <c r="BU309" s="259"/>
      <c r="BV309" s="259"/>
      <c r="BW309" s="26"/>
      <c r="BX309" s="257"/>
      <c r="BY309" s="259"/>
      <c r="BZ309" s="259"/>
      <c r="CA309" s="259"/>
    </row>
    <row r="310" spans="15:79" ht="12.75">
      <c r="O310" s="244"/>
      <c r="P310" s="563"/>
      <c r="Q310" s="259"/>
      <c r="R310" s="563"/>
      <c r="S310" s="37"/>
      <c r="T310" s="244"/>
      <c r="U310" s="563"/>
      <c r="V310" s="259"/>
      <c r="W310" s="563"/>
      <c r="X310" s="10"/>
      <c r="Y310" s="244"/>
      <c r="Z310" s="563"/>
      <c r="AA310" s="259"/>
      <c r="AB310" s="563"/>
      <c r="AC310" s="10"/>
      <c r="AD310" s="244"/>
      <c r="AE310" s="563"/>
      <c r="AF310" s="259"/>
      <c r="AG310" s="563"/>
      <c r="AH310" s="10"/>
      <c r="AI310" s="244"/>
      <c r="AJ310" s="563"/>
      <c r="AK310" s="259"/>
      <c r="AL310" s="563"/>
      <c r="AM310" s="544"/>
      <c r="AN310" s="244"/>
      <c r="AO310" s="563"/>
      <c r="AP310" s="259"/>
      <c r="AQ310" s="563"/>
      <c r="BB310" s="344" t="s">
        <v>299</v>
      </c>
      <c r="BC310" s="345">
        <v>0.23</v>
      </c>
      <c r="BD310" s="343"/>
      <c r="BE310" s="209"/>
      <c r="BF310" s="343"/>
      <c r="BS310" s="257"/>
      <c r="BT310" s="259"/>
      <c r="BU310" s="259"/>
      <c r="BV310" s="259"/>
      <c r="BW310" s="26"/>
      <c r="BX310" s="257"/>
      <c r="BY310" s="259"/>
      <c r="BZ310" s="259"/>
      <c r="CA310" s="259"/>
    </row>
    <row r="311" spans="15:79" ht="12.75">
      <c r="O311" s="244"/>
      <c r="P311" s="563"/>
      <c r="Q311" s="259"/>
      <c r="R311" s="563"/>
      <c r="S311" s="37"/>
      <c r="T311" s="244"/>
      <c r="U311" s="563"/>
      <c r="V311" s="259"/>
      <c r="W311" s="563"/>
      <c r="X311" s="10"/>
      <c r="Y311" s="244"/>
      <c r="Z311" s="563"/>
      <c r="AA311" s="259"/>
      <c r="AB311" s="563"/>
      <c r="AC311" s="10"/>
      <c r="AD311" s="244"/>
      <c r="AE311" s="563"/>
      <c r="AF311" s="259"/>
      <c r="AG311" s="563"/>
      <c r="AH311" s="10"/>
      <c r="AI311" s="244"/>
      <c r="AJ311" s="563"/>
      <c r="AK311" s="259"/>
      <c r="AL311" s="563"/>
      <c r="AM311" s="544"/>
      <c r="AN311" s="244"/>
      <c r="AO311" s="563"/>
      <c r="AP311" s="259"/>
      <c r="AQ311" s="563"/>
      <c r="BB311" s="344" t="s">
        <v>298</v>
      </c>
      <c r="BC311" s="345">
        <v>0.17</v>
      </c>
      <c r="BD311" s="343"/>
      <c r="BE311" s="209"/>
      <c r="BF311" s="343"/>
      <c r="BS311" s="257"/>
      <c r="BT311" s="259"/>
      <c r="BU311" s="259"/>
      <c r="BV311" s="259"/>
      <c r="BW311" s="26"/>
      <c r="BX311" s="257"/>
      <c r="BY311" s="259"/>
      <c r="BZ311" s="259"/>
      <c r="CA311" s="259"/>
    </row>
    <row r="312" spans="15:79" ht="12.75">
      <c r="O312" s="244"/>
      <c r="P312" s="563"/>
      <c r="Q312" s="259"/>
      <c r="R312" s="563"/>
      <c r="S312" s="37"/>
      <c r="T312" s="244"/>
      <c r="U312" s="563"/>
      <c r="V312" s="259"/>
      <c r="W312" s="563"/>
      <c r="X312" s="10"/>
      <c r="Y312" s="244"/>
      <c r="Z312" s="563"/>
      <c r="AA312" s="259"/>
      <c r="AB312" s="563"/>
      <c r="AC312" s="10"/>
      <c r="AD312" s="244"/>
      <c r="AE312" s="563"/>
      <c r="AF312" s="259"/>
      <c r="AG312" s="563"/>
      <c r="AH312" s="10"/>
      <c r="AI312" s="244"/>
      <c r="AJ312" s="563"/>
      <c r="AK312" s="259"/>
      <c r="AL312" s="563"/>
      <c r="AM312" s="544"/>
      <c r="AN312" s="244"/>
      <c r="AO312" s="563"/>
      <c r="AP312" s="259"/>
      <c r="AQ312" s="563"/>
      <c r="BB312" s="344" t="s">
        <v>297</v>
      </c>
      <c r="BC312" s="345">
        <v>0.32</v>
      </c>
      <c r="BD312" s="343"/>
      <c r="BE312" s="209"/>
      <c r="BF312" s="343"/>
      <c r="BS312" s="257"/>
      <c r="BT312" s="259"/>
      <c r="BU312" s="259"/>
      <c r="BV312" s="259"/>
      <c r="BW312" s="26"/>
      <c r="BX312" s="257"/>
      <c r="BY312" s="259"/>
      <c r="BZ312" s="259"/>
      <c r="CA312" s="259"/>
    </row>
    <row r="313" spans="15:79" ht="12.75">
      <c r="O313" s="244"/>
      <c r="P313" s="563"/>
      <c r="Q313" s="259"/>
      <c r="R313" s="563"/>
      <c r="S313" s="37"/>
      <c r="T313" s="244"/>
      <c r="U313" s="563"/>
      <c r="V313" s="259"/>
      <c r="W313" s="563"/>
      <c r="X313" s="10"/>
      <c r="Y313" s="244"/>
      <c r="Z313" s="563"/>
      <c r="AA313" s="259"/>
      <c r="AB313" s="563"/>
      <c r="AC313" s="10"/>
      <c r="AD313" s="244"/>
      <c r="AE313" s="563"/>
      <c r="AF313" s="259"/>
      <c r="AG313" s="563"/>
      <c r="AH313" s="10"/>
      <c r="AI313" s="244"/>
      <c r="AJ313" s="563"/>
      <c r="AK313" s="259"/>
      <c r="AL313" s="563"/>
      <c r="AM313" s="544"/>
      <c r="AN313" s="244"/>
      <c r="AO313" s="563"/>
      <c r="AP313" s="259"/>
      <c r="AQ313" s="563"/>
      <c r="BB313" s="344" t="s">
        <v>394</v>
      </c>
      <c r="BC313" s="345">
        <v>0.26</v>
      </c>
      <c r="BD313" s="343"/>
      <c r="BE313" s="209"/>
      <c r="BF313" s="343"/>
      <c r="BS313" s="257"/>
      <c r="BT313" s="259"/>
      <c r="BU313" s="259"/>
      <c r="BV313" s="259"/>
      <c r="BW313" s="26"/>
      <c r="BX313" s="257"/>
      <c r="BY313" s="259"/>
      <c r="BZ313" s="259"/>
      <c r="CA313" s="259"/>
    </row>
    <row r="314" spans="15:79" ht="12.75">
      <c r="O314" s="244"/>
      <c r="P314" s="563"/>
      <c r="Q314" s="259"/>
      <c r="R314" s="563"/>
      <c r="S314" s="37"/>
      <c r="T314" s="244"/>
      <c r="U314" s="563"/>
      <c r="V314" s="259"/>
      <c r="W314" s="563"/>
      <c r="X314" s="10"/>
      <c r="Y314" s="244"/>
      <c r="Z314" s="563"/>
      <c r="AA314" s="259"/>
      <c r="AB314" s="563"/>
      <c r="AC314" s="10"/>
      <c r="AD314" s="244"/>
      <c r="AE314" s="563"/>
      <c r="AF314" s="259"/>
      <c r="AG314" s="563"/>
      <c r="AH314" s="10"/>
      <c r="AI314" s="244"/>
      <c r="AJ314" s="563"/>
      <c r="AK314" s="259"/>
      <c r="AL314" s="563"/>
      <c r="AM314" s="544"/>
      <c r="AN314" s="244"/>
      <c r="AO314" s="563"/>
      <c r="AP314" s="259"/>
      <c r="AQ314" s="563"/>
      <c r="BB314" s="344" t="s">
        <v>304</v>
      </c>
      <c r="BC314" s="345">
        <v>0.26</v>
      </c>
      <c r="BD314" s="343"/>
      <c r="BE314" s="209"/>
      <c r="BF314" s="343"/>
      <c r="BS314" s="257"/>
      <c r="BT314" s="259"/>
      <c r="BU314" s="259"/>
      <c r="BV314" s="259"/>
      <c r="BW314" s="26"/>
      <c r="BX314" s="257"/>
      <c r="BY314" s="259"/>
      <c r="BZ314" s="259"/>
      <c r="CA314" s="259"/>
    </row>
    <row r="315" spans="15:79" ht="12.75">
      <c r="O315" s="244"/>
      <c r="P315" s="563"/>
      <c r="Q315" s="259"/>
      <c r="R315" s="563"/>
      <c r="S315" s="37"/>
      <c r="T315" s="244"/>
      <c r="U315" s="563"/>
      <c r="V315" s="259"/>
      <c r="W315" s="563"/>
      <c r="X315" s="10"/>
      <c r="Y315" s="244"/>
      <c r="Z315" s="563"/>
      <c r="AA315" s="259"/>
      <c r="AB315" s="563"/>
      <c r="AC315" s="10"/>
      <c r="AD315" s="244"/>
      <c r="AE315" s="563"/>
      <c r="AF315" s="259"/>
      <c r="AG315" s="563"/>
      <c r="AH315" s="10"/>
      <c r="AI315" s="244"/>
      <c r="AJ315" s="563"/>
      <c r="AK315" s="259"/>
      <c r="AL315" s="563"/>
      <c r="AM315" s="544"/>
      <c r="AN315" s="244"/>
      <c r="AO315" s="563"/>
      <c r="AP315" s="259"/>
      <c r="AQ315" s="563"/>
      <c r="BB315" s="344" t="s">
        <v>420</v>
      </c>
      <c r="BC315" s="345">
        <v>0.23</v>
      </c>
      <c r="BD315" s="343"/>
      <c r="BE315" s="209"/>
      <c r="BF315" s="343"/>
      <c r="BS315" s="257"/>
      <c r="BT315" s="259"/>
      <c r="BU315" s="259"/>
      <c r="BV315" s="259"/>
      <c r="BW315" s="26"/>
      <c r="BX315" s="257"/>
      <c r="BY315" s="259"/>
      <c r="BZ315" s="259"/>
      <c r="CA315" s="259"/>
    </row>
    <row r="316" spans="15:79" ht="12.75">
      <c r="O316" s="244"/>
      <c r="P316" s="563"/>
      <c r="Q316" s="259"/>
      <c r="R316" s="563"/>
      <c r="S316" s="37"/>
      <c r="T316" s="244"/>
      <c r="U316" s="563"/>
      <c r="V316" s="259"/>
      <c r="W316" s="563"/>
      <c r="X316" s="10"/>
      <c r="Y316" s="244"/>
      <c r="Z316" s="563"/>
      <c r="AA316" s="259"/>
      <c r="AB316" s="563"/>
      <c r="AC316" s="10"/>
      <c r="AD316" s="244"/>
      <c r="AE316" s="563"/>
      <c r="AF316" s="259"/>
      <c r="AG316" s="563"/>
      <c r="AH316" s="10"/>
      <c r="AI316" s="244"/>
      <c r="AJ316" s="563"/>
      <c r="AK316" s="259"/>
      <c r="AL316" s="563"/>
      <c r="AM316" s="544"/>
      <c r="AN316" s="244"/>
      <c r="AO316" s="563"/>
      <c r="AP316" s="259"/>
      <c r="AQ316" s="563"/>
      <c r="BB316" s="344" t="s">
        <v>419</v>
      </c>
      <c r="BC316" s="345">
        <v>0.23</v>
      </c>
      <c r="BD316" s="343"/>
      <c r="BE316" s="209"/>
      <c r="BF316" s="343"/>
      <c r="BS316" s="257"/>
      <c r="BT316" s="259"/>
      <c r="BU316" s="259"/>
      <c r="BV316" s="259"/>
      <c r="BW316" s="26"/>
      <c r="BX316" s="257"/>
      <c r="BY316" s="259"/>
      <c r="BZ316" s="259"/>
      <c r="CA316" s="259"/>
    </row>
    <row r="317" spans="15:79" ht="12.75">
      <c r="O317" s="244"/>
      <c r="P317" s="563"/>
      <c r="Q317" s="259"/>
      <c r="R317" s="563"/>
      <c r="S317" s="37"/>
      <c r="T317" s="244"/>
      <c r="U317" s="563"/>
      <c r="V317" s="259"/>
      <c r="W317" s="563"/>
      <c r="X317" s="10"/>
      <c r="Y317" s="244"/>
      <c r="Z317" s="563"/>
      <c r="AA317" s="259"/>
      <c r="AB317" s="563"/>
      <c r="AC317" s="10"/>
      <c r="AD317" s="244"/>
      <c r="AE317" s="563"/>
      <c r="AF317" s="259"/>
      <c r="AG317" s="563"/>
      <c r="AH317" s="10"/>
      <c r="AI317" s="244"/>
      <c r="AJ317" s="563"/>
      <c r="AK317" s="259"/>
      <c r="AL317" s="563"/>
      <c r="AM317" s="544"/>
      <c r="AN317" s="244"/>
      <c r="AO317" s="563"/>
      <c r="AP317" s="259"/>
      <c r="AQ317" s="563"/>
      <c r="BB317" s="344" t="s">
        <v>418</v>
      </c>
      <c r="BC317" s="345">
        <v>0.17</v>
      </c>
      <c r="BD317" s="343"/>
      <c r="BE317" s="209"/>
      <c r="BF317" s="343"/>
      <c r="BS317" s="257"/>
      <c r="BT317" s="259"/>
      <c r="BU317" s="259"/>
      <c r="BV317" s="259"/>
      <c r="BW317" s="26"/>
      <c r="BX317" s="257"/>
      <c r="BY317" s="259"/>
      <c r="BZ317" s="259"/>
      <c r="CA317" s="259"/>
    </row>
    <row r="318" spans="15:79" ht="12.75">
      <c r="O318" s="244"/>
      <c r="P318" s="563"/>
      <c r="Q318" s="259"/>
      <c r="R318" s="563"/>
      <c r="S318" s="37"/>
      <c r="T318" s="244"/>
      <c r="U318" s="563"/>
      <c r="V318" s="259"/>
      <c r="W318" s="563"/>
      <c r="X318" s="10"/>
      <c r="Y318" s="244"/>
      <c r="Z318" s="563"/>
      <c r="AA318" s="259"/>
      <c r="AB318" s="563"/>
      <c r="AC318" s="10"/>
      <c r="AD318" s="244"/>
      <c r="AE318" s="563"/>
      <c r="AF318" s="259"/>
      <c r="AG318" s="563"/>
      <c r="AH318" s="10"/>
      <c r="AI318" s="244"/>
      <c r="AJ318" s="563"/>
      <c r="AK318" s="259"/>
      <c r="AL318" s="563"/>
      <c r="AM318" s="544"/>
      <c r="AN318" s="244"/>
      <c r="AO318" s="563"/>
      <c r="AP318" s="259"/>
      <c r="AQ318" s="563"/>
      <c r="BB318" s="344" t="s">
        <v>412</v>
      </c>
      <c r="BC318" s="345">
        <v>0.17</v>
      </c>
      <c r="BD318" s="343"/>
      <c r="BE318" s="209"/>
      <c r="BF318" s="343"/>
      <c r="BS318" s="257"/>
      <c r="BT318" s="259"/>
      <c r="BU318" s="259"/>
      <c r="BV318" s="259"/>
      <c r="BW318" s="26"/>
      <c r="BX318" s="257"/>
      <c r="BY318" s="259"/>
      <c r="BZ318" s="259"/>
      <c r="CA318" s="259"/>
    </row>
    <row r="319" spans="15:79" ht="12.75">
      <c r="O319" s="244"/>
      <c r="P319" s="563"/>
      <c r="Q319" s="259"/>
      <c r="R319" s="563"/>
      <c r="S319" s="37"/>
      <c r="T319" s="244"/>
      <c r="U319" s="563"/>
      <c r="V319" s="259"/>
      <c r="W319" s="563"/>
      <c r="X319" s="10"/>
      <c r="Y319" s="244"/>
      <c r="Z319" s="563"/>
      <c r="AA319" s="259"/>
      <c r="AB319" s="563"/>
      <c r="AC319" s="10"/>
      <c r="AD319" s="244"/>
      <c r="AE319" s="563"/>
      <c r="AF319" s="259"/>
      <c r="AG319" s="563"/>
      <c r="AH319" s="10"/>
      <c r="AI319" s="244"/>
      <c r="AJ319" s="563"/>
      <c r="AK319" s="259"/>
      <c r="AL319" s="563"/>
      <c r="AM319" s="544"/>
      <c r="AN319" s="244"/>
      <c r="AO319" s="563"/>
      <c r="AP319" s="259"/>
      <c r="AQ319" s="563"/>
      <c r="BB319" s="344" t="s">
        <v>417</v>
      </c>
      <c r="BC319" s="345">
        <v>0.27</v>
      </c>
      <c r="BD319" s="343"/>
      <c r="BE319" s="209"/>
      <c r="BF319" s="343"/>
      <c r="BS319" s="257"/>
      <c r="BT319" s="259"/>
      <c r="BU319" s="259"/>
      <c r="BV319" s="259"/>
      <c r="BW319" s="26"/>
      <c r="BX319" s="257"/>
      <c r="BY319" s="259"/>
      <c r="BZ319" s="259"/>
      <c r="CA319" s="259"/>
    </row>
    <row r="320" spans="15:79" ht="12.75">
      <c r="O320" s="244"/>
      <c r="P320" s="563"/>
      <c r="Q320" s="259"/>
      <c r="R320" s="563"/>
      <c r="S320" s="37"/>
      <c r="T320" s="244"/>
      <c r="U320" s="563"/>
      <c r="V320" s="259"/>
      <c r="W320" s="563"/>
      <c r="X320" s="10"/>
      <c r="Y320" s="244"/>
      <c r="Z320" s="563"/>
      <c r="AA320" s="259"/>
      <c r="AB320" s="563"/>
      <c r="AC320" s="10"/>
      <c r="AD320" s="244"/>
      <c r="AE320" s="563"/>
      <c r="AF320" s="259"/>
      <c r="AG320" s="563"/>
      <c r="AH320" s="10"/>
      <c r="AI320" s="244"/>
      <c r="AJ320" s="563"/>
      <c r="AK320" s="259"/>
      <c r="AL320" s="563"/>
      <c r="AM320" s="544"/>
      <c r="AN320" s="244"/>
      <c r="AO320" s="563"/>
      <c r="AP320" s="259"/>
      <c r="AQ320" s="563"/>
      <c r="BB320" s="344" t="s">
        <v>416</v>
      </c>
      <c r="BC320" s="345">
        <v>0.24</v>
      </c>
      <c r="BD320" s="343"/>
      <c r="BE320" s="209"/>
      <c r="BF320" s="343"/>
      <c r="BS320" s="257"/>
      <c r="BT320" s="259"/>
      <c r="BU320" s="259"/>
      <c r="BV320" s="259"/>
      <c r="BW320" s="26"/>
      <c r="BX320" s="257"/>
      <c r="BY320" s="259"/>
      <c r="BZ320" s="259"/>
      <c r="CA320" s="259"/>
    </row>
    <row r="321" spans="15:79" ht="12.75">
      <c r="O321" s="244"/>
      <c r="P321" s="563"/>
      <c r="Q321" s="259"/>
      <c r="R321" s="563"/>
      <c r="S321" s="37"/>
      <c r="T321" s="244"/>
      <c r="U321" s="563"/>
      <c r="V321" s="259"/>
      <c r="W321" s="563"/>
      <c r="X321" s="10"/>
      <c r="Y321" s="244"/>
      <c r="Z321" s="563"/>
      <c r="AA321" s="259"/>
      <c r="AB321" s="563"/>
      <c r="AC321" s="10"/>
      <c r="AD321" s="244"/>
      <c r="AE321" s="563"/>
      <c r="AF321" s="259"/>
      <c r="AG321" s="563"/>
      <c r="AH321" s="10"/>
      <c r="AI321" s="244"/>
      <c r="AJ321" s="563"/>
      <c r="AK321" s="259"/>
      <c r="AL321" s="563"/>
      <c r="AM321" s="37"/>
      <c r="AN321" s="244"/>
      <c r="AO321" s="563"/>
      <c r="AP321" s="259"/>
      <c r="AQ321" s="563"/>
      <c r="BB321" s="355" t="s">
        <v>324</v>
      </c>
      <c r="BC321" s="356">
        <v>0.28</v>
      </c>
      <c r="BD321" s="343"/>
      <c r="BE321" s="209"/>
      <c r="BF321" s="343"/>
      <c r="BS321" s="257"/>
      <c r="BT321" s="259"/>
      <c r="BU321" s="259"/>
      <c r="BV321" s="259"/>
      <c r="BW321" s="26"/>
      <c r="BX321" s="257"/>
      <c r="BY321" s="259"/>
      <c r="BZ321" s="259"/>
      <c r="CA321" s="259"/>
    </row>
    <row r="322" spans="15:79" ht="12.75">
      <c r="O322" s="244"/>
      <c r="P322" s="557"/>
      <c r="Q322" s="560"/>
      <c r="R322" s="257"/>
      <c r="S322" s="37"/>
      <c r="T322" s="244"/>
      <c r="U322" s="557"/>
      <c r="V322" s="560"/>
      <c r="W322" s="257"/>
      <c r="X322" s="10"/>
      <c r="Y322" s="244"/>
      <c r="Z322" s="557"/>
      <c r="AA322" s="560"/>
      <c r="AB322" s="257"/>
      <c r="AC322" s="10"/>
      <c r="AD322" s="244"/>
      <c r="AE322" s="557"/>
      <c r="AF322" s="560"/>
      <c r="AG322" s="257"/>
      <c r="AH322" s="10"/>
      <c r="AI322" s="244"/>
      <c r="AJ322" s="557"/>
      <c r="AK322" s="560"/>
      <c r="AL322" s="257"/>
      <c r="AM322" s="544"/>
      <c r="AN322" s="244"/>
      <c r="AO322" s="557"/>
      <c r="AP322" s="560"/>
      <c r="AQ322" s="257"/>
      <c r="BB322" s="419" t="s">
        <v>1181</v>
      </c>
      <c r="BC322" s="613">
        <v>0.716</v>
      </c>
      <c r="BS322" s="257"/>
      <c r="BT322" s="259"/>
      <c r="BU322" s="259"/>
      <c r="BV322" s="259"/>
      <c r="BW322" s="26"/>
      <c r="BX322" s="257"/>
      <c r="BY322" s="259"/>
      <c r="BZ322" s="259"/>
      <c r="CA322" s="259"/>
    </row>
    <row r="323" spans="15:55" ht="12.75">
      <c r="O323" s="244"/>
      <c r="P323" s="248"/>
      <c r="Q323" s="559"/>
      <c r="R323" s="563"/>
      <c r="S323" s="37"/>
      <c r="T323" s="244"/>
      <c r="U323" s="248"/>
      <c r="V323" s="559"/>
      <c r="W323" s="563"/>
      <c r="X323" s="10"/>
      <c r="Y323" s="244"/>
      <c r="Z323" s="248"/>
      <c r="AA323" s="559"/>
      <c r="AB323" s="563"/>
      <c r="AC323" s="10"/>
      <c r="AD323" s="244"/>
      <c r="AE323" s="248"/>
      <c r="AF323" s="559"/>
      <c r="AG323" s="563"/>
      <c r="AH323" s="10"/>
      <c r="AI323" s="244"/>
      <c r="AJ323" s="248"/>
      <c r="AK323" s="559"/>
      <c r="AL323" s="563"/>
      <c r="AM323" s="544"/>
      <c r="AN323" s="244"/>
      <c r="AO323" s="248"/>
      <c r="AP323" s="559"/>
      <c r="AQ323" s="563"/>
      <c r="BB323" s="405" t="s">
        <v>1182</v>
      </c>
      <c r="BC323" s="614">
        <v>0.52</v>
      </c>
    </row>
    <row r="324" spans="15:55" ht="12.75">
      <c r="O324" s="557"/>
      <c r="P324" s="249"/>
      <c r="Q324" s="259"/>
      <c r="R324" s="267"/>
      <c r="S324" s="37"/>
      <c r="T324" s="557"/>
      <c r="U324" s="249"/>
      <c r="V324" s="259"/>
      <c r="W324" s="267"/>
      <c r="X324" s="10"/>
      <c r="Y324" s="557"/>
      <c r="Z324" s="249"/>
      <c r="AA324" s="259"/>
      <c r="AB324" s="267"/>
      <c r="AC324" s="10"/>
      <c r="AD324" s="557"/>
      <c r="AE324" s="249"/>
      <c r="AF324" s="259"/>
      <c r="AG324" s="267"/>
      <c r="AH324" s="10"/>
      <c r="AI324" s="557"/>
      <c r="AJ324" s="249"/>
      <c r="AK324" s="259"/>
      <c r="AL324" s="267"/>
      <c r="AM324" s="544"/>
      <c r="AN324" s="557"/>
      <c r="AO324" s="249"/>
      <c r="AP324" s="259"/>
      <c r="AQ324" s="267"/>
      <c r="BB324" s="405" t="s">
        <v>1183</v>
      </c>
      <c r="BC324" s="614">
        <v>0.4</v>
      </c>
    </row>
    <row r="325" spans="15:55" ht="12.75">
      <c r="O325" s="558"/>
      <c r="P325" s="248"/>
      <c r="Q325" s="564"/>
      <c r="R325" s="563"/>
      <c r="S325" s="37"/>
      <c r="T325" s="558"/>
      <c r="U325" s="248"/>
      <c r="V325" s="564"/>
      <c r="W325" s="563"/>
      <c r="X325" s="10"/>
      <c r="Y325" s="558"/>
      <c r="Z325" s="248"/>
      <c r="AA325" s="564"/>
      <c r="AB325" s="563"/>
      <c r="AC325" s="10"/>
      <c r="AD325" s="558"/>
      <c r="AE325" s="248"/>
      <c r="AF325" s="564"/>
      <c r="AG325" s="563"/>
      <c r="AH325" s="10"/>
      <c r="AI325" s="558"/>
      <c r="AJ325" s="248"/>
      <c r="AK325" s="564"/>
      <c r="AL325" s="563"/>
      <c r="AM325" s="544"/>
      <c r="AN325" s="558"/>
      <c r="AO325" s="248"/>
      <c r="AP325" s="564"/>
      <c r="AQ325" s="563"/>
      <c r="BB325" s="405" t="s">
        <v>1184</v>
      </c>
      <c r="BC325" s="614">
        <v>0.51</v>
      </c>
    </row>
    <row r="326" spans="54:55" ht="12.75">
      <c r="BB326" s="405" t="s">
        <v>1185</v>
      </c>
      <c r="BC326" s="614">
        <v>0.387</v>
      </c>
    </row>
    <row r="327" spans="54:55" ht="12.75">
      <c r="BB327" s="405" t="s">
        <v>1186</v>
      </c>
      <c r="BC327" s="614">
        <v>0.282</v>
      </c>
    </row>
    <row r="328" spans="54:55" ht="12.75">
      <c r="BB328" s="405" t="s">
        <v>1187</v>
      </c>
      <c r="BC328" s="614">
        <v>0.673</v>
      </c>
    </row>
    <row r="329" spans="54:55" ht="12.75">
      <c r="BB329" s="405" t="s">
        <v>1188</v>
      </c>
      <c r="BC329" s="614">
        <v>0.526</v>
      </c>
    </row>
    <row r="330" spans="54:55" ht="12.75">
      <c r="BB330" s="405" t="s">
        <v>1189</v>
      </c>
      <c r="BC330" s="614">
        <v>0.379</v>
      </c>
    </row>
    <row r="331" spans="54:55" ht="12.75">
      <c r="BB331" s="405" t="s">
        <v>1190</v>
      </c>
      <c r="BC331" s="614">
        <v>0.24</v>
      </c>
    </row>
    <row r="332" spans="54:55" ht="12.75">
      <c r="BB332" s="405" t="s">
        <v>1191</v>
      </c>
      <c r="BC332" s="614">
        <v>0.448</v>
      </c>
    </row>
    <row r="333" spans="54:55" ht="12.75">
      <c r="BB333" s="405" t="s">
        <v>1192</v>
      </c>
      <c r="BC333" s="614">
        <v>0.285</v>
      </c>
    </row>
    <row r="334" spans="54:55" ht="12.75">
      <c r="BB334" s="405" t="s">
        <v>1193</v>
      </c>
      <c r="BC334" s="614">
        <v>0.233</v>
      </c>
    </row>
    <row r="335" spans="54:55" ht="12.75">
      <c r="BB335" s="405" t="s">
        <v>1194</v>
      </c>
      <c r="BC335" s="614">
        <v>0.487</v>
      </c>
    </row>
    <row r="336" spans="54:55" ht="12.75">
      <c r="BB336" s="405" t="s">
        <v>1195</v>
      </c>
      <c r="BC336" s="614">
        <v>0.303</v>
      </c>
    </row>
    <row r="337" spans="54:55" ht="12.75">
      <c r="BB337" s="405" t="s">
        <v>1196</v>
      </c>
      <c r="BC337" s="614">
        <v>0.22</v>
      </c>
    </row>
    <row r="338" spans="54:55" ht="12.75">
      <c r="BB338" s="405" t="s">
        <v>1197</v>
      </c>
      <c r="BC338" s="614">
        <v>0.419</v>
      </c>
    </row>
    <row r="339" spans="54:55" ht="12.75">
      <c r="BB339" s="405" t="s">
        <v>1198</v>
      </c>
      <c r="BC339" s="614">
        <v>0.314</v>
      </c>
    </row>
    <row r="340" spans="54:55" ht="12.75">
      <c r="BB340" s="405" t="s">
        <v>1199</v>
      </c>
      <c r="BC340" s="614">
        <v>0.21</v>
      </c>
    </row>
    <row r="341" spans="54:55" ht="12.75">
      <c r="BB341" s="405" t="s">
        <v>1200</v>
      </c>
      <c r="BC341" s="614">
        <v>0.437</v>
      </c>
    </row>
    <row r="342" spans="54:55" ht="12.75">
      <c r="BB342" s="405" t="s">
        <v>1201</v>
      </c>
      <c r="BC342" s="614">
        <v>0.314</v>
      </c>
    </row>
    <row r="343" spans="54:55" ht="12.75">
      <c r="BB343" s="405" t="s">
        <v>1202</v>
      </c>
      <c r="BC343" s="614">
        <v>0.2</v>
      </c>
    </row>
    <row r="344" spans="54:55" ht="12.75">
      <c r="BB344" s="405" t="s">
        <v>1203</v>
      </c>
      <c r="BC344" s="614">
        <v>0.325</v>
      </c>
    </row>
    <row r="345" spans="54:55" ht="12.75">
      <c r="BB345" s="405" t="s">
        <v>1204</v>
      </c>
      <c r="BC345" s="614">
        <v>0.19</v>
      </c>
    </row>
    <row r="346" spans="54:55" ht="12.75">
      <c r="BB346" s="405" t="s">
        <v>1205</v>
      </c>
      <c r="BC346" s="614">
        <v>0.321</v>
      </c>
    </row>
    <row r="347" spans="54:55" ht="12.75">
      <c r="BB347" s="405" t="s">
        <v>1206</v>
      </c>
      <c r="BC347" s="614">
        <v>0.184</v>
      </c>
    </row>
    <row r="348" spans="54:55" ht="12.75">
      <c r="BB348" s="405" t="s">
        <v>1207</v>
      </c>
      <c r="BC348" s="614">
        <v>0.125</v>
      </c>
    </row>
    <row r="349" spans="54:55" ht="12.75">
      <c r="BB349" s="405" t="s">
        <v>1208</v>
      </c>
      <c r="BC349" s="614">
        <v>0.356</v>
      </c>
    </row>
    <row r="350" spans="54:55" ht="12.75">
      <c r="BB350" s="405" t="s">
        <v>1209</v>
      </c>
      <c r="BC350" s="614">
        <v>0.258</v>
      </c>
    </row>
    <row r="351" spans="54:55" ht="12.75">
      <c r="BB351" s="405" t="s">
        <v>1210</v>
      </c>
      <c r="BC351" s="614">
        <v>0.17</v>
      </c>
    </row>
    <row r="352" spans="54:55" ht="12.75">
      <c r="BB352" s="414" t="s">
        <v>1211</v>
      </c>
      <c r="BC352" s="615">
        <v>0.132</v>
      </c>
    </row>
    <row r="353" spans="54:55" ht="12.75">
      <c r="BB353" s="405" t="s">
        <v>1212</v>
      </c>
      <c r="BC353" s="614">
        <v>0.7</v>
      </c>
    </row>
    <row r="354" spans="54:55" ht="12.75">
      <c r="BB354" s="405" t="s">
        <v>1213</v>
      </c>
      <c r="BC354" s="614">
        <v>0.6</v>
      </c>
    </row>
    <row r="355" spans="54:55" ht="12.75">
      <c r="BB355" s="405" t="s">
        <v>1214</v>
      </c>
      <c r="BC355" s="614">
        <v>0.5</v>
      </c>
    </row>
    <row r="356" spans="54:55" ht="12.75">
      <c r="BB356" s="405" t="s">
        <v>1215</v>
      </c>
      <c r="BC356" s="614">
        <v>0.45</v>
      </c>
    </row>
    <row r="357" spans="54:55" ht="12.75">
      <c r="BB357" s="405" t="s">
        <v>1216</v>
      </c>
      <c r="BC357" s="614">
        <v>0.787</v>
      </c>
    </row>
    <row r="358" spans="54:55" ht="12.75">
      <c r="BB358" s="405" t="s">
        <v>1217</v>
      </c>
      <c r="BC358" s="614">
        <v>0.56</v>
      </c>
    </row>
    <row r="359" spans="54:55" ht="12.75">
      <c r="BB359" s="405" t="s">
        <v>1218</v>
      </c>
      <c r="BC359" s="614">
        <v>0.447</v>
      </c>
    </row>
    <row r="360" spans="54:55" ht="12.75">
      <c r="BB360" s="405" t="s">
        <v>1219</v>
      </c>
      <c r="BC360" s="614">
        <v>0.375</v>
      </c>
    </row>
    <row r="361" spans="54:55" ht="12.75">
      <c r="BB361" s="405" t="s">
        <v>1220</v>
      </c>
      <c r="BC361" s="614">
        <v>0.835</v>
      </c>
    </row>
    <row r="362" spans="54:55" ht="12.75">
      <c r="BB362" s="405" t="s">
        <v>1221</v>
      </c>
      <c r="BC362" s="614">
        <v>0.71</v>
      </c>
    </row>
    <row r="363" spans="54:55" ht="12.75">
      <c r="BB363" s="405" t="s">
        <v>1222</v>
      </c>
      <c r="BC363" s="614">
        <v>0.59</v>
      </c>
    </row>
    <row r="364" spans="54:55" ht="12.75">
      <c r="BB364" s="405" t="s">
        <v>1223</v>
      </c>
      <c r="BC364" s="614">
        <v>0.465</v>
      </c>
    </row>
    <row r="365" spans="54:55" ht="12.75">
      <c r="BB365" s="405" t="s">
        <v>1224</v>
      </c>
      <c r="BC365" s="614">
        <v>0.37</v>
      </c>
    </row>
    <row r="366" spans="54:55" ht="12.75">
      <c r="BB366" s="405" t="s">
        <v>1225</v>
      </c>
      <c r="BC366" s="614">
        <v>0.19</v>
      </c>
    </row>
    <row r="367" spans="54:55" ht="12.75">
      <c r="BB367" s="405" t="s">
        <v>1226</v>
      </c>
      <c r="BC367" s="614">
        <v>0.796</v>
      </c>
    </row>
    <row r="368" spans="54:55" ht="12.75">
      <c r="BB368" s="405" t="s">
        <v>1227</v>
      </c>
      <c r="BC368" s="614">
        <v>0.575</v>
      </c>
    </row>
    <row r="369" spans="54:55" ht="12.75">
      <c r="BB369" s="405" t="s">
        <v>1228</v>
      </c>
      <c r="BC369" s="614">
        <v>0.425</v>
      </c>
    </row>
    <row r="370" spans="54:55" ht="12.75">
      <c r="BB370" s="405" t="s">
        <v>1229</v>
      </c>
      <c r="BC370" s="614">
        <v>0.38</v>
      </c>
    </row>
    <row r="371" spans="54:55" ht="12.75">
      <c r="BB371" s="405" t="s">
        <v>1230</v>
      </c>
      <c r="BC371" s="614">
        <v>0.29</v>
      </c>
    </row>
    <row r="372" spans="54:55" ht="12.75">
      <c r="BB372" s="405" t="s">
        <v>1231</v>
      </c>
      <c r="BC372" s="614">
        <v>0.17</v>
      </c>
    </row>
    <row r="373" spans="54:55" ht="12.75">
      <c r="BB373" s="405" t="s">
        <v>1232</v>
      </c>
      <c r="BC373" s="614">
        <v>0.152</v>
      </c>
    </row>
    <row r="374" spans="54:55" ht="12.75">
      <c r="BB374" s="405" t="s">
        <v>1233</v>
      </c>
      <c r="BC374" s="614">
        <v>0.45</v>
      </c>
    </row>
    <row r="375" spans="54:55" ht="12.75">
      <c r="BB375" s="405" t="s">
        <v>1234</v>
      </c>
      <c r="BC375" s="614">
        <v>0.4</v>
      </c>
    </row>
    <row r="376" spans="54:55" ht="12.75">
      <c r="BB376" s="405" t="s">
        <v>1235</v>
      </c>
      <c r="BC376" s="614">
        <v>0.427</v>
      </c>
    </row>
    <row r="377" spans="54:55" ht="12.75">
      <c r="BB377" s="405" t="s">
        <v>1236</v>
      </c>
      <c r="BC377" s="614">
        <v>0.375</v>
      </c>
    </row>
    <row r="378" spans="54:55" ht="12.75">
      <c r="BB378" s="405" t="s">
        <v>1237</v>
      </c>
      <c r="BC378" s="614">
        <v>0.4</v>
      </c>
    </row>
    <row r="379" spans="54:55" ht="12.75">
      <c r="BB379" s="405" t="s">
        <v>1238</v>
      </c>
      <c r="BC379" s="614">
        <v>0.353</v>
      </c>
    </row>
    <row r="380" spans="54:55" ht="12.75">
      <c r="BB380" s="405" t="s">
        <v>1239</v>
      </c>
      <c r="BC380" s="614">
        <v>0.179</v>
      </c>
    </row>
    <row r="381" spans="54:55" ht="12.75">
      <c r="BB381" s="405" t="s">
        <v>1240</v>
      </c>
      <c r="BC381" s="614">
        <v>0.503</v>
      </c>
    </row>
    <row r="382" spans="54:55" ht="12.75">
      <c r="BB382" s="405" t="s">
        <v>1241</v>
      </c>
      <c r="BC382" s="614">
        <v>0.352</v>
      </c>
    </row>
    <row r="383" spans="54:55" ht="12.75">
      <c r="BB383" s="405" t="s">
        <v>1242</v>
      </c>
      <c r="BC383" s="614">
        <v>0.379</v>
      </c>
    </row>
    <row r="384" spans="54:55" ht="12.75">
      <c r="BB384" s="405" t="s">
        <v>1243</v>
      </c>
      <c r="BC384" s="614">
        <v>0.34</v>
      </c>
    </row>
    <row r="385" spans="54:55" ht="12.75">
      <c r="BB385" s="405" t="s">
        <v>1244</v>
      </c>
      <c r="BC385" s="614">
        <v>0.375</v>
      </c>
    </row>
    <row r="386" spans="54:55" ht="12.75">
      <c r="BB386" s="405" t="s">
        <v>1245</v>
      </c>
      <c r="BC386" s="614">
        <v>0.316</v>
      </c>
    </row>
    <row r="387" spans="54:55" ht="12.75">
      <c r="BB387" s="405" t="s">
        <v>1246</v>
      </c>
      <c r="BC387" s="614">
        <v>0.31</v>
      </c>
    </row>
    <row r="388" spans="54:55" ht="12.75">
      <c r="BB388" s="405" t="s">
        <v>1247</v>
      </c>
      <c r="BC388" s="614">
        <v>0.179</v>
      </c>
    </row>
    <row r="389" spans="54:55" ht="12.75">
      <c r="BB389" s="405" t="s">
        <v>1248</v>
      </c>
      <c r="BC389" s="614">
        <v>0.155</v>
      </c>
    </row>
    <row r="390" spans="54:55" ht="12.75">
      <c r="BB390" s="405" t="s">
        <v>1249</v>
      </c>
      <c r="BC390" s="614">
        <v>0.5</v>
      </c>
    </row>
    <row r="391" spans="54:55" ht="12.75">
      <c r="BB391" s="414" t="s">
        <v>1250</v>
      </c>
      <c r="BC391" s="615">
        <v>0.312</v>
      </c>
    </row>
  </sheetData>
  <sheetProtection sheet="1" objects="1" scenarios="1"/>
  <mergeCells count="90">
    <mergeCell ref="BL32:BM32"/>
    <mergeCell ref="BN32:BO32"/>
    <mergeCell ref="C62:C66"/>
    <mergeCell ref="D62:D66"/>
    <mergeCell ref="C53:C56"/>
    <mergeCell ref="D53:D56"/>
    <mergeCell ref="C57:C61"/>
    <mergeCell ref="D57:D61"/>
    <mergeCell ref="C46:C48"/>
    <mergeCell ref="D46:D48"/>
    <mergeCell ref="C49:C52"/>
    <mergeCell ref="D49:D52"/>
    <mergeCell ref="D35:D36"/>
    <mergeCell ref="D38:D39"/>
    <mergeCell ref="D40:D42"/>
    <mergeCell ref="D43:D45"/>
    <mergeCell ref="C35:C36"/>
    <mergeCell ref="C38:C39"/>
    <mergeCell ref="C40:C42"/>
    <mergeCell ref="C43:C45"/>
    <mergeCell ref="F66:G66"/>
    <mergeCell ref="H66:I66"/>
    <mergeCell ref="F62:G62"/>
    <mergeCell ref="H62:I62"/>
    <mergeCell ref="F63:G63"/>
    <mergeCell ref="H63:I63"/>
    <mergeCell ref="F64:G64"/>
    <mergeCell ref="H64:I64"/>
    <mergeCell ref="F65:G65"/>
    <mergeCell ref="H65:I65"/>
    <mergeCell ref="F61:G61"/>
    <mergeCell ref="H61:I61"/>
    <mergeCell ref="F57:G57"/>
    <mergeCell ref="H57:I57"/>
    <mergeCell ref="F58:G58"/>
    <mergeCell ref="H58:I58"/>
    <mergeCell ref="F59:G59"/>
    <mergeCell ref="H59:I59"/>
    <mergeCell ref="F60:G60"/>
    <mergeCell ref="H60:I60"/>
    <mergeCell ref="H32:I32"/>
    <mergeCell ref="H33:I33"/>
    <mergeCell ref="H34:I34"/>
    <mergeCell ref="F32:G32"/>
    <mergeCell ref="F33:G33"/>
    <mergeCell ref="F34:G34"/>
    <mergeCell ref="F40:G40"/>
    <mergeCell ref="H40:I40"/>
    <mergeCell ref="F41:G41"/>
    <mergeCell ref="H41:I41"/>
    <mergeCell ref="F35:G35"/>
    <mergeCell ref="H35:I35"/>
    <mergeCell ref="F37:G37"/>
    <mergeCell ref="H37:I37"/>
    <mergeCell ref="F39:G39"/>
    <mergeCell ref="H39:I39"/>
    <mergeCell ref="F38:G38"/>
    <mergeCell ref="H38:I38"/>
    <mergeCell ref="H36:I36"/>
    <mergeCell ref="H45:I45"/>
    <mergeCell ref="F43:G43"/>
    <mergeCell ref="H43:I43"/>
    <mergeCell ref="F44:G44"/>
    <mergeCell ref="H44:I44"/>
    <mergeCell ref="F36:G36"/>
    <mergeCell ref="F45:G45"/>
    <mergeCell ref="F42:G42"/>
    <mergeCell ref="H42:I42"/>
    <mergeCell ref="H48:I48"/>
    <mergeCell ref="F46:G46"/>
    <mergeCell ref="H46:I46"/>
    <mergeCell ref="F47:G47"/>
    <mergeCell ref="H47:I47"/>
    <mergeCell ref="F48:G48"/>
    <mergeCell ref="F52:G52"/>
    <mergeCell ref="F49:G49"/>
    <mergeCell ref="F50:G50"/>
    <mergeCell ref="F51:G51"/>
    <mergeCell ref="H52:I52"/>
    <mergeCell ref="H49:I49"/>
    <mergeCell ref="H50:I50"/>
    <mergeCell ref="H51:I51"/>
    <mergeCell ref="F56:G56"/>
    <mergeCell ref="H56:I56"/>
    <mergeCell ref="F53:G53"/>
    <mergeCell ref="H53:I53"/>
    <mergeCell ref="F54:G54"/>
    <mergeCell ref="H54:I54"/>
    <mergeCell ref="F55:G55"/>
    <mergeCell ref="H55:I55"/>
  </mergeCells>
  <dataValidations count="21">
    <dataValidation type="decimal" operator="greaterThan" allowBlank="1" showInputMessage="1" showErrorMessage="1" prompt="For W36 beams, minimum web thickness (tw) = 0.600&quot; (5/8&quot; nominal)." sqref="D62">
      <formula1>0</formula1>
    </dataValidation>
    <dataValidation type="decimal" operator="greaterThan" allowBlank="1" showInputMessage="1" showErrorMessage="1" prompt="For W8 beams, minimum web thickness (tw) = 0.170&quot; (3/16&quot; nominal)." sqref="D33">
      <formula1>0</formula1>
    </dataValidation>
    <dataValidation type="decimal" operator="greaterThan" allowBlank="1" showInputMessage="1" showErrorMessage="1" prompt="For W10 beams, minimum web thickness (tw) = 0.190&quot; (3/16&quot; nominal)." sqref="D34">
      <formula1>0</formula1>
    </dataValidation>
    <dataValidation type="decimal" operator="greaterThan" allowBlank="1" showInputMessage="1" showErrorMessage="1" prompt="For W12 beams, minimum web thickness (tw) = 0.200&quot; (3/16&quot; nominal)." sqref="D35">
      <formula1>0</formula1>
    </dataValidation>
    <dataValidation type="decimal" operator="greaterThan" allowBlank="1" showInputMessage="1" showErrorMessage="1" prompt="For W14 beams, minimum web thickness (tw) = 0.230&quot; (1/4&quot; nominal)." sqref="D37">
      <formula1>0</formula1>
    </dataValidation>
    <dataValidation type="decimal" operator="greaterThan" allowBlank="1" showInputMessage="1" showErrorMessage="1" prompt="For W16 beams, minimum web thickness (tw) = 0.250&quot; (1/4&quot; nominal)." sqref="D38">
      <formula1>0</formula1>
    </dataValidation>
    <dataValidation type="decimal" operator="greaterThan" allowBlank="1" showInputMessage="1" showErrorMessage="1" prompt="For W6 beams, minimum web thickness (tw) = 0.170&quot; (3/16&quot; nominal)." sqref="D32">
      <formula1>0</formula1>
    </dataValidation>
    <dataValidation type="decimal" operator="greaterThan" allowBlank="1" showInputMessage="1" showErrorMessage="1" prompt="For W18 beams, minimum web thickness (tw) = 0.300&quot; (5/16&quot; nominal)." sqref="D40">
      <formula1>0</formula1>
    </dataValidation>
    <dataValidation type="decimal" operator="greaterThan" allowBlank="1" showInputMessage="1" showErrorMessage="1" prompt="For W21 beams, minimum web thickness (tw) = 0.350&quot; (3/8&quot; nominal)." sqref="D43">
      <formula1>0</formula1>
    </dataValidation>
    <dataValidation type="decimal" operator="greaterThan" allowBlank="1" showInputMessage="1" showErrorMessage="1" prompt="For W24 beams, minimum web thickness (tw) = 0.395&quot; (3/8&quot; nominal)." sqref="D46">
      <formula1>0</formula1>
    </dataValidation>
    <dataValidation type="decimal" operator="greaterThan" allowBlank="1" showInputMessage="1" showErrorMessage="1" prompt="For W27 beams, minimum web thickness (tw) = 0.460&quot; (7/16&quot; nominal)." sqref="D49">
      <formula1>0</formula1>
    </dataValidation>
    <dataValidation type="decimal" operator="greaterThan" allowBlank="1" showInputMessage="1" showErrorMessage="1" prompt="For W30 beams, minimum web thickness (tw) = 0.470&quot; (1/2&quot; nominal)." sqref="D53">
      <formula1>0</formula1>
    </dataValidation>
    <dataValidation type="decimal" operator="greaterThan" allowBlank="1" showInputMessage="1" showErrorMessage="1" prompt="For W33 beams, minimum web thickness (tw) = 0.550&quot; (9/16&quot; nominal)." sqref="D57">
      <formula1>0</formula1>
    </dataValidation>
    <dataValidation type="list" allowBlank="1" showInputMessage="1" showErrorMessage="1" errorTitle="Warning!" error="Invalid steel yield strength" sqref="D13 D9">
      <formula1>$M$3:$M$4</formula1>
    </dataValidation>
    <dataValidation type="list" allowBlank="1" showInputMessage="1" showErrorMessage="1" prompt="User may either select desired size from pick box or type in the size designation.  Note:  input is not case sensitive." sqref="BI32">
      <formula1>$BB$6:$BB$391</formula1>
    </dataValidation>
    <dataValidation type="list" operator="equal" allowBlank="1" showInputMessage="1" showErrorMessage="1" promptTitle="Connection Length:" prompt="W8   -  6                    W10 -  7&#10;W12 -  7, 9                W14 -  10&#10;W16 -  10, 12            W18 -  10, 12, 14&#10;W21 -  14, 16, 18      W24 -  16, 18, 20&#10;W27 -  18, 20, 22      W30 -  22, 24, 26&#10;W33 -  24, 26, 28      W36 -  26, 28, 30" errorTitle="Warning!" error="Invalid connection length!" sqref="BK32">
      <formula1>$M$5:$M$22</formula1>
    </dataValidation>
    <dataValidation type="list" allowBlank="1" showInputMessage="1" showErrorMessage="1" sqref="D12">
      <formula1>#REF!</formula1>
    </dataValidation>
    <dataValidation type="decimal" allowBlank="1" showInputMessage="1" showErrorMessage="1" prompt="Weld Size must be less than ta - 1/8&quot;, but never greater than 5/16&quot;" error="Invalid fillet weld size!&#10;Must be less than ta-1/8&quot;" sqref="D14">
      <formula1>0.125</formula1>
      <formula2>MIN(5/16,$D$12-1/8)</formula2>
    </dataValidation>
    <dataValidation type="decimal" allowBlank="1" showInputMessage="1" showErrorMessage="1" prompt="Weld Size must be less than ta - 1/16&quot;, but never greater than 3/8&quot;" error="Invalid fillet weld size!&#10;Must be less than ta-1/16&quot;" sqref="D15">
      <formula1>0.125</formula1>
      <formula2>MIN(3/8,$D$12-1/16)</formula2>
    </dataValidation>
    <dataValidation operator="greaterThanOrEqual" allowBlank="1" showInputMessage="1" showErrorMessage="1" prompt="'Lb' is the length of the angle leg connected to the beam web.  Per AISC Table 10-3, Lb = 3&quot;." errorTitle="Warning!" error="Value of Lb MUST BE &gt;= 3&quot;" sqref="D11"/>
    <dataValidation allowBlank="1" showInputMessage="1" showErrorMessage="1" prompt="'Lc' is the length of the angle leg (OSL) connected to the column web.  From AISC Table 10-3, for L &lt; 18&quot;, Lc = 3&quot;, for L &gt;= 18&quot;, Lc = 4&quot;." sqref="D10"/>
  </dataValidations>
  <printOptions horizontalCentered="1"/>
  <pageMargins left="1" right="0.5" top="1.26" bottom="1" header="0.5" footer="0.5"/>
  <pageSetup fitToHeight="2" fitToWidth="1" horizontalDpi="600" verticalDpi="600" orientation="portrait" scale="74" r:id="rId4"/>
  <headerFooter alignWithMargins="0">
    <oddHeader>&amp;R&amp;8"CLIPCONN-BOLT-WELD-13.xls" Program
Created By: Joel Berg, P.E.
Based on a Program By: Alex Tomanovich, P.E.
Version 1.1</oddHeader>
    <oddFooter>&amp;L&amp;8&amp;D
&amp;T&amp;C&amp;8&amp;Z
&amp;F&amp;R&amp;8Page &amp;P
of &amp;N</oddFooter>
  </headerFooter>
  <rowBreaks count="3" manualBreakCount="3">
    <brk id="66" max="10" man="1"/>
    <brk id="169" max="8" man="1"/>
    <brk id="250" max="8"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"CLIPCONN-ALL-WELD-13" Program</dc:title>
  <dc:subject/>
  <dc:creator>Joel Berg, P.E. - 809 Hyland Ave, Kaukauna, WI 54130 - Work: 920-766-3521 - Email: jberg@baisch.com</dc:creator>
  <cp:keywords/>
  <dc:description>All Welded Clip Angle Connection Design per AISC 13th Ed. (ASD)</dc:description>
  <cp:lastModifiedBy>Joel Berg</cp:lastModifiedBy>
  <cp:lastPrinted>2010-01-30T01:52:32Z</cp:lastPrinted>
  <dcterms:created xsi:type="dcterms:W3CDTF">2000-10-29T04:55:39Z</dcterms:created>
  <dcterms:modified xsi:type="dcterms:W3CDTF">2013-01-04T13:08:58Z</dcterms:modified>
  <cp:category>Structural Engineering Analysis/Design</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-469472624</vt:i4>
  </property>
  <property fmtid="{D5CDD505-2E9C-101B-9397-08002B2CF9AE}" pid="3" name="_EmailSubject">
    <vt:lpwstr>REPAIRED CLIPCONN</vt:lpwstr>
  </property>
  <property fmtid="{D5CDD505-2E9C-101B-9397-08002B2CF9AE}" pid="4" name="_AuthorEmail">
    <vt:lpwstr>Jeff.Allen@cmcsg.com</vt:lpwstr>
  </property>
  <property fmtid="{D5CDD505-2E9C-101B-9397-08002B2CF9AE}" pid="5" name="_AuthorEmailDisplayName">
    <vt:lpwstr>Allen, Jeff W</vt:lpwstr>
  </property>
  <property fmtid="{D5CDD505-2E9C-101B-9397-08002B2CF9AE}" pid="6" name="_ReviewingToolsShownOnce">
    <vt:lpwstr/>
  </property>
</Properties>
</file>