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260" windowHeight="10620" tabRatio="959" activeTab="0"/>
  </bookViews>
  <sheets>
    <sheet name="Doc" sheetId="1" r:id="rId1"/>
    <sheet name="FMG Roof Uplift Ratings" sheetId="2" r:id="rId2"/>
  </sheets>
  <definedNames>
    <definedName name="_xlnm.Print_Area" localSheetId="1">'FMG Roof Uplift Ratings'!$A$1:$J$55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 </author>
    <author>ATOMANOV</author>
    <author>Bob Dalpiaz</author>
  </authors>
  <commentList>
    <comment ref="C13" authorId="0">
      <text>
        <r>
          <rPr>
            <sz val="8"/>
            <rFont val="Tahoma"/>
            <family val="2"/>
          </rPr>
          <t>The eave height, 'he', is the distance from the ground surface adjacent to the building to the roof eave line at a particular wall.  
If the height of the eave varies along the wall, the average height shall be used.</t>
        </r>
      </text>
    </comment>
    <comment ref="C28" authorId="1">
      <text>
        <r>
          <rPr>
            <sz val="8"/>
            <rFont val="Tahoma"/>
            <family val="2"/>
          </rPr>
          <t xml:space="preserve">For h &lt;= 60', width </t>
        </r>
        <r>
          <rPr>
            <b/>
            <sz val="8"/>
            <rFont val="Tahoma"/>
            <family val="2"/>
          </rPr>
          <t>'a'</t>
        </r>
        <r>
          <rPr>
            <sz val="8"/>
            <rFont val="Tahoma"/>
            <family val="2"/>
          </rPr>
          <t xml:space="preserve"> for Zone 2 is equal to 10% of least horizontal dimension or 0.4*h, whichever is smaller, but not less than either 4% of least horizontal dimension or 3'.
For h &gt; 60', width </t>
        </r>
        <r>
          <rPr>
            <b/>
            <sz val="8"/>
            <rFont val="Tahoma"/>
            <family val="2"/>
          </rPr>
          <t>'a'</t>
        </r>
        <r>
          <rPr>
            <sz val="8"/>
            <rFont val="Tahoma"/>
            <family val="2"/>
          </rPr>
          <t xml:space="preserve"> for Zone 2 is equal to 10% of least horizontal dimension, but not less than 3'.</t>
        </r>
      </text>
    </comment>
    <comment ref="E37" authorId="0">
      <text>
        <r>
          <rPr>
            <sz val="8"/>
            <rFont val="Tahoma"/>
            <family val="2"/>
          </rPr>
          <t xml:space="preserve">Zone 1 FMG Rating = p1 pressure rounded up to the next highest 15 psf rating interval.
</t>
        </r>
        <r>
          <rPr>
            <sz val="8"/>
            <color indexed="10"/>
            <rFont val="Tahoma"/>
            <family val="2"/>
          </rPr>
          <t>Note: Use Zone 2 for Zone 1 for Gable roof 
          when Ө &gt; 7 deg.
          Rating 1-60 is the minimum FMG Rating.</t>
        </r>
      </text>
    </comment>
    <comment ref="E45" authorId="0">
      <text>
        <r>
          <rPr>
            <sz val="8"/>
            <rFont val="Tahoma"/>
            <family val="2"/>
          </rPr>
          <t xml:space="preserve">Zone 2 FMG Rating = p2 pressure rounded up to the next highest 15 psf rating interval.
</t>
        </r>
        <r>
          <rPr>
            <sz val="8"/>
            <color indexed="10"/>
            <rFont val="Tahoma"/>
            <family val="2"/>
          </rPr>
          <t>Note: Use Zone 3 for Zone 2 for Gable roof when Ө &lt;= 7 deg.
          and h &gt; 60 ft.
          Use Zone 3 for Zone 2 for Gable roof when Ө &gt; 7 deg. 
          and h &lt;= 60 ft.</t>
        </r>
      </text>
    </comment>
    <comment ref="E53" authorId="0">
      <text>
        <r>
          <rPr>
            <sz val="8"/>
            <rFont val="Tahoma"/>
            <family val="2"/>
          </rPr>
          <t>Zone 3 FMG Rating = p3 pressure rounded up to the next highest 15 psf rating interval.</t>
        </r>
      </text>
    </comment>
    <comment ref="E32" authorId="0">
      <text>
        <r>
          <rPr>
            <sz val="8"/>
            <rFont val="Tahoma"/>
            <family val="2"/>
          </rPr>
          <t>Note: FMG stipulates that interpolation is appropriate in use of Tables 3, 4, and 5.</t>
        </r>
      </text>
    </comment>
    <comment ref="E33" authorId="0">
      <text>
        <r>
          <rPr>
            <sz val="8"/>
            <rFont val="Tahoma"/>
            <family val="2"/>
          </rPr>
          <t>Note: FMG does not stipulate that interpolation is appropriate in use of Table 6.  Thus, interpolation is NOT used in Table 6  in detemining C1.</t>
        </r>
      </text>
    </comment>
    <comment ref="E40" authorId="0">
      <text>
        <r>
          <rPr>
            <sz val="8"/>
            <rFont val="Tahoma"/>
            <family val="2"/>
          </rPr>
          <t>Note: FMG stipulates that interpolation is appropriate in use of Tables 3, 4, and 5.</t>
        </r>
      </text>
    </comment>
    <comment ref="E41" authorId="0">
      <text>
        <r>
          <rPr>
            <sz val="8"/>
            <rFont val="Tahoma"/>
            <family val="2"/>
          </rPr>
          <t>Note: FMG does not stipulate that interpolation is appropriate in use of Table 6.  Thus, interpolation is NOT used in Table 6  in detemining C2.</t>
        </r>
      </text>
    </comment>
    <comment ref="E48" authorId="0">
      <text>
        <r>
          <rPr>
            <sz val="8"/>
            <rFont val="Tahoma"/>
            <family val="2"/>
          </rPr>
          <t>Note: FMG stipulates that interpolation is appropriate in use of Tables 3, 4, and 5.</t>
        </r>
      </text>
    </comment>
    <comment ref="E49" authorId="0">
      <text>
        <r>
          <rPr>
            <sz val="8"/>
            <rFont val="Tahoma"/>
            <family val="2"/>
          </rPr>
          <t>Note: FMG does not stipulate that interpolation is appropriate in use of Table 6.  Thus, interpolation is NOT used in Table 6  in detemining C3.</t>
        </r>
      </text>
    </comment>
    <comment ref="C16" authorId="2">
      <text>
        <r>
          <rPr>
            <sz val="8"/>
            <rFont val="Tahoma"/>
            <family val="2"/>
          </rPr>
          <t>This program assumes that a Gable roof is symmetrical, as the ridge line is assumed in the center of the building dimension, 'L'.
For flat roofs (roof angle = 0 degrees), either Gable or Monoslope may be used.</t>
        </r>
      </text>
    </comment>
    <comment ref="C14" authorId="0">
      <text>
        <r>
          <rPr>
            <sz val="8"/>
            <rFont val="Tahoma"/>
            <family val="2"/>
          </rPr>
          <t>'L' is the building dimension  perpendicular to the building ridge.</t>
        </r>
      </text>
    </comment>
    <comment ref="C15" authorId="0">
      <text>
        <r>
          <rPr>
            <sz val="8"/>
            <rFont val="Tahoma"/>
            <family val="2"/>
          </rPr>
          <t>'B' is the building dimension 
parallel to the building ridge.</t>
        </r>
      </text>
    </comment>
    <comment ref="AA1" authorId="0">
      <text>
        <r>
          <rPr>
            <b/>
            <sz val="8"/>
            <rFont val="Tahoma"/>
            <family val="2"/>
          </rPr>
          <t xml:space="preserve">             "FMG128.xls"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<sst xmlns="http://schemas.openxmlformats.org/spreadsheetml/2006/main" count="245" uniqueCount="157">
  <si>
    <t>ft. (hr &gt;= he)</t>
  </si>
  <si>
    <t>ft. (he &lt;= hr)</t>
  </si>
  <si>
    <t xml:space="preserve">  from Table 8:</t>
  </si>
  <si>
    <t xml:space="preserve">  Zone 1 Rating</t>
  </si>
  <si>
    <t xml:space="preserve">  Zone 2 Rating</t>
  </si>
  <si>
    <t xml:space="preserve">  Zone 3 Rating</t>
  </si>
  <si>
    <t>ft.</t>
  </si>
  <si>
    <t>psf</t>
  </si>
  <si>
    <t>Job Name:</t>
  </si>
  <si>
    <t>Subject:</t>
  </si>
  <si>
    <t>Job Number:</t>
  </si>
  <si>
    <t>Originator:</t>
  </si>
  <si>
    <t>Checker:</t>
  </si>
  <si>
    <t>Input Data:</t>
  </si>
  <si>
    <t>Results:</t>
  </si>
  <si>
    <t>Field</t>
  </si>
  <si>
    <t>FMG DS 1-28 Wind Uplift Rating</t>
  </si>
  <si>
    <t>Perimeter</t>
  </si>
  <si>
    <t>Corner</t>
  </si>
  <si>
    <t>FMG Factor of Safety, FS =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</si>
  <si>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</si>
  <si>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</si>
  <si>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</si>
  <si>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</si>
  <si>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</si>
  <si>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</si>
  <si>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 xml:space="preserve">     explanations of input or output items, equations used, data tables, etc.  (Note:  presence of a “comment box”</t>
  </si>
  <si>
    <t xml:space="preserve">     is denoted by a “red triangle” in the upper right-hand corner of a cell.  Merely move the mouse pointer to the </t>
  </si>
  <si>
    <t xml:space="preserve">     desired cell to view the contents of that particular "comment box".)</t>
  </si>
  <si>
    <t>h</t>
  </si>
  <si>
    <t>Index</t>
  </si>
  <si>
    <t>mph</t>
  </si>
  <si>
    <t>Interpolating:</t>
  </si>
  <si>
    <t>Result:</t>
  </si>
  <si>
    <t>Zone 1</t>
  </si>
  <si>
    <t>Zone 2</t>
  </si>
  <si>
    <t>Zone 3</t>
  </si>
  <si>
    <t>Enclosed Building</t>
  </si>
  <si>
    <t>Part. Enclosed Bldg.</t>
  </si>
  <si>
    <t>Roof</t>
  </si>
  <si>
    <t>(ft.)</t>
  </si>
  <si>
    <t>h&lt;=60</t>
  </si>
  <si>
    <t>60&lt;h&lt;90</t>
  </si>
  <si>
    <t>and</t>
  </si>
  <si>
    <t>deg.</t>
  </si>
  <si>
    <t>h/w&lt;=1,</t>
  </si>
  <si>
    <t>Enclosed</t>
  </si>
  <si>
    <t>Part. Encl.</t>
  </si>
  <si>
    <t>B</t>
  </si>
  <si>
    <t>C</t>
  </si>
  <si>
    <t>D</t>
  </si>
  <si>
    <t>FMG DS 1-28 - Table 3 (Exposure B)</t>
  </si>
  <si>
    <t>FMG DS 1-28 - Table 4 (Exposure C)</t>
  </si>
  <si>
    <t>FMG DS 1-28 - Table 5 (Exposure D)</t>
  </si>
  <si>
    <t>w =</t>
  </si>
  <si>
    <t>h/w =</t>
  </si>
  <si>
    <r>
      <t xml:space="preserve">Angle, </t>
    </r>
    <r>
      <rPr>
        <sz val="10"/>
        <color indexed="12"/>
        <rFont val="Symbol"/>
        <family val="1"/>
      </rPr>
      <t>f</t>
    </r>
  </si>
  <si>
    <t>h/w&gt;1,</t>
  </si>
  <si>
    <t>h&gt;=90</t>
  </si>
  <si>
    <t>Exposure Category =</t>
  </si>
  <si>
    <t>Ridge Height, hr =</t>
  </si>
  <si>
    <t>Eave Height, he =</t>
  </si>
  <si>
    <t>Roof Type =</t>
  </si>
  <si>
    <t>Gable</t>
  </si>
  <si>
    <t>Monoslope</t>
  </si>
  <si>
    <r>
      <t xml:space="preserve">Roof Angle,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=</t>
    </r>
  </si>
  <si>
    <t>Mean Roof  Ht., h =</t>
  </si>
  <si>
    <t>Effective Area, Ae =</t>
  </si>
  <si>
    <t>Parameters and Coefficients:</t>
  </si>
  <si>
    <r>
      <t xml:space="preserve">Importance Factor, </t>
    </r>
    <r>
      <rPr>
        <sz val="10"/>
        <rFont val="Tahoma"/>
        <family val="2"/>
      </rPr>
      <t>I</t>
    </r>
    <r>
      <rPr>
        <sz val="10"/>
        <rFont val="Arial"/>
        <family val="0"/>
      </rPr>
      <t xml:space="preserve"> =</t>
    </r>
  </si>
  <si>
    <t>Calculations:</t>
  </si>
  <si>
    <t>ft.^2</t>
  </si>
  <si>
    <t>Zone 1 (Roof Field Area) Uplift Design Pressure and Rating:</t>
  </si>
  <si>
    <t>Zone 2 (Perimeter Area) Uplift Design Pressure and Rating:</t>
  </si>
  <si>
    <t>Zone 3 (Corner Area) Uplift Design Pressure and Rating:</t>
  </si>
  <si>
    <t>Building Dimension, L =</t>
  </si>
  <si>
    <t>Building Dimension, B =</t>
  </si>
  <si>
    <t>Enclosed or Part. Encl. =</t>
  </si>
  <si>
    <t>Basic Wind Speed, V =</t>
  </si>
  <si>
    <t>Ae &lt;= 10 ft.^2, as limited by FMG 1-28, Section 2.2(d)</t>
  </si>
  <si>
    <t>FMG DS 1-28 - Table 8</t>
  </si>
  <si>
    <t>Zone 1 (Field Area) Basic Uplift Pressure, pb1 =</t>
  </si>
  <si>
    <t>Zone 1 Negative Pressure Multiplier, C1 =</t>
  </si>
  <si>
    <t>Zone 1 (Field Area) Design Uplift Pressure, pd1 =</t>
  </si>
  <si>
    <t>FS = 2, per FMG 1-28</t>
  </si>
  <si>
    <t>C1 = from FMG 1-28, Table 6</t>
  </si>
  <si>
    <t>C2 = from FMG 1-28, Table 6</t>
  </si>
  <si>
    <t>Zone 2 Negative Pressure Multiplier, C2 =</t>
  </si>
  <si>
    <t>Zone 3 Negative Pressure Multiplier, C3 =</t>
  </si>
  <si>
    <t>C3 = from FMG 1-28, Table 6</t>
  </si>
  <si>
    <t>Zone 2 (Perimeter) Design Uplift Pressure, pd2 =</t>
  </si>
  <si>
    <t>Zone 3 (Corner) Design Uplift Pressure, pd3 =</t>
  </si>
  <si>
    <t>FMG Zone 1 (Field Area) Pressure, p1 =</t>
  </si>
  <si>
    <t>p1 = pd1*FS</t>
  </si>
  <si>
    <t>p2 = pd2*FS</t>
  </si>
  <si>
    <t>p3 = pd3*FS</t>
  </si>
  <si>
    <t>pd1 = pb1*C1</t>
  </si>
  <si>
    <t>pd2 = pb1*C2</t>
  </si>
  <si>
    <t>pd3 = pb1*C3</t>
  </si>
  <si>
    <t>Zone 1 FMG Rating =</t>
  </si>
  <si>
    <t>Zone 2 FMG Rating =</t>
  </si>
  <si>
    <t>Zone 3 FMG Rating =</t>
  </si>
  <si>
    <t>Case 1:</t>
  </si>
  <si>
    <t>Case 2:</t>
  </si>
  <si>
    <t>Case 3:</t>
  </si>
  <si>
    <t>Case 1: Interpolating for h &lt;= 60 and when h/w &lt;= 1 for 60 &lt; h &lt; 90</t>
  </si>
  <si>
    <t>Case 2: Interpolating for h/w &gt; 1 for 60 &lt; h &lt; 90</t>
  </si>
  <si>
    <t>Case 3: Interpolating for h &gt;= 90</t>
  </si>
  <si>
    <r>
      <t xml:space="preserve">FMG DS 1-28 - Table 6 </t>
    </r>
    <r>
      <rPr>
        <sz val="10"/>
        <color indexed="10"/>
        <rFont val="Arial"/>
        <family val="2"/>
      </rPr>
      <t>(No interpolating for roof angle)</t>
    </r>
  </si>
  <si>
    <r>
      <t xml:space="preserve">FMG DS 1-28 - Table 6 </t>
    </r>
    <r>
      <rPr>
        <sz val="10"/>
        <color indexed="10"/>
        <rFont val="Arial"/>
        <family val="2"/>
      </rPr>
      <t>(Interpolating for the roof angle)</t>
    </r>
  </si>
  <si>
    <t>ROOF WIND UPLIFT PRESSURE RATINGS</t>
  </si>
  <si>
    <t>Roof Wind Uplift Pressure Ratings per Factory Mutual Global 1-28</t>
  </si>
  <si>
    <t xml:space="preserve">     b. Apply multiplier for Zone 1 from Table 6.</t>
  </si>
  <si>
    <t xml:space="preserve">     a. Get Field Area design pressure from either Table 3, 4, or 5 depending on the Exposure, either B, C, or D.</t>
  </si>
  <si>
    <t xml:space="preserve">     Note: for Zone 2 (Perimeter) and Zone 3 (Corners)</t>
  </si>
  <si>
    <t xml:space="preserve">     b. Apply multiplier for Zone 2 from Table 6.</t>
  </si>
  <si>
    <t xml:space="preserve">     b. Apply multiplier for Zone 3 from Table 6.</t>
  </si>
  <si>
    <t xml:space="preserve">     d. Round value up to the next highest 15 psf rating interval to arrive at the FMG Zone 1 (Field Area) Rating.</t>
  </si>
  <si>
    <t xml:space="preserve">     d. Round value up to the next highest 15 psf rating interval to arrive at the FMG Zone 2 (Perimeter) Rating.</t>
  </si>
  <si>
    <t xml:space="preserve">     d. Round value up to the next highest 15 psf rating interval to arrive at the FMG Zone 3 (Corners) Rating.</t>
  </si>
  <si>
    <t xml:space="preserve">     ASCE 7 Standard and apply the appropriate effective tributary area along with an Importance Factor = 1.15.</t>
  </si>
  <si>
    <t>Zone 1 =</t>
  </si>
  <si>
    <t>FMG Rating</t>
  </si>
  <si>
    <t>Zone 2 =</t>
  </si>
  <si>
    <t>Zone 3 =</t>
  </si>
  <si>
    <r>
      <t xml:space="preserve">(for enclosed bldgs., </t>
    </r>
    <r>
      <rPr>
        <sz val="9"/>
        <color indexed="10"/>
        <rFont val="Symbol"/>
        <family val="1"/>
      </rPr>
      <t>q</t>
    </r>
    <r>
      <rPr>
        <sz val="9"/>
        <color indexed="10"/>
        <rFont val="Arial"/>
        <family val="2"/>
      </rPr>
      <t xml:space="preserve"> &lt;= 7, and h &lt;= 60 ft.)</t>
    </r>
  </si>
  <si>
    <t>Press., p</t>
  </si>
  <si>
    <t>Note!</t>
  </si>
  <si>
    <t>Zone 2 Dimension, a =</t>
  </si>
  <si>
    <t>(Note: NOT USED)</t>
  </si>
  <si>
    <r>
      <t>I</t>
    </r>
    <r>
      <rPr>
        <sz val="10"/>
        <rFont val="Arial"/>
        <family val="0"/>
      </rPr>
      <t xml:space="preserve"> = 1.15, per FMG 1-28, Section 2.2(a)</t>
    </r>
  </si>
  <si>
    <t>w = Lesser of L or B building dimension</t>
  </si>
  <si>
    <t>Ratio of mean roof ht. to least bldg. dimension (for Table 6)</t>
  </si>
  <si>
    <t>p1 rounded up to next 15 psf interval</t>
  </si>
  <si>
    <t>p2 rounded up to next 15 psf interval</t>
  </si>
  <si>
    <t>p3 rounded up to next 15 psf interval</t>
  </si>
  <si>
    <t xml:space="preserve">     c. Apply a Factor of Safety multiplier of 2.</t>
  </si>
  <si>
    <t>Per Factory Mutual Global (FMG) Data Sheet 1-28: "Wind Design" (2009/2011)</t>
  </si>
  <si>
    <t>for Roof Deck Securement and Above-Deck Roof Components</t>
  </si>
  <si>
    <t>"FMG128" --- FACTORY MUTUAL GLOBAL WIND UPLIFT RATINGS</t>
  </si>
  <si>
    <t xml:space="preserve">"FMG128" is a spreadsheet program written in MS-Excel for the purpose of determining Factory Mutual Global </t>
  </si>
  <si>
    <t>This program is a workbook consisting of two (2) worksheets, described as follows:</t>
  </si>
  <si>
    <t>1.  This program is based on the following reference:</t>
  </si>
  <si>
    <t xml:space="preserve">         Data Sheet 1-28: "Wind Design" - by Factory Mutual Global, 2009 (Revised April 2011)</t>
  </si>
  <si>
    <t>3.  In the "FMG Roof Uplift Ratings" worksheet, the FMG roof Zone 2 (Perimeter) Rating is determined as follows:</t>
  </si>
  <si>
    <t>4.  In the "FMG Roof Uplift Ratings" worksheet, the FMG roof Zone 3 (Corners) Rating is determined as follows:</t>
  </si>
  <si>
    <t>6.  This program contains numerous “comment boxes” which contain a wide variety of information including</t>
  </si>
  <si>
    <t>From: FM Global  - Property Loss Prevention Data Sheets 1-28, Wind Design (2009/2011)</t>
  </si>
  <si>
    <t xml:space="preserve">     the effective area be set = 10 ft.^2 along with an Importance Factor = 1.15.  </t>
  </si>
  <si>
    <t xml:space="preserve">     For secondary supporting members (purlins or joists) per FMG 1-28 Section 2.2.3,  refer to applicable </t>
  </si>
  <si>
    <t xml:space="preserve">5.  For components and cladding (roof deck, fasteners, and above deck components), FMG 1-28 requires that </t>
  </si>
  <si>
    <t>FMG Roof Uplift Ratings</t>
  </si>
  <si>
    <t>2.  In the "FMG Roof Uplift Ratings" worksheet, the FMG roof Zone 1 (Field Area) Rating is determined as follows:</t>
  </si>
  <si>
    <t>(FMG) required roof zone ratings for the three (3) zones of a roof, based on FMG Data Sheet 1-28 (2009/2011).</t>
  </si>
  <si>
    <t>Version 1.1</t>
  </si>
  <si>
    <t>FMG Zone 2 (Perimeter Area) Pressure, p2 =</t>
  </si>
  <si>
    <t>FMG Zone 3 (Corner Area) Pressure, p3 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</si>
</sst>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\ ;\(&quot;$&quot;#,##0\)"/>
    <numFmt numFmtId="167" formatCode="0.0"/>
    <numFmt numFmtId="168" formatCode="\1\-#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sz val="10"/>
      <color indexed="12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Symbol"/>
      <family val="1"/>
    </font>
    <font>
      <b/>
      <sz val="8"/>
      <color indexed="12"/>
      <name val="Arial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6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8" xfId="0" applyFont="1" applyFill="1" applyBorder="1" applyAlignment="1" applyProtection="1">
      <alignment horizontal="centerContinuous"/>
      <protection hidden="1"/>
    </xf>
    <xf numFmtId="0" fontId="0" fillId="34" borderId="9" xfId="0" applyFill="1" applyBorder="1" applyAlignment="1" applyProtection="1">
      <alignment horizontal="centerContinuous"/>
      <protection hidden="1"/>
    </xf>
    <xf numFmtId="0" fontId="9" fillId="34" borderId="9" xfId="0" applyFont="1" applyFill="1" applyBorder="1" applyAlignment="1" applyProtection="1">
      <alignment horizontal="centerContinuous"/>
      <protection hidden="1"/>
    </xf>
    <xf numFmtId="0" fontId="0" fillId="34" borderId="10" xfId="0" applyFont="1" applyFill="1" applyBorder="1" applyAlignment="1">
      <alignment horizontal="centerContinuous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hidden="1"/>
    </xf>
    <xf numFmtId="0" fontId="10" fillId="34" borderId="11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centerContinuous"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12" xfId="0" applyFont="1" applyFill="1" applyBorder="1" applyAlignment="1">
      <alignment horizontal="centerContinuous"/>
    </xf>
    <xf numFmtId="0" fontId="10" fillId="34" borderId="13" xfId="0" applyFont="1" applyFill="1" applyBorder="1" applyAlignment="1" applyProtection="1">
      <alignment horizontal="centerContinuous"/>
      <protection hidden="1"/>
    </xf>
    <xf numFmtId="0" fontId="9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ont="1" applyFill="1" applyBorder="1" applyAlignment="1">
      <alignment horizontal="centerContinuous"/>
    </xf>
    <xf numFmtId="0" fontId="0" fillId="33" borderId="16" xfId="0" applyFill="1" applyBorder="1" applyAlignment="1" applyProtection="1">
      <alignment horizontal="center"/>
      <protection hidden="1"/>
    </xf>
    <xf numFmtId="49" fontId="7" fillId="33" borderId="13" xfId="0" applyNumberFormat="1" applyFont="1" applyFill="1" applyBorder="1" applyAlignment="1" applyProtection="1">
      <alignment/>
      <protection locked="0"/>
    </xf>
    <xf numFmtId="49" fontId="7" fillId="33" borderId="14" xfId="0" applyNumberFormat="1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9" fontId="7" fillId="33" borderId="18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/>
      <protection hidden="1"/>
    </xf>
    <xf numFmtId="14" fontId="7" fillId="33" borderId="9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12" fillId="33" borderId="11" xfId="0" applyNumberFormat="1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2" fontId="11" fillId="33" borderId="0" xfId="0" applyNumberFormat="1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7" fillId="33" borderId="0" xfId="0" applyFont="1" applyFill="1" applyAlignment="1">
      <alignment/>
    </xf>
    <xf numFmtId="2" fontId="11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2" fontId="7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>
      <alignment/>
    </xf>
    <xf numFmtId="2" fontId="7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 applyProtection="1">
      <alignment/>
      <protection hidden="1"/>
    </xf>
    <xf numFmtId="0" fontId="7" fillId="35" borderId="21" xfId="0" applyFont="1" applyFill="1" applyBorder="1" applyAlignment="1" applyProtection="1">
      <alignment horizontal="center"/>
      <protection locked="0"/>
    </xf>
    <xf numFmtId="2" fontId="7" fillId="35" borderId="21" xfId="0" applyNumberFormat="1" applyFont="1" applyFill="1" applyBorder="1" applyAlignment="1" applyProtection="1">
      <alignment horizontal="center"/>
      <protection locked="0"/>
    </xf>
    <xf numFmtId="49" fontId="7" fillId="33" borderId="17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7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2" fontId="7" fillId="33" borderId="21" xfId="0" applyNumberFormat="1" applyFont="1" applyFill="1" applyBorder="1" applyAlignment="1" applyProtection="1">
      <alignment horizontal="center"/>
      <protection hidden="1"/>
    </xf>
    <xf numFmtId="165" fontId="7" fillId="33" borderId="23" xfId="0" applyNumberFormat="1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7" fillId="33" borderId="22" xfId="0" applyNumberFormat="1" applyFont="1" applyFill="1" applyBorder="1" applyAlignment="1" applyProtection="1">
      <alignment horizontal="center"/>
      <protection hidden="1"/>
    </xf>
    <xf numFmtId="165" fontId="7" fillId="33" borderId="21" xfId="0" applyNumberFormat="1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locked="0"/>
    </xf>
    <xf numFmtId="0" fontId="7" fillId="33" borderId="21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24" fillId="33" borderId="0" xfId="0" applyFont="1" applyFill="1" applyAlignment="1">
      <alignment/>
    </xf>
    <xf numFmtId="0" fontId="23" fillId="33" borderId="0" xfId="0" applyFont="1" applyFill="1" applyAlignment="1" applyProtection="1">
      <alignment horizontal="centerContinuous"/>
      <protection hidden="1"/>
    </xf>
    <xf numFmtId="0" fontId="24" fillId="33" borderId="0" xfId="0" applyFont="1" applyFill="1" applyAlignment="1" applyProtection="1">
      <alignment horizontal="centerContinuous"/>
      <protection hidden="1"/>
    </xf>
    <xf numFmtId="0" fontId="2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9" fillId="33" borderId="17" xfId="0" applyFont="1" applyFill="1" applyBorder="1" applyAlignment="1" applyProtection="1">
      <alignment horizontal="centerContinuous"/>
      <protection hidden="1"/>
    </xf>
    <xf numFmtId="0" fontId="25" fillId="33" borderId="18" xfId="0" applyFont="1" applyFill="1" applyBorder="1" applyAlignment="1" applyProtection="1">
      <alignment horizontal="centerContinuous"/>
      <protection hidden="1"/>
    </xf>
    <xf numFmtId="0" fontId="25" fillId="33" borderId="19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0" fillId="33" borderId="19" xfId="0" applyFont="1" applyFill="1" applyBorder="1" applyAlignment="1" applyProtection="1">
      <alignment horizontal="centerContinuous"/>
      <protection hidden="1"/>
    </xf>
    <xf numFmtId="0" fontId="24" fillId="0" borderId="8" xfId="0" applyFont="1" applyFill="1" applyBorder="1" applyAlignment="1" applyProtection="1">
      <alignment horizontal="centerContinuous"/>
      <protection hidden="1"/>
    </xf>
    <xf numFmtId="0" fontId="24" fillId="0" borderId="9" xfId="0" applyFont="1" applyFill="1" applyBorder="1" applyAlignment="1" applyProtection="1">
      <alignment horizontal="centerContinuous"/>
      <protection hidden="1"/>
    </xf>
    <xf numFmtId="0" fontId="24" fillId="0" borderId="10" xfId="0" applyFont="1" applyFill="1" applyBorder="1" applyAlignment="1" applyProtection="1">
      <alignment horizontal="centerContinuous"/>
      <protection hidden="1"/>
    </xf>
    <xf numFmtId="0" fontId="24" fillId="0" borderId="13" xfId="0" applyFont="1" applyFill="1" applyBorder="1" applyAlignment="1" applyProtection="1">
      <alignment horizontal="centerContinuous"/>
      <protection hidden="1"/>
    </xf>
    <xf numFmtId="0" fontId="24" fillId="0" borderId="14" xfId="0" applyFont="1" applyFill="1" applyBorder="1" applyAlignment="1" applyProtection="1">
      <alignment horizontal="centerContinuous"/>
      <protection hidden="1"/>
    </xf>
    <xf numFmtId="0" fontId="24" fillId="0" borderId="15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1" fillId="33" borderId="0" xfId="0" applyNumberFormat="1" applyFont="1" applyFill="1" applyBorder="1" applyAlignment="1" applyProtection="1">
      <alignment/>
      <protection hidden="1"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165" fontId="7" fillId="33" borderId="0" xfId="0" applyNumberFormat="1" applyFont="1" applyFill="1" applyAlignment="1" applyProtection="1">
      <alignment horizontal="center"/>
      <protection hidden="1"/>
    </xf>
    <xf numFmtId="2" fontId="7" fillId="33" borderId="0" xfId="0" applyNumberFormat="1" applyFont="1" applyFill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11" fillId="33" borderId="0" xfId="0" applyNumberFormat="1" applyFont="1" applyFill="1" applyBorder="1" applyAlignment="1" applyProtection="1">
      <alignment/>
      <protection hidden="1"/>
    </xf>
    <xf numFmtId="2" fontId="7" fillId="33" borderId="0" xfId="0" applyNumberFormat="1" applyFont="1" applyFill="1" applyAlignment="1" applyProtection="1">
      <alignment horizontal="center"/>
      <protection hidden="1"/>
    </xf>
    <xf numFmtId="0" fontId="13" fillId="33" borderId="0" xfId="0" applyNumberFormat="1" applyFont="1" applyFill="1" applyBorder="1" applyAlignment="1" applyProtection="1">
      <alignment/>
      <protection hidden="1"/>
    </xf>
    <xf numFmtId="2" fontId="7" fillId="35" borderId="21" xfId="0" applyNumberFormat="1" applyFont="1" applyFill="1" applyBorder="1" applyAlignment="1" applyProtection="1">
      <alignment horizontal="center"/>
      <protection locked="0"/>
    </xf>
    <xf numFmtId="0" fontId="11" fillId="33" borderId="0" xfId="0" applyNumberFormat="1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2" fontId="7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right"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65" fontId="7" fillId="33" borderId="0" xfId="0" applyNumberFormat="1" applyFont="1" applyFill="1" applyBorder="1" applyAlignment="1" applyProtection="1">
      <alignment/>
      <protection hidden="1"/>
    </xf>
    <xf numFmtId="2" fontId="7" fillId="33" borderId="0" xfId="0" applyNumberFormat="1" applyFont="1" applyFill="1" applyBorder="1" applyAlignment="1" applyProtection="1">
      <alignment/>
      <protection hidden="1"/>
    </xf>
    <xf numFmtId="165" fontId="7" fillId="33" borderId="0" xfId="0" applyNumberFormat="1" applyFont="1" applyFill="1" applyAlignment="1" applyProtection="1">
      <alignment/>
      <protection hidden="1"/>
    </xf>
    <xf numFmtId="2" fontId="7" fillId="33" borderId="0" xfId="0" applyNumberFormat="1" applyFont="1" applyFill="1" applyAlignment="1" applyProtection="1">
      <alignment/>
      <protection hidden="1"/>
    </xf>
    <xf numFmtId="0" fontId="7" fillId="33" borderId="0" xfId="0" applyNumberFormat="1" applyFont="1" applyFill="1" applyAlignment="1">
      <alignment horizontal="center"/>
    </xf>
    <xf numFmtId="0" fontId="16" fillId="33" borderId="0" xfId="0" applyFont="1" applyFill="1" applyBorder="1" applyAlignment="1" applyProtection="1">
      <alignment/>
      <protection hidden="1"/>
    </xf>
    <xf numFmtId="164" fontId="7" fillId="33" borderId="0" xfId="0" applyNumberFormat="1" applyFont="1" applyFill="1" applyBorder="1" applyAlignment="1" applyProtection="1">
      <alignment/>
      <protection hidden="1"/>
    </xf>
    <xf numFmtId="2" fontId="7" fillId="33" borderId="0" xfId="0" applyNumberFormat="1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 horizontal="right"/>
      <protection hidden="1"/>
    </xf>
    <xf numFmtId="0" fontId="20" fillId="33" borderId="0" xfId="0" applyNumberFormat="1" applyFont="1" applyFill="1" applyBorder="1" applyAlignment="1" applyProtection="1">
      <alignment/>
      <protection hidden="1"/>
    </xf>
    <xf numFmtId="2" fontId="7" fillId="33" borderId="0" xfId="0" applyNumberFormat="1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2" fontId="7" fillId="33" borderId="22" xfId="0" applyNumberFormat="1" applyFont="1" applyFill="1" applyBorder="1" applyAlignment="1" applyProtection="1">
      <alignment horizontal="center"/>
      <protection hidden="1"/>
    </xf>
    <xf numFmtId="1" fontId="7" fillId="33" borderId="20" xfId="0" applyNumberFormat="1" applyFont="1" applyFill="1" applyBorder="1" applyAlignment="1" applyProtection="1">
      <alignment horizontal="center"/>
      <protection hidden="1"/>
    </xf>
    <xf numFmtId="0" fontId="7" fillId="33" borderId="24" xfId="0" applyNumberFormat="1" applyFont="1" applyFill="1" applyBorder="1" applyAlignment="1" applyProtection="1">
      <alignment horizontal="center"/>
      <protection hidden="1"/>
    </xf>
    <xf numFmtId="0" fontId="7" fillId="33" borderId="24" xfId="0" applyNumberFormat="1" applyFont="1" applyFill="1" applyBorder="1" applyAlignment="1" applyProtection="1">
      <alignment horizontal="center"/>
      <protection hidden="1"/>
    </xf>
    <xf numFmtId="0" fontId="7" fillId="33" borderId="25" xfId="0" applyNumberFormat="1" applyFont="1" applyFill="1" applyBorder="1" applyAlignment="1" applyProtection="1">
      <alignment horizontal="center"/>
      <protection hidden="1"/>
    </xf>
    <xf numFmtId="0" fontId="7" fillId="33" borderId="26" xfId="0" applyNumberFormat="1" applyFont="1" applyFill="1" applyBorder="1" applyAlignment="1" applyProtection="1">
      <alignment horizontal="center"/>
      <protection hidden="1"/>
    </xf>
    <xf numFmtId="0" fontId="7" fillId="33" borderId="26" xfId="0" applyNumberFormat="1" applyFont="1" applyFill="1" applyBorder="1" applyAlignment="1" applyProtection="1">
      <alignment horizontal="center"/>
      <protection hidden="1"/>
    </xf>
    <xf numFmtId="0" fontId="7" fillId="33" borderId="27" xfId="0" applyNumberFormat="1" applyFont="1" applyFill="1" applyBorder="1" applyAlignment="1" applyProtection="1">
      <alignment horizontal="center"/>
      <protection hidden="1"/>
    </xf>
    <xf numFmtId="0" fontId="7" fillId="33" borderId="28" xfId="0" applyNumberFormat="1" applyFont="1" applyFill="1" applyBorder="1" applyAlignment="1" applyProtection="1">
      <alignment horizontal="center"/>
      <protection hidden="1"/>
    </xf>
    <xf numFmtId="0" fontId="7" fillId="33" borderId="28" xfId="0" applyNumberFormat="1" applyFont="1" applyFill="1" applyBorder="1" applyAlignment="1" applyProtection="1">
      <alignment horizontal="center"/>
      <protection hidden="1"/>
    </xf>
    <xf numFmtId="0" fontId="7" fillId="33" borderId="29" xfId="0" applyNumberFormat="1" applyFont="1" applyFill="1" applyBorder="1" applyAlignment="1" applyProtection="1">
      <alignment horizontal="center"/>
      <protection hidden="1"/>
    </xf>
    <xf numFmtId="0" fontId="7" fillId="33" borderId="30" xfId="0" applyNumberFormat="1" applyFont="1" applyFill="1" applyBorder="1" applyAlignment="1" applyProtection="1">
      <alignment horizontal="center"/>
      <protection hidden="1"/>
    </xf>
    <xf numFmtId="0" fontId="7" fillId="33" borderId="31" xfId="0" applyNumberFormat="1" applyFont="1" applyFill="1" applyBorder="1" applyAlignment="1" applyProtection="1">
      <alignment horizontal="center"/>
      <protection hidden="1"/>
    </xf>
    <xf numFmtId="0" fontId="7" fillId="33" borderId="32" xfId="0" applyNumberFormat="1" applyFont="1" applyFill="1" applyBorder="1" applyAlignment="1" applyProtection="1">
      <alignment horizontal="center"/>
      <protection hidden="1"/>
    </xf>
    <xf numFmtId="0" fontId="7" fillId="33" borderId="23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165" fontId="7" fillId="33" borderId="0" xfId="0" applyNumberFormat="1" applyFont="1" applyFill="1" applyBorder="1" applyAlignment="1" applyProtection="1">
      <alignment horizontal="centerContinuous"/>
      <protection hidden="1"/>
    </xf>
    <xf numFmtId="165" fontId="7" fillId="33" borderId="20" xfId="0" applyNumberFormat="1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Continuous"/>
      <protection hidden="1"/>
    </xf>
    <xf numFmtId="0" fontId="7" fillId="33" borderId="18" xfId="0" applyFont="1" applyFill="1" applyBorder="1" applyAlignment="1" applyProtection="1">
      <alignment horizontal="centerContinuous"/>
      <protection hidden="1"/>
    </xf>
    <xf numFmtId="165" fontId="7" fillId="33" borderId="19" xfId="0" applyNumberFormat="1" applyFont="1" applyFill="1" applyBorder="1" applyAlignment="1" applyProtection="1">
      <alignment horizontal="centerContinuous"/>
      <protection hidden="1"/>
    </xf>
    <xf numFmtId="2" fontId="7" fillId="33" borderId="25" xfId="0" applyNumberFormat="1" applyFont="1" applyFill="1" applyBorder="1" applyAlignment="1" applyProtection="1">
      <alignment horizontal="center"/>
      <protection hidden="1"/>
    </xf>
    <xf numFmtId="2" fontId="7" fillId="33" borderId="27" xfId="0" applyNumberFormat="1" applyFont="1" applyFill="1" applyBorder="1" applyAlignment="1" applyProtection="1">
      <alignment horizontal="center"/>
      <protection hidden="1"/>
    </xf>
    <xf numFmtId="2" fontId="7" fillId="33" borderId="29" xfId="0" applyNumberFormat="1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33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2" fontId="7" fillId="33" borderId="34" xfId="0" applyNumberFormat="1" applyFont="1" applyFill="1" applyBorder="1" applyAlignment="1" applyProtection="1">
      <alignment horizontal="center"/>
      <protection hidden="1"/>
    </xf>
    <xf numFmtId="2" fontId="7" fillId="33" borderId="35" xfId="0" applyNumberFormat="1" applyFont="1" applyFill="1" applyBorder="1" applyAlignment="1" applyProtection="1">
      <alignment horizontal="center"/>
      <protection hidden="1"/>
    </xf>
    <xf numFmtId="2" fontId="7" fillId="33" borderId="26" xfId="0" applyNumberFormat="1" applyFont="1" applyFill="1" applyBorder="1" applyAlignment="1" applyProtection="1">
      <alignment horizontal="center"/>
      <protection hidden="1"/>
    </xf>
    <xf numFmtId="2" fontId="7" fillId="33" borderId="36" xfId="0" applyNumberFormat="1" applyFont="1" applyFill="1" applyBorder="1" applyAlignment="1" applyProtection="1">
      <alignment horizontal="center"/>
      <protection hidden="1"/>
    </xf>
    <xf numFmtId="2" fontId="7" fillId="33" borderId="28" xfId="0" applyNumberFormat="1" applyFont="1" applyFill="1" applyBorder="1" applyAlignment="1" applyProtection="1">
      <alignment horizontal="center"/>
      <protection hidden="1"/>
    </xf>
    <xf numFmtId="0" fontId="20" fillId="33" borderId="33" xfId="0" applyFont="1" applyFill="1" applyBorder="1" applyAlignment="1" applyProtection="1">
      <alignment horizontal="center"/>
      <protection hidden="1"/>
    </xf>
    <xf numFmtId="0" fontId="20" fillId="33" borderId="37" xfId="0" applyFont="1" applyFill="1" applyBorder="1" applyAlignment="1" applyProtection="1">
      <alignment horizontal="center"/>
      <protection hidden="1"/>
    </xf>
    <xf numFmtId="0" fontId="20" fillId="33" borderId="16" xfId="0" applyFont="1" applyFill="1" applyBorder="1" applyAlignment="1" applyProtection="1">
      <alignment horizontal="center"/>
      <protection hidden="1"/>
    </xf>
    <xf numFmtId="2" fontId="7" fillId="33" borderId="26" xfId="0" applyNumberFormat="1" applyFont="1" applyFill="1" applyBorder="1" applyAlignment="1" applyProtection="1">
      <alignment horizontal="center"/>
      <protection hidden="1"/>
    </xf>
    <xf numFmtId="2" fontId="7" fillId="33" borderId="28" xfId="0" applyNumberFormat="1" applyFont="1" applyFill="1" applyBorder="1" applyAlignment="1" applyProtection="1">
      <alignment horizontal="center"/>
      <protection hidden="1"/>
    </xf>
    <xf numFmtId="2" fontId="7" fillId="33" borderId="24" xfId="0" applyNumberFormat="1" applyFont="1" applyFill="1" applyBorder="1" applyAlignment="1" applyProtection="1">
      <alignment horizontal="center"/>
      <protection hidden="1"/>
    </xf>
    <xf numFmtId="2" fontId="7" fillId="33" borderId="30" xfId="0" applyNumberFormat="1" applyFont="1" applyFill="1" applyBorder="1" applyAlignment="1" applyProtection="1">
      <alignment horizontal="center"/>
      <protection hidden="1"/>
    </xf>
    <xf numFmtId="2" fontId="7" fillId="33" borderId="31" xfId="0" applyNumberFormat="1" applyFont="1" applyFill="1" applyBorder="1" applyAlignment="1" applyProtection="1">
      <alignment horizontal="center"/>
      <protection hidden="1"/>
    </xf>
    <xf numFmtId="2" fontId="7" fillId="33" borderId="32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NumberFormat="1" applyFont="1" applyFill="1" applyBorder="1" applyAlignment="1" applyProtection="1">
      <alignment horizontal="center"/>
      <protection hidden="1"/>
    </xf>
    <xf numFmtId="165" fontId="11" fillId="33" borderId="0" xfId="0" applyNumberFormat="1" applyFont="1" applyFill="1" applyBorder="1" applyAlignment="1" applyProtection="1">
      <alignment horizontal="right"/>
      <protection hidden="1"/>
    </xf>
    <xf numFmtId="2" fontId="7" fillId="33" borderId="21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Border="1" applyAlignment="1" applyProtection="1">
      <alignment horizontal="center"/>
      <protection hidden="1"/>
    </xf>
    <xf numFmtId="2" fontId="7" fillId="33" borderId="21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17" fillId="0" borderId="11" xfId="0" applyFont="1" applyBorder="1" applyAlignment="1" applyProtection="1">
      <alignment/>
      <protection hidden="1"/>
    </xf>
    <xf numFmtId="0" fontId="11" fillId="33" borderId="12" xfId="0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 quotePrefix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165" fontId="11" fillId="33" borderId="0" xfId="0" applyNumberFormat="1" applyFont="1" applyFill="1" applyBorder="1" applyAlignment="1" applyProtection="1">
      <alignment horizontal="center"/>
      <protection hidden="1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1" xfId="0" applyNumberFormat="1" applyFont="1" applyFill="1" applyBorder="1" applyAlignment="1" applyProtection="1">
      <alignment/>
      <protection hidden="1"/>
    </xf>
    <xf numFmtId="0" fontId="7" fillId="33" borderId="21" xfId="0" applyNumberFormat="1" applyFont="1" applyFill="1" applyBorder="1" applyAlignment="1" applyProtection="1">
      <alignment horizontal="center"/>
      <protection hidden="1"/>
    </xf>
    <xf numFmtId="0" fontId="18" fillId="33" borderId="23" xfId="0" applyFont="1" applyFill="1" applyBorder="1" applyAlignment="1" applyProtection="1">
      <alignment horizontal="center"/>
      <protection hidden="1"/>
    </xf>
    <xf numFmtId="0" fontId="7" fillId="33" borderId="0" xfId="0" applyNumberFormat="1" applyFont="1" applyFill="1" applyBorder="1" applyAlignment="1" applyProtection="1">
      <alignment/>
      <protection hidden="1"/>
    </xf>
    <xf numFmtId="0" fontId="7" fillId="33" borderId="20" xfId="0" applyNumberFormat="1" applyFont="1" applyFill="1" applyBorder="1" applyAlignment="1" applyProtection="1">
      <alignment horizontal="center"/>
      <protection hidden="1"/>
    </xf>
    <xf numFmtId="0" fontId="7" fillId="33" borderId="19" xfId="0" applyNumberFormat="1" applyFont="1" applyFill="1" applyBorder="1" applyAlignment="1" applyProtection="1">
      <alignment horizontal="centerContinuous"/>
      <protection hidden="1"/>
    </xf>
    <xf numFmtId="0" fontId="7" fillId="33" borderId="0" xfId="0" applyNumberFormat="1" applyFont="1" applyFill="1" applyAlignment="1" applyProtection="1">
      <alignment horizontal="center"/>
      <protection hidden="1"/>
    </xf>
    <xf numFmtId="0" fontId="7" fillId="35" borderId="2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hidden="1"/>
    </xf>
    <xf numFmtId="2" fontId="20" fillId="33" borderId="0" xfId="0" applyNumberFormat="1" applyFont="1" applyFill="1" applyBorder="1" applyAlignment="1" applyProtection="1">
      <alignment/>
      <protection hidden="1"/>
    </xf>
    <xf numFmtId="2" fontId="7" fillId="33" borderId="22" xfId="0" applyNumberFormat="1" applyFont="1" applyFill="1" applyBorder="1" applyAlignment="1" applyProtection="1">
      <alignment horizontal="center"/>
      <protection/>
    </xf>
    <xf numFmtId="0" fontId="7" fillId="33" borderId="9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hidden="1"/>
    </xf>
    <xf numFmtId="0" fontId="26" fillId="35" borderId="21" xfId="0" applyFont="1" applyFill="1" applyBorder="1" applyAlignment="1" applyProtection="1">
      <alignment horizontal="center"/>
      <protection locked="0"/>
    </xf>
    <xf numFmtId="0" fontId="20" fillId="33" borderId="20" xfId="0" applyFont="1" applyFill="1" applyBorder="1" applyAlignment="1" applyProtection="1">
      <alignment horizontal="center"/>
      <protection hidden="1"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2" fontId="7" fillId="33" borderId="0" xfId="0" applyNumberFormat="1" applyFont="1" applyFill="1" applyAlignment="1">
      <alignment horizontal="left"/>
    </xf>
    <xf numFmtId="2" fontId="7" fillId="33" borderId="2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NumberFormat="1" applyFont="1" applyFill="1" applyAlignment="1" applyProtection="1">
      <alignment horizontal="center"/>
      <protection hidden="1"/>
    </xf>
    <xf numFmtId="0" fontId="0" fillId="33" borderId="0" xfId="0" applyNumberFormat="1" applyFont="1" applyFill="1" applyAlignment="1" applyProtection="1">
      <alignment/>
      <protection hidden="1"/>
    </xf>
    <xf numFmtId="0" fontId="0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4" fontId="7" fillId="33" borderId="0" xfId="0" applyNumberFormat="1" applyFont="1" applyFill="1" applyBorder="1" applyAlignment="1" applyProtection="1">
      <alignment horizontal="center"/>
      <protection/>
    </xf>
    <xf numFmtId="164" fontId="7" fillId="33" borderId="0" xfId="0" applyNumberFormat="1" applyFont="1" applyFill="1" applyAlignment="1" applyProtection="1">
      <alignment horizontal="center"/>
      <protection hidden="1"/>
    </xf>
    <xf numFmtId="164" fontId="7" fillId="33" borderId="2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right"/>
      <protection hidden="1"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28" fillId="33" borderId="0" xfId="0" applyFont="1" applyFill="1" applyAlignment="1" applyProtection="1">
      <alignment/>
      <protection hidden="1"/>
    </xf>
    <xf numFmtId="165" fontId="20" fillId="33" borderId="18" xfId="0" applyNumberFormat="1" applyFont="1" applyFill="1" applyBorder="1" applyAlignment="1">
      <alignment horizontal="centerContinuous"/>
    </xf>
    <xf numFmtId="165" fontId="20" fillId="33" borderId="19" xfId="0" applyNumberFormat="1" applyFont="1" applyFill="1" applyBorder="1" applyAlignment="1">
      <alignment horizontal="centerContinuous"/>
    </xf>
    <xf numFmtId="2" fontId="20" fillId="33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0" xfId="0" applyNumberFormat="1" applyFont="1" applyFill="1" applyBorder="1" applyAlignment="1">
      <alignment horizontal="left"/>
    </xf>
    <xf numFmtId="2" fontId="26" fillId="33" borderId="8" xfId="0" applyNumberFormat="1" applyFont="1" applyFill="1" applyBorder="1" applyAlignment="1">
      <alignment horizontal="centerContinuous"/>
    </xf>
    <xf numFmtId="0" fontId="24" fillId="33" borderId="9" xfId="0" applyFont="1" applyFill="1" applyBorder="1" applyAlignment="1">
      <alignment horizontal="centerContinuous"/>
    </xf>
    <xf numFmtId="0" fontId="24" fillId="33" borderId="10" xfId="0" applyFont="1" applyFill="1" applyBorder="1" applyAlignment="1">
      <alignment horizontal="centerContinuous"/>
    </xf>
    <xf numFmtId="0" fontId="28" fillId="33" borderId="13" xfId="0" applyFont="1" applyFill="1" applyBorder="1" applyAlignment="1">
      <alignment horizontal="centerContinuous"/>
    </xf>
    <xf numFmtId="0" fontId="24" fillId="33" borderId="14" xfId="0" applyFont="1" applyFill="1" applyBorder="1" applyAlignment="1">
      <alignment horizontal="centerContinuous"/>
    </xf>
    <xf numFmtId="0" fontId="24" fillId="33" borderId="15" xfId="0" applyFont="1" applyFill="1" applyBorder="1" applyAlignment="1">
      <alignment horizontal="centerContinuous"/>
    </xf>
    <xf numFmtId="0" fontId="26" fillId="33" borderId="17" xfId="0" applyFont="1" applyFill="1" applyBorder="1" applyAlignment="1" applyProtection="1">
      <alignment horizontal="centerContinuous"/>
      <protection/>
    </xf>
    <xf numFmtId="0" fontId="26" fillId="33" borderId="20" xfId="0" applyFont="1" applyFill="1" applyBorder="1" applyAlignment="1" applyProtection="1">
      <alignment horizontal="center"/>
      <protection/>
    </xf>
    <xf numFmtId="165" fontId="26" fillId="33" borderId="20" xfId="0" applyNumberFormat="1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2" fontId="26" fillId="33" borderId="22" xfId="0" applyNumberFormat="1" applyFont="1" applyFill="1" applyBorder="1" applyAlignment="1">
      <alignment horizontal="center"/>
    </xf>
    <xf numFmtId="0" fontId="26" fillId="33" borderId="34" xfId="0" applyNumberFormat="1" applyFont="1" applyFill="1" applyBorder="1" applyAlignment="1" applyProtection="1">
      <alignment horizontal="center"/>
      <protection/>
    </xf>
    <xf numFmtId="0" fontId="26" fillId="33" borderId="24" xfId="0" applyNumberFormat="1" applyFont="1" applyFill="1" applyBorder="1" applyAlignment="1">
      <alignment horizontal="center"/>
    </xf>
    <xf numFmtId="0" fontId="26" fillId="33" borderId="25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0" fontId="26" fillId="33" borderId="35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>
      <alignment horizontal="center"/>
    </xf>
    <xf numFmtId="0" fontId="26" fillId="33" borderId="27" xfId="0" applyNumberFormat="1" applyFont="1" applyFill="1" applyBorder="1" applyAlignment="1">
      <alignment horizontal="center"/>
    </xf>
    <xf numFmtId="0" fontId="26" fillId="33" borderId="35" xfId="0" applyNumberFormat="1" applyFont="1" applyFill="1" applyBorder="1" applyAlignment="1">
      <alignment horizontal="center"/>
    </xf>
    <xf numFmtId="2" fontId="26" fillId="33" borderId="23" xfId="0" applyNumberFormat="1" applyFont="1" applyFill="1" applyBorder="1" applyAlignment="1">
      <alignment horizontal="center"/>
    </xf>
    <xf numFmtId="0" fontId="26" fillId="33" borderId="36" xfId="0" applyNumberFormat="1" applyFont="1" applyFill="1" applyBorder="1" applyAlignment="1">
      <alignment horizontal="center"/>
    </xf>
    <xf numFmtId="0" fontId="26" fillId="33" borderId="28" xfId="0" applyNumberFormat="1" applyFont="1" applyFill="1" applyBorder="1" applyAlignment="1">
      <alignment horizontal="center"/>
    </xf>
    <xf numFmtId="0" fontId="26" fillId="33" borderId="29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hidden="1"/>
    </xf>
    <xf numFmtId="0" fontId="20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7" fillId="35" borderId="23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2" fontId="7" fillId="33" borderId="0" xfId="0" applyNumberFormat="1" applyFont="1" applyFill="1" applyAlignment="1" applyProtection="1">
      <alignment horizontal="left"/>
      <protection hidden="1"/>
    </xf>
    <xf numFmtId="167" fontId="7" fillId="33" borderId="21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Alignment="1">
      <alignment horizontal="right"/>
    </xf>
    <xf numFmtId="2" fontId="11" fillId="33" borderId="0" xfId="0" applyNumberFormat="1" applyFont="1" applyFill="1" applyAlignment="1" applyProtection="1">
      <alignment horizontal="left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32" fillId="33" borderId="0" xfId="0" applyFont="1" applyFill="1" applyAlignment="1" applyProtection="1">
      <alignment/>
      <protection hidden="1"/>
    </xf>
    <xf numFmtId="0" fontId="32" fillId="33" borderId="0" xfId="0" applyFont="1" applyFill="1" applyBorder="1" applyAlignment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6</xdr:row>
      <xdr:rowOff>9525</xdr:rowOff>
    </xdr:from>
    <xdr:to>
      <xdr:col>9</xdr:col>
      <xdr:colOff>257175</xdr:colOff>
      <xdr:row>19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900" t="3703" r="1950"/>
        <a:stretch>
          <a:fillRect/>
        </a:stretch>
      </xdr:blipFill>
      <xdr:spPr>
        <a:xfrm>
          <a:off x="2809875" y="1019175"/>
          <a:ext cx="32194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19</xdr:row>
      <xdr:rowOff>133350</xdr:rowOff>
    </xdr:from>
    <xdr:to>
      <xdr:col>6</xdr:col>
      <xdr:colOff>238125</xdr:colOff>
      <xdr:row>21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181350" y="32480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Nomenclature</a:t>
          </a:r>
        </a:p>
      </xdr:txBody>
    </xdr:sp>
    <xdr:clientData/>
  </xdr:twoCellAnchor>
  <xdr:twoCellAnchor>
    <xdr:from>
      <xdr:col>5</xdr:col>
      <xdr:colOff>114300</xdr:colOff>
      <xdr:row>14</xdr:row>
      <xdr:rowOff>95250</xdr:rowOff>
    </xdr:from>
    <xdr:to>
      <xdr:col>6</xdr:col>
      <xdr:colOff>57150</xdr:colOff>
      <xdr:row>16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3448050" y="2400300"/>
          <a:ext cx="552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66675</xdr:rowOff>
    </xdr:from>
    <xdr:to>
      <xdr:col>8</xdr:col>
      <xdr:colOff>57150</xdr:colOff>
      <xdr:row>19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5019675" y="3019425"/>
          <a:ext cx="2000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114300</xdr:rowOff>
    </xdr:from>
    <xdr:to>
      <xdr:col>9</xdr:col>
      <xdr:colOff>285750</xdr:colOff>
      <xdr:row>17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5876925" y="2743200"/>
          <a:ext cx="1809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9</xdr:row>
      <xdr:rowOff>85725</xdr:rowOff>
    </xdr:from>
    <xdr:to>
      <xdr:col>9</xdr:col>
      <xdr:colOff>228600</xdr:colOff>
      <xdr:row>10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67400" y="1581150"/>
          <a:ext cx="1333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18</xdr:row>
      <xdr:rowOff>95250</xdr:rowOff>
    </xdr:from>
    <xdr:to>
      <xdr:col>5</xdr:col>
      <xdr:colOff>533400</xdr:colOff>
      <xdr:row>18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3657600" y="3048000"/>
          <a:ext cx="2095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400050</xdr:colOff>
      <xdr:row>19</xdr:row>
      <xdr:rowOff>66675</xdr:rowOff>
    </xdr:from>
    <xdr:to>
      <xdr:col>9</xdr:col>
      <xdr:colOff>514350</xdr:colOff>
      <xdr:row>21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rcRect l="10131"/>
        <a:stretch>
          <a:fillRect/>
        </a:stretch>
      </xdr:blipFill>
      <xdr:spPr>
        <a:xfrm>
          <a:off x="4343400" y="3181350"/>
          <a:ext cx="1943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</xdr:row>
      <xdr:rowOff>19050</xdr:rowOff>
    </xdr:from>
    <xdr:to>
      <xdr:col>38</xdr:col>
      <xdr:colOff>371475</xdr:colOff>
      <xdr:row>13</xdr:row>
      <xdr:rowOff>28575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542925"/>
          <a:ext cx="646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15</xdr:row>
      <xdr:rowOff>0</xdr:rowOff>
    </xdr:from>
    <xdr:to>
      <xdr:col>38</xdr:col>
      <xdr:colOff>447675</xdr:colOff>
      <xdr:row>37</xdr:row>
      <xdr:rowOff>142875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2466975"/>
          <a:ext cx="65436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38</xdr:row>
      <xdr:rowOff>0</xdr:rowOff>
    </xdr:from>
    <xdr:to>
      <xdr:col>32</xdr:col>
      <xdr:colOff>542925</xdr:colOff>
      <xdr:row>42</xdr:row>
      <xdr:rowOff>19050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6191250"/>
          <a:ext cx="2924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44</xdr:row>
      <xdr:rowOff>0</xdr:rowOff>
    </xdr:from>
    <xdr:to>
      <xdr:col>38</xdr:col>
      <xdr:colOff>600075</xdr:colOff>
      <xdr:row>66</xdr:row>
      <xdr:rowOff>142875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7162800"/>
          <a:ext cx="66960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66</xdr:row>
      <xdr:rowOff>152400</xdr:rowOff>
    </xdr:from>
    <xdr:to>
      <xdr:col>32</xdr:col>
      <xdr:colOff>504825</xdr:colOff>
      <xdr:row>70</xdr:row>
      <xdr:rowOff>142875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9525" y="10877550"/>
          <a:ext cx="2847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73</xdr:row>
      <xdr:rowOff>0</xdr:rowOff>
    </xdr:from>
    <xdr:to>
      <xdr:col>38</xdr:col>
      <xdr:colOff>447675</xdr:colOff>
      <xdr:row>95</xdr:row>
      <xdr:rowOff>133350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34275" y="11858625"/>
          <a:ext cx="65436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133350</xdr:colOff>
      <xdr:row>95</xdr:row>
      <xdr:rowOff>152400</xdr:rowOff>
    </xdr:from>
    <xdr:to>
      <xdr:col>33</xdr:col>
      <xdr:colOff>9525</xdr:colOff>
      <xdr:row>99</xdr:row>
      <xdr:rowOff>133350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67625" y="15573375"/>
          <a:ext cx="2924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102</xdr:row>
      <xdr:rowOff>0</xdr:rowOff>
    </xdr:from>
    <xdr:to>
      <xdr:col>38</xdr:col>
      <xdr:colOff>371475</xdr:colOff>
      <xdr:row>155</xdr:row>
      <xdr:rowOff>66675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10475" y="16554450"/>
          <a:ext cx="6391275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164</xdr:row>
      <xdr:rowOff>57150</xdr:rowOff>
    </xdr:from>
    <xdr:to>
      <xdr:col>38</xdr:col>
      <xdr:colOff>485775</xdr:colOff>
      <xdr:row>193</xdr:row>
      <xdr:rowOff>95250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34275" y="26650950"/>
          <a:ext cx="65817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114</xdr:row>
      <xdr:rowOff>57150</xdr:rowOff>
    </xdr:from>
    <xdr:to>
      <xdr:col>11</xdr:col>
      <xdr:colOff>476250</xdr:colOff>
      <xdr:row>115</xdr:row>
      <xdr:rowOff>95250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315075" y="18554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1:</a:t>
          </a:r>
        </a:p>
      </xdr:txBody>
    </xdr:sp>
    <xdr:clientData/>
  </xdr:twoCellAnchor>
  <xdr:twoCellAnchor>
    <xdr:from>
      <xdr:col>10</xdr:col>
      <xdr:colOff>590550</xdr:colOff>
      <xdr:row>118</xdr:row>
      <xdr:rowOff>85725</xdr:rowOff>
    </xdr:from>
    <xdr:to>
      <xdr:col>11</xdr:col>
      <xdr:colOff>476250</xdr:colOff>
      <xdr:row>119</xdr:row>
      <xdr:rowOff>123825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6315075" y="19230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2:</a:t>
          </a:r>
        </a:p>
      </xdr:txBody>
    </xdr:sp>
    <xdr:clientData/>
  </xdr:twoCellAnchor>
  <xdr:twoCellAnchor>
    <xdr:from>
      <xdr:col>10</xdr:col>
      <xdr:colOff>590550</xdr:colOff>
      <xdr:row>122</xdr:row>
      <xdr:rowOff>76200</xdr:rowOff>
    </xdr:from>
    <xdr:to>
      <xdr:col>11</xdr:col>
      <xdr:colOff>476250</xdr:colOff>
      <xdr:row>123</xdr:row>
      <xdr:rowOff>114300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315075" y="19869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3:</a:t>
          </a:r>
        </a:p>
      </xdr:txBody>
    </xdr:sp>
    <xdr:clientData/>
  </xdr:twoCellAnchor>
  <xdr:twoCellAnchor>
    <xdr:from>
      <xdr:col>10</xdr:col>
      <xdr:colOff>590550</xdr:colOff>
      <xdr:row>84</xdr:row>
      <xdr:rowOff>57150</xdr:rowOff>
    </xdr:from>
    <xdr:to>
      <xdr:col>11</xdr:col>
      <xdr:colOff>476250</xdr:colOff>
      <xdr:row>85</xdr:row>
      <xdr:rowOff>95250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6315075" y="13696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1:</a:t>
          </a:r>
        </a:p>
      </xdr:txBody>
    </xdr:sp>
    <xdr:clientData/>
  </xdr:twoCellAnchor>
  <xdr:twoCellAnchor>
    <xdr:from>
      <xdr:col>10</xdr:col>
      <xdr:colOff>590550</xdr:colOff>
      <xdr:row>88</xdr:row>
      <xdr:rowOff>85725</xdr:rowOff>
    </xdr:from>
    <xdr:to>
      <xdr:col>11</xdr:col>
      <xdr:colOff>476250</xdr:colOff>
      <xdr:row>89</xdr:row>
      <xdr:rowOff>123825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6315075" y="143732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2:</a:t>
          </a:r>
        </a:p>
      </xdr:txBody>
    </xdr:sp>
    <xdr:clientData/>
  </xdr:twoCellAnchor>
  <xdr:twoCellAnchor>
    <xdr:from>
      <xdr:col>10</xdr:col>
      <xdr:colOff>590550</xdr:colOff>
      <xdr:row>92</xdr:row>
      <xdr:rowOff>76200</xdr:rowOff>
    </xdr:from>
    <xdr:to>
      <xdr:col>11</xdr:col>
      <xdr:colOff>476250</xdr:colOff>
      <xdr:row>93</xdr:row>
      <xdr:rowOff>114300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15075" y="1501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Case 3:</a:t>
          </a:r>
        </a:p>
      </xdr:txBody>
    </xdr:sp>
    <xdr:clientData/>
  </xdr:twoCellAnchor>
  <xdr:twoCellAnchor>
    <xdr:from>
      <xdr:col>27</xdr:col>
      <xdr:colOff>285750</xdr:colOff>
      <xdr:row>192</xdr:row>
      <xdr:rowOff>38100</xdr:rowOff>
    </xdr:from>
    <xdr:to>
      <xdr:col>28</xdr:col>
      <xdr:colOff>133350</xdr:colOff>
      <xdr:row>192</xdr:row>
      <xdr:rowOff>38100</xdr:rowOff>
    </xdr:to>
    <xdr:sp>
      <xdr:nvSpPr>
        <xdr:cNvPr id="24" name="Line 26"/>
        <xdr:cNvSpPr>
          <a:spLocks/>
        </xdr:cNvSpPr>
      </xdr:nvSpPr>
      <xdr:spPr>
        <a:xfrm>
          <a:off x="7210425" y="31165800"/>
          <a:ext cx="457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192</xdr:row>
      <xdr:rowOff>133350</xdr:rowOff>
    </xdr:from>
    <xdr:to>
      <xdr:col>34</xdr:col>
      <xdr:colOff>600075</xdr:colOff>
      <xdr:row>192</xdr:row>
      <xdr:rowOff>133350</xdr:rowOff>
    </xdr:to>
    <xdr:sp>
      <xdr:nvSpPr>
        <xdr:cNvPr id="25" name="Line 27"/>
        <xdr:cNvSpPr>
          <a:spLocks/>
        </xdr:cNvSpPr>
      </xdr:nvSpPr>
      <xdr:spPr>
        <a:xfrm>
          <a:off x="8848725" y="31261050"/>
          <a:ext cx="29432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19050</xdr:colOff>
      <xdr:row>157</xdr:row>
      <xdr:rowOff>104775</xdr:rowOff>
    </xdr:from>
    <xdr:to>
      <xdr:col>38</xdr:col>
      <xdr:colOff>390525</xdr:colOff>
      <xdr:row>162</xdr:row>
      <xdr:rowOff>76200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53325" y="25565100"/>
          <a:ext cx="646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247650</xdr:colOff>
      <xdr:row>161</xdr:row>
      <xdr:rowOff>114300</xdr:rowOff>
    </xdr:from>
    <xdr:to>
      <xdr:col>38</xdr:col>
      <xdr:colOff>228600</xdr:colOff>
      <xdr:row>161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10829925" y="26222325"/>
          <a:ext cx="3028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9" width="9.140625" style="81" customWidth="1"/>
    <col min="10" max="10" width="5.7109375" style="81" customWidth="1"/>
    <col min="11" max="11" width="9.140625" style="81" customWidth="1"/>
    <col min="12" max="16384" width="9.140625" style="46" customWidth="1"/>
  </cols>
  <sheetData>
    <row r="1" spans="1:10" ht="15.75">
      <c r="A1" s="79" t="s">
        <v>139</v>
      </c>
      <c r="B1" s="80"/>
      <c r="C1" s="80"/>
      <c r="D1" s="80"/>
      <c r="E1" s="80"/>
      <c r="F1" s="80"/>
      <c r="G1" s="80"/>
      <c r="H1" s="80"/>
      <c r="I1" s="80"/>
      <c r="J1" s="80"/>
    </row>
    <row r="3" ht="12.75">
      <c r="A3" s="82" t="s">
        <v>20</v>
      </c>
    </row>
    <row r="5" ht="12.75">
      <c r="A5" s="81" t="s">
        <v>140</v>
      </c>
    </row>
    <row r="6" ht="12.75">
      <c r="A6" s="81" t="s">
        <v>153</v>
      </c>
    </row>
    <row r="8" ht="12.75">
      <c r="A8" s="81" t="s">
        <v>141</v>
      </c>
    </row>
    <row r="10" spans="1:10" ht="12.75">
      <c r="A10" s="83" t="s">
        <v>21</v>
      </c>
      <c r="B10" s="84"/>
      <c r="C10" s="85"/>
      <c r="D10" s="83" t="s">
        <v>22</v>
      </c>
      <c r="E10" s="86"/>
      <c r="F10" s="86"/>
      <c r="G10" s="86"/>
      <c r="H10" s="86"/>
      <c r="I10" s="86"/>
      <c r="J10" s="87"/>
    </row>
    <row r="11" spans="1:10" ht="12.75">
      <c r="A11" s="88" t="s">
        <v>23</v>
      </c>
      <c r="B11" s="89"/>
      <c r="C11" s="90"/>
      <c r="D11" s="88" t="s">
        <v>24</v>
      </c>
      <c r="E11" s="89"/>
      <c r="F11" s="89"/>
      <c r="G11" s="89"/>
      <c r="H11" s="89"/>
      <c r="I11" s="89"/>
      <c r="J11" s="90"/>
    </row>
    <row r="12" spans="1:10" ht="12.75">
      <c r="A12" s="91" t="s">
        <v>151</v>
      </c>
      <c r="B12" s="92"/>
      <c r="C12" s="93"/>
      <c r="D12" s="91" t="s">
        <v>111</v>
      </c>
      <c r="E12" s="92"/>
      <c r="F12" s="92"/>
      <c r="G12" s="92"/>
      <c r="H12" s="92"/>
      <c r="I12" s="92"/>
      <c r="J12" s="93"/>
    </row>
    <row r="14" ht="12.75">
      <c r="A14" s="82" t="s">
        <v>25</v>
      </c>
    </row>
    <row r="16" ht="12.75">
      <c r="A16" s="78" t="s">
        <v>142</v>
      </c>
    </row>
    <row r="17" ht="12.75">
      <c r="A17" s="78" t="s">
        <v>143</v>
      </c>
    </row>
    <row r="18" ht="12.75">
      <c r="A18" s="81" t="s">
        <v>152</v>
      </c>
    </row>
    <row r="19" ht="12.75">
      <c r="A19" s="81" t="s">
        <v>113</v>
      </c>
    </row>
    <row r="20" ht="12.75">
      <c r="A20" s="81" t="s">
        <v>112</v>
      </c>
    </row>
    <row r="21" ht="12.75">
      <c r="A21" s="81" t="s">
        <v>136</v>
      </c>
    </row>
    <row r="22" ht="12.75">
      <c r="A22" s="271" t="s">
        <v>117</v>
      </c>
    </row>
    <row r="23" ht="12.75">
      <c r="A23" s="272" t="s">
        <v>114</v>
      </c>
    </row>
    <row r="24" ht="12.75">
      <c r="A24" s="81" t="s">
        <v>144</v>
      </c>
    </row>
    <row r="25" ht="12.75">
      <c r="A25" s="81" t="s">
        <v>113</v>
      </c>
    </row>
    <row r="26" ht="12.75">
      <c r="A26" s="81" t="s">
        <v>115</v>
      </c>
    </row>
    <row r="27" ht="12.75">
      <c r="A27" s="81" t="s">
        <v>136</v>
      </c>
    </row>
    <row r="28" ht="12.75">
      <c r="A28" s="271" t="s">
        <v>118</v>
      </c>
    </row>
    <row r="29" ht="12.75">
      <c r="A29" s="81" t="s">
        <v>145</v>
      </c>
    </row>
    <row r="30" ht="12.75">
      <c r="A30" s="81" t="s">
        <v>113</v>
      </c>
    </row>
    <row r="31" ht="12.75">
      <c r="A31" s="81" t="s">
        <v>116</v>
      </c>
    </row>
    <row r="32" ht="12.75">
      <c r="A32" s="81" t="s">
        <v>136</v>
      </c>
    </row>
    <row r="33" ht="12.75">
      <c r="A33" s="271" t="s">
        <v>119</v>
      </c>
    </row>
    <row r="34" ht="12.75">
      <c r="A34" s="226" t="s">
        <v>150</v>
      </c>
    </row>
    <row r="35" ht="12.75">
      <c r="A35" s="226" t="s">
        <v>148</v>
      </c>
    </row>
    <row r="36" ht="12.75">
      <c r="A36" s="226" t="s">
        <v>149</v>
      </c>
    </row>
    <row r="37" ht="12.75">
      <c r="A37" s="226" t="s">
        <v>120</v>
      </c>
    </row>
    <row r="38" ht="12.75">
      <c r="A38" s="81" t="s">
        <v>146</v>
      </c>
    </row>
    <row r="39" ht="12.75">
      <c r="A39" s="81" t="s">
        <v>26</v>
      </c>
    </row>
    <row r="40" ht="12.75">
      <c r="A40" s="81" t="s">
        <v>27</v>
      </c>
    </row>
    <row r="41" ht="12.75">
      <c r="A41" s="81" t="s">
        <v>28</v>
      </c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sheetProtection sheet="1" objects="1" scenarios="1"/>
  <printOptions/>
  <pageMargins left="1" right="0.5" top="1" bottom="1" header="0.5" footer="0.5"/>
  <pageSetup horizontalDpi="600" verticalDpi="600" orientation="portrait" scale="9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4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46" customWidth="1"/>
    <col min="2" max="2" width="9.140625" style="46" customWidth="1"/>
    <col min="3" max="3" width="10.00390625" style="46" bestFit="1" customWidth="1"/>
    <col min="4" max="9" width="9.140625" style="46" customWidth="1"/>
    <col min="10" max="10" width="8.140625" style="51" customWidth="1"/>
    <col min="11" max="11" width="9.140625" style="6" hidden="1" customWidth="1"/>
    <col min="12" max="12" width="9.140625" style="1" hidden="1" customWidth="1"/>
    <col min="13" max="16" width="9.140625" style="6" hidden="1" customWidth="1"/>
    <col min="17" max="17" width="10.00390625" style="219" hidden="1" customWidth="1"/>
    <col min="18" max="26" width="9.140625" style="6" hidden="1" customWidth="1"/>
    <col min="27" max="16384" width="9.140625" style="1" customWidth="1"/>
  </cols>
  <sheetData>
    <row r="1" spans="1:27" ht="15.75">
      <c r="A1" s="2" t="s">
        <v>110</v>
      </c>
      <c r="B1" s="3"/>
      <c r="C1" s="4"/>
      <c r="D1" s="4"/>
      <c r="E1" s="4"/>
      <c r="F1" s="4"/>
      <c r="G1" s="3"/>
      <c r="H1" s="3"/>
      <c r="I1" s="3"/>
      <c r="J1" s="5"/>
      <c r="L1" s="7"/>
      <c r="M1" s="111"/>
      <c r="N1" s="115"/>
      <c r="O1" s="116"/>
      <c r="P1" s="111"/>
      <c r="Q1" s="200"/>
      <c r="R1" s="111"/>
      <c r="S1" s="7"/>
      <c r="T1" s="7"/>
      <c r="U1" s="7"/>
      <c r="V1" s="116"/>
      <c r="W1" s="116"/>
      <c r="X1" s="116"/>
      <c r="Y1" s="116"/>
      <c r="Z1" s="216"/>
      <c r="AA1" s="211" t="s">
        <v>154</v>
      </c>
    </row>
    <row r="2" spans="1:29" ht="12.75">
      <c r="A2" s="8" t="s">
        <v>137</v>
      </c>
      <c r="B2" s="9"/>
      <c r="C2" s="10"/>
      <c r="D2" s="9"/>
      <c r="E2" s="9"/>
      <c r="F2" s="9"/>
      <c r="G2" s="11"/>
      <c r="H2" s="11"/>
      <c r="I2" s="11"/>
      <c r="J2" s="12"/>
      <c r="L2" s="7"/>
      <c r="M2" s="111"/>
      <c r="N2" s="115"/>
      <c r="O2" s="116"/>
      <c r="P2" s="111"/>
      <c r="Q2" s="200"/>
      <c r="R2" s="118"/>
      <c r="S2" s="119"/>
      <c r="T2" s="119"/>
      <c r="U2" s="119"/>
      <c r="V2" s="120"/>
      <c r="W2" s="120"/>
      <c r="X2" s="121"/>
      <c r="Y2" s="121"/>
      <c r="Z2" s="216"/>
      <c r="AC2" s="220" t="s">
        <v>147</v>
      </c>
    </row>
    <row r="3" spans="1:26" ht="12.75">
      <c r="A3" s="13" t="s">
        <v>138</v>
      </c>
      <c r="B3" s="14"/>
      <c r="C3" s="14"/>
      <c r="D3" s="14"/>
      <c r="E3" s="14"/>
      <c r="F3" s="14"/>
      <c r="G3" s="15"/>
      <c r="H3" s="15"/>
      <c r="I3" s="15"/>
      <c r="J3" s="16"/>
      <c r="L3" s="99" t="s">
        <v>46</v>
      </c>
      <c r="N3" s="115"/>
      <c r="O3" s="116"/>
      <c r="P3" s="111"/>
      <c r="Q3" s="200"/>
      <c r="R3" s="118"/>
      <c r="S3" s="119"/>
      <c r="T3" s="119"/>
      <c r="U3" s="119"/>
      <c r="V3" s="120"/>
      <c r="W3" s="120"/>
      <c r="X3" s="121"/>
      <c r="Y3" s="121"/>
      <c r="Z3" s="216"/>
    </row>
    <row r="4" spans="1:26" ht="12.75">
      <c r="A4" s="17" t="s">
        <v>8</v>
      </c>
      <c r="B4" s="18"/>
      <c r="C4" s="19"/>
      <c r="D4" s="19"/>
      <c r="E4" s="19"/>
      <c r="F4" s="20" t="s">
        <v>9</v>
      </c>
      <c r="G4" s="21"/>
      <c r="H4" s="22"/>
      <c r="I4" s="22"/>
      <c r="J4" s="23"/>
      <c r="L4" s="99" t="s">
        <v>47</v>
      </c>
      <c r="M4" s="95"/>
      <c r="N4" s="95"/>
      <c r="O4" s="95"/>
      <c r="P4" s="111"/>
      <c r="Q4" s="200"/>
      <c r="R4" s="216"/>
      <c r="S4" s="216"/>
      <c r="T4" s="7"/>
      <c r="U4" s="50"/>
      <c r="V4" s="50"/>
      <c r="W4" s="50"/>
      <c r="X4" s="50"/>
      <c r="Y4" s="116"/>
      <c r="Z4" s="216"/>
    </row>
    <row r="5" spans="1:26" ht="12.75">
      <c r="A5" s="17" t="s">
        <v>10</v>
      </c>
      <c r="B5" s="55"/>
      <c r="C5" s="25"/>
      <c r="D5" s="25"/>
      <c r="E5" s="25"/>
      <c r="F5" s="26" t="s">
        <v>11</v>
      </c>
      <c r="G5" s="21"/>
      <c r="H5" s="27"/>
      <c r="I5" s="28" t="s">
        <v>12</v>
      </c>
      <c r="J5" s="23"/>
      <c r="L5" s="94" t="s">
        <v>48</v>
      </c>
      <c r="M5" s="111"/>
      <c r="O5" s="116"/>
      <c r="P5" s="124"/>
      <c r="Q5" s="180"/>
      <c r="R5" s="216"/>
      <c r="S5" s="216"/>
      <c r="T5" s="7"/>
      <c r="U5" s="50"/>
      <c r="V5" s="50"/>
      <c r="W5" s="50"/>
      <c r="X5" s="50"/>
      <c r="Y5" s="116"/>
      <c r="Z5" s="216"/>
    </row>
    <row r="6" spans="1:26" ht="12.75">
      <c r="A6" s="29"/>
      <c r="B6" s="24"/>
      <c r="C6" s="24"/>
      <c r="D6" s="24"/>
      <c r="E6" s="24"/>
      <c r="F6" s="24"/>
      <c r="G6" s="208"/>
      <c r="H6" s="24"/>
      <c r="I6" s="30"/>
      <c r="J6" s="31"/>
      <c r="L6" s="94" t="s">
        <v>49</v>
      </c>
      <c r="M6" s="111"/>
      <c r="O6" s="116"/>
      <c r="P6" s="124"/>
      <c r="Q6" s="180"/>
      <c r="R6" s="216"/>
      <c r="S6" s="216"/>
      <c r="T6" s="7"/>
      <c r="U6" s="50"/>
      <c r="V6" s="50"/>
      <c r="W6" s="50"/>
      <c r="X6" s="50"/>
      <c r="Y6" s="116"/>
      <c r="Z6" s="216"/>
    </row>
    <row r="7" spans="1:26" ht="12.75">
      <c r="A7" s="65" t="s">
        <v>13</v>
      </c>
      <c r="B7" s="57"/>
      <c r="C7" s="57"/>
      <c r="D7" s="57"/>
      <c r="E7" s="41"/>
      <c r="F7" s="41"/>
      <c r="G7" s="41"/>
      <c r="H7" s="41"/>
      <c r="I7" s="41"/>
      <c r="J7" s="209"/>
      <c r="L7" s="94" t="s">
        <v>50</v>
      </c>
      <c r="M7" s="111"/>
      <c r="O7" s="116"/>
      <c r="P7" s="124"/>
      <c r="Q7" s="180"/>
      <c r="R7" s="216"/>
      <c r="S7" s="216"/>
      <c r="T7" s="7"/>
      <c r="U7" s="50"/>
      <c r="V7" s="50"/>
      <c r="W7" s="50"/>
      <c r="X7" s="50"/>
      <c r="Y7" s="116"/>
      <c r="Z7" s="216"/>
    </row>
    <row r="8" spans="1:26" ht="12.75">
      <c r="A8" s="38"/>
      <c r="B8" s="57"/>
      <c r="C8" s="57"/>
      <c r="D8" s="57"/>
      <c r="E8" s="41"/>
      <c r="F8" s="41"/>
      <c r="G8" s="41"/>
      <c r="H8" s="41"/>
      <c r="I8" s="41"/>
      <c r="J8" s="66"/>
      <c r="L8" s="99" t="s">
        <v>63</v>
      </c>
      <c r="M8" s="111"/>
      <c r="O8" s="116"/>
      <c r="P8" s="124"/>
      <c r="Q8" s="180"/>
      <c r="R8" s="215"/>
      <c r="S8" s="215"/>
      <c r="T8" s="7"/>
      <c r="U8" s="50"/>
      <c r="V8" s="50"/>
      <c r="W8" s="50"/>
      <c r="X8" s="50"/>
      <c r="Y8" s="111"/>
      <c r="Z8" s="215"/>
    </row>
    <row r="9" spans="1:26" ht="12.75">
      <c r="A9" s="38"/>
      <c r="B9" s="182" t="s">
        <v>78</v>
      </c>
      <c r="C9" s="204">
        <v>90</v>
      </c>
      <c r="D9" s="59" t="s">
        <v>31</v>
      </c>
      <c r="E9" s="41"/>
      <c r="F9" s="41"/>
      <c r="G9" s="41"/>
      <c r="H9" s="41"/>
      <c r="I9" s="41"/>
      <c r="J9" s="209"/>
      <c r="L9" s="99" t="s">
        <v>64</v>
      </c>
      <c r="M9" s="111"/>
      <c r="O9" s="111"/>
      <c r="P9" s="123"/>
      <c r="Q9" s="180"/>
      <c r="R9" s="216"/>
      <c r="S9" s="216"/>
      <c r="T9" s="115"/>
      <c r="U9" s="125"/>
      <c r="V9" s="50"/>
      <c r="W9" s="125"/>
      <c r="X9" s="125"/>
      <c r="Y9" s="116"/>
      <c r="Z9" s="216"/>
    </row>
    <row r="10" spans="1:26" ht="12.75">
      <c r="A10" s="38"/>
      <c r="B10" s="39" t="s">
        <v>77</v>
      </c>
      <c r="C10" s="210" t="s">
        <v>46</v>
      </c>
      <c r="D10" s="114"/>
      <c r="E10" s="41"/>
      <c r="F10" s="41"/>
      <c r="G10" s="41"/>
      <c r="H10" s="41"/>
      <c r="I10" s="41"/>
      <c r="J10" s="186"/>
      <c r="L10" s="111"/>
      <c r="M10" s="111"/>
      <c r="O10" s="116"/>
      <c r="P10" s="116"/>
      <c r="Q10" s="217"/>
      <c r="R10" s="216"/>
      <c r="S10" s="216"/>
      <c r="T10" s="116"/>
      <c r="U10" s="116"/>
      <c r="V10" s="116"/>
      <c r="W10" s="116"/>
      <c r="X10" s="116"/>
      <c r="Y10" s="116"/>
      <c r="Z10" s="216"/>
    </row>
    <row r="11" spans="1:26" ht="12.75">
      <c r="A11" s="38"/>
      <c r="B11" s="182" t="s">
        <v>59</v>
      </c>
      <c r="C11" s="53" t="s">
        <v>49</v>
      </c>
      <c r="D11" s="59"/>
      <c r="E11" s="41"/>
      <c r="F11" s="41"/>
      <c r="G11" s="41"/>
      <c r="H11" s="41"/>
      <c r="I11" s="41"/>
      <c r="J11" s="186"/>
      <c r="L11" s="7"/>
      <c r="M11" s="95"/>
      <c r="O11" s="95"/>
      <c r="P11" s="116"/>
      <c r="Q11" s="217"/>
      <c r="R11" s="216"/>
      <c r="S11" s="216"/>
      <c r="T11" s="123"/>
      <c r="U11" s="216"/>
      <c r="V11" s="116"/>
      <c r="W11" s="116"/>
      <c r="X11" s="116"/>
      <c r="Y11" s="116"/>
      <c r="Z11" s="216"/>
    </row>
    <row r="12" spans="1:26" ht="12.75">
      <c r="A12" s="61"/>
      <c r="B12" s="34" t="s">
        <v>60</v>
      </c>
      <c r="C12" s="109">
        <v>62.083</v>
      </c>
      <c r="D12" s="59" t="s">
        <v>0</v>
      </c>
      <c r="E12" s="64"/>
      <c r="F12" s="64"/>
      <c r="G12" s="64"/>
      <c r="H12" s="64"/>
      <c r="I12" s="64"/>
      <c r="J12" s="186"/>
      <c r="L12" s="117"/>
      <c r="M12" s="95"/>
      <c r="N12" s="95"/>
      <c r="O12" s="95"/>
      <c r="P12" s="116"/>
      <c r="Q12" s="217"/>
      <c r="R12" s="216"/>
      <c r="S12" s="216"/>
      <c r="T12" s="123"/>
      <c r="U12" s="50"/>
      <c r="V12" s="116"/>
      <c r="W12" s="116"/>
      <c r="X12" s="116"/>
      <c r="Y12" s="116"/>
      <c r="Z12" s="216"/>
    </row>
    <row r="13" spans="1:26" ht="12.75">
      <c r="A13" s="38"/>
      <c r="B13" s="34" t="s">
        <v>61</v>
      </c>
      <c r="C13" s="109">
        <v>60</v>
      </c>
      <c r="D13" s="59" t="s">
        <v>1</v>
      </c>
      <c r="E13" s="41"/>
      <c r="F13" s="41"/>
      <c r="G13" s="41"/>
      <c r="H13" s="41"/>
      <c r="I13" s="41"/>
      <c r="J13" s="186"/>
      <c r="L13" s="46"/>
      <c r="M13" s="205" t="s">
        <v>70</v>
      </c>
      <c r="N13" s="95"/>
      <c r="O13" s="95"/>
      <c r="P13" s="116"/>
      <c r="Q13" s="217"/>
      <c r="R13" s="216"/>
      <c r="S13" s="216"/>
      <c r="T13" s="123"/>
      <c r="U13" s="50"/>
      <c r="V13" s="116"/>
      <c r="W13" s="116"/>
      <c r="X13" s="116"/>
      <c r="Y13" s="116"/>
      <c r="Z13" s="216"/>
    </row>
    <row r="14" spans="1:26" ht="12.75">
      <c r="A14" s="38"/>
      <c r="B14" s="34" t="s">
        <v>75</v>
      </c>
      <c r="C14" s="54">
        <v>100</v>
      </c>
      <c r="D14" s="59" t="s">
        <v>6</v>
      </c>
      <c r="E14" s="41"/>
      <c r="F14" s="41"/>
      <c r="G14" s="41"/>
      <c r="H14" s="41"/>
      <c r="I14" s="41"/>
      <c r="J14" s="186"/>
      <c r="L14" s="46"/>
      <c r="M14" s="95"/>
      <c r="N14" s="95"/>
      <c r="O14" s="95"/>
      <c r="P14" s="111"/>
      <c r="Q14" s="177"/>
      <c r="R14" s="111"/>
      <c r="S14" s="7"/>
      <c r="T14" s="7"/>
      <c r="U14" s="7"/>
      <c r="V14" s="116"/>
      <c r="W14" s="116"/>
      <c r="X14" s="116"/>
      <c r="Y14" s="116"/>
      <c r="Z14" s="216"/>
    </row>
    <row r="15" spans="1:26" ht="12.75">
      <c r="A15" s="38"/>
      <c r="B15" s="34" t="s">
        <v>76</v>
      </c>
      <c r="C15" s="54">
        <v>200</v>
      </c>
      <c r="D15" s="59" t="s">
        <v>6</v>
      </c>
      <c r="E15" s="41"/>
      <c r="F15" s="41"/>
      <c r="G15" s="41"/>
      <c r="H15" s="41"/>
      <c r="I15" s="41"/>
      <c r="J15" s="186"/>
      <c r="L15" s="46"/>
      <c r="M15" s="213" t="s">
        <v>51</v>
      </c>
      <c r="N15" s="94"/>
      <c r="O15" s="33"/>
      <c r="P15" s="96"/>
      <c r="Q15" s="177"/>
      <c r="R15" s="101"/>
      <c r="S15" s="58"/>
      <c r="T15" s="58"/>
      <c r="U15" s="58"/>
      <c r="V15" s="102"/>
      <c r="W15" s="102"/>
      <c r="X15" s="103"/>
      <c r="Y15" s="103"/>
      <c r="Z15" s="95"/>
    </row>
    <row r="16" spans="1:26" ht="12.75">
      <c r="A16" s="38"/>
      <c r="B16" s="34" t="s">
        <v>62</v>
      </c>
      <c r="C16" s="261" t="s">
        <v>63</v>
      </c>
      <c r="D16" s="59"/>
      <c r="E16" s="41"/>
      <c r="F16" s="41"/>
      <c r="G16" s="41"/>
      <c r="H16" s="41"/>
      <c r="I16" s="41"/>
      <c r="J16" s="186"/>
      <c r="L16" s="127" t="s">
        <v>30</v>
      </c>
      <c r="M16" s="60" t="s">
        <v>29</v>
      </c>
      <c r="N16" s="60">
        <v>85</v>
      </c>
      <c r="O16" s="60">
        <v>90</v>
      </c>
      <c r="P16" s="60">
        <v>100</v>
      </c>
      <c r="Q16" s="201">
        <v>110</v>
      </c>
      <c r="R16" s="134">
        <v>120</v>
      </c>
      <c r="S16" s="134">
        <v>130</v>
      </c>
      <c r="T16" s="134">
        <v>140</v>
      </c>
      <c r="U16" s="134">
        <v>145</v>
      </c>
      <c r="V16" s="134">
        <v>150</v>
      </c>
      <c r="W16" s="134">
        <v>160</v>
      </c>
      <c r="X16" s="134">
        <v>170</v>
      </c>
      <c r="Y16" s="134">
        <v>185</v>
      </c>
      <c r="Z16" s="95"/>
    </row>
    <row r="17" spans="1:26" ht="12.75">
      <c r="A17" s="38"/>
      <c r="B17" s="41"/>
      <c r="C17" s="258">
        <f>IF($C$13&gt;$C$12,"hr MUST BE &gt;= he !","")</f>
      </c>
      <c r="D17" s="56"/>
      <c r="E17" s="41"/>
      <c r="F17" s="41"/>
      <c r="G17" s="41"/>
      <c r="H17" s="41"/>
      <c r="I17" s="41"/>
      <c r="J17" s="186"/>
      <c r="L17" s="113">
        <v>1</v>
      </c>
      <c r="M17" s="70">
        <v>0</v>
      </c>
      <c r="N17" s="144">
        <v>15</v>
      </c>
      <c r="O17" s="135">
        <v>17</v>
      </c>
      <c r="P17" s="136">
        <v>21</v>
      </c>
      <c r="Q17" s="136">
        <v>25</v>
      </c>
      <c r="R17" s="136">
        <v>30</v>
      </c>
      <c r="S17" s="136">
        <v>35</v>
      </c>
      <c r="T17" s="136">
        <v>41</v>
      </c>
      <c r="U17" s="136">
        <v>43</v>
      </c>
      <c r="V17" s="136">
        <v>47</v>
      </c>
      <c r="W17" s="136">
        <v>53</v>
      </c>
      <c r="X17" s="136">
        <v>60</v>
      </c>
      <c r="Y17" s="137">
        <v>71</v>
      </c>
      <c r="Z17" s="95"/>
    </row>
    <row r="18" spans="1:26" ht="12.75">
      <c r="A18" s="38"/>
      <c r="B18" s="41"/>
      <c r="C18" s="41"/>
      <c r="D18" s="56"/>
      <c r="E18" s="41"/>
      <c r="F18" s="41"/>
      <c r="G18" s="41"/>
      <c r="H18" s="41"/>
      <c r="I18" s="41"/>
      <c r="J18" s="186"/>
      <c r="L18" s="113">
        <v>2</v>
      </c>
      <c r="M18" s="76">
        <v>15</v>
      </c>
      <c r="N18" s="145">
        <v>15</v>
      </c>
      <c r="O18" s="138">
        <v>17</v>
      </c>
      <c r="P18" s="139">
        <v>21</v>
      </c>
      <c r="Q18" s="139">
        <v>25</v>
      </c>
      <c r="R18" s="139">
        <v>30</v>
      </c>
      <c r="S18" s="139">
        <v>35</v>
      </c>
      <c r="T18" s="139">
        <v>41</v>
      </c>
      <c r="U18" s="139">
        <v>43</v>
      </c>
      <c r="V18" s="139">
        <v>47</v>
      </c>
      <c r="W18" s="139">
        <v>53</v>
      </c>
      <c r="X18" s="139">
        <v>60</v>
      </c>
      <c r="Y18" s="140">
        <v>71</v>
      </c>
      <c r="Z18" s="95"/>
    </row>
    <row r="19" spans="1:26" ht="12.75">
      <c r="A19" s="65" t="s">
        <v>14</v>
      </c>
      <c r="B19" s="41"/>
      <c r="C19" s="41"/>
      <c r="D19" s="56"/>
      <c r="E19" s="41"/>
      <c r="F19" s="41"/>
      <c r="G19" s="41"/>
      <c r="H19" s="41"/>
      <c r="I19" s="41"/>
      <c r="J19" s="186"/>
      <c r="L19" s="113">
        <v>3</v>
      </c>
      <c r="M19" s="76">
        <v>30</v>
      </c>
      <c r="N19" s="145">
        <v>15</v>
      </c>
      <c r="O19" s="138">
        <v>17</v>
      </c>
      <c r="P19" s="139">
        <v>21</v>
      </c>
      <c r="Q19" s="139">
        <v>25</v>
      </c>
      <c r="R19" s="139">
        <v>30</v>
      </c>
      <c r="S19" s="139">
        <v>35</v>
      </c>
      <c r="T19" s="139">
        <v>41</v>
      </c>
      <c r="U19" s="139">
        <v>43</v>
      </c>
      <c r="V19" s="139">
        <v>47</v>
      </c>
      <c r="W19" s="139">
        <v>53</v>
      </c>
      <c r="X19" s="139">
        <v>60</v>
      </c>
      <c r="Y19" s="140">
        <v>71</v>
      </c>
      <c r="Z19" s="95"/>
    </row>
    <row r="20" spans="1:26" ht="12.75">
      <c r="A20" s="38"/>
      <c r="B20" s="41"/>
      <c r="C20" s="41"/>
      <c r="D20" s="56"/>
      <c r="E20" s="41"/>
      <c r="F20" s="41"/>
      <c r="G20" s="41"/>
      <c r="H20" s="41"/>
      <c r="I20" s="41"/>
      <c r="J20" s="186"/>
      <c r="L20" s="113">
        <v>4</v>
      </c>
      <c r="M20" s="76">
        <v>60</v>
      </c>
      <c r="N20" s="145">
        <v>18</v>
      </c>
      <c r="O20" s="138">
        <v>20</v>
      </c>
      <c r="P20" s="139">
        <v>25</v>
      </c>
      <c r="Q20" s="139">
        <v>31</v>
      </c>
      <c r="R20" s="139">
        <v>36</v>
      </c>
      <c r="S20" s="139">
        <v>43</v>
      </c>
      <c r="T20" s="139">
        <v>49</v>
      </c>
      <c r="U20" s="139">
        <v>53</v>
      </c>
      <c r="V20" s="139">
        <v>57</v>
      </c>
      <c r="W20" s="139">
        <v>65</v>
      </c>
      <c r="X20" s="139">
        <v>73</v>
      </c>
      <c r="Y20" s="140">
        <v>86</v>
      </c>
      <c r="Z20" s="95"/>
    </row>
    <row r="21" spans="1:26" ht="12.75">
      <c r="A21" s="183" t="s">
        <v>68</v>
      </c>
      <c r="B21" s="41"/>
      <c r="C21" s="41"/>
      <c r="D21" s="41"/>
      <c r="E21" s="41"/>
      <c r="F21" s="41"/>
      <c r="G21" s="41"/>
      <c r="H21" s="41"/>
      <c r="I21" s="41"/>
      <c r="J21" s="186"/>
      <c r="L21" s="113">
        <v>5</v>
      </c>
      <c r="M21" s="76">
        <v>89</v>
      </c>
      <c r="N21" s="145">
        <v>20</v>
      </c>
      <c r="O21" s="138">
        <v>23</v>
      </c>
      <c r="P21" s="138">
        <v>28</v>
      </c>
      <c r="Q21" s="139">
        <v>34</v>
      </c>
      <c r="R21" s="139">
        <v>41</v>
      </c>
      <c r="S21" s="139">
        <v>48</v>
      </c>
      <c r="T21" s="139">
        <v>55</v>
      </c>
      <c r="U21" s="139">
        <v>60</v>
      </c>
      <c r="V21" s="139">
        <v>64</v>
      </c>
      <c r="W21" s="139">
        <v>72</v>
      </c>
      <c r="X21" s="139">
        <v>82</v>
      </c>
      <c r="Y21" s="140">
        <v>97</v>
      </c>
      <c r="Z21" s="95"/>
    </row>
    <row r="22" spans="1:26" ht="12.75">
      <c r="A22" s="38"/>
      <c r="B22" s="182" t="s">
        <v>65</v>
      </c>
      <c r="C22" s="207">
        <f>IF($C$16="Gable",DEGREES(ATAN(($C$12-$C$13)/($C$14/2))),DEGREES(ATAN(($C$12-$C$13)/($C$14))))</f>
        <v>2.3855627204159573</v>
      </c>
      <c r="D22" s="59" t="s">
        <v>44</v>
      </c>
      <c r="E22" s="41"/>
      <c r="F22" s="41"/>
      <c r="G22" s="41"/>
      <c r="H22" s="41"/>
      <c r="I22" s="41"/>
      <c r="J22" s="186"/>
      <c r="L22" s="113">
        <v>6</v>
      </c>
      <c r="M22" s="76">
        <v>90</v>
      </c>
      <c r="N22" s="145">
        <v>27</v>
      </c>
      <c r="O22" s="138">
        <v>31</v>
      </c>
      <c r="P22" s="138">
        <v>38</v>
      </c>
      <c r="Q22" s="139">
        <v>46</v>
      </c>
      <c r="R22" s="139">
        <v>55</v>
      </c>
      <c r="S22" s="139">
        <v>64</v>
      </c>
      <c r="T22" s="139">
        <v>74</v>
      </c>
      <c r="U22" s="139">
        <v>80</v>
      </c>
      <c r="V22" s="139">
        <v>86</v>
      </c>
      <c r="W22" s="139">
        <v>97</v>
      </c>
      <c r="X22" s="139">
        <v>110</v>
      </c>
      <c r="Y22" s="140">
        <v>130</v>
      </c>
      <c r="Z22" s="95"/>
    </row>
    <row r="23" spans="1:26" ht="12.75">
      <c r="A23" s="38"/>
      <c r="B23" s="34" t="s">
        <v>66</v>
      </c>
      <c r="C23" s="179">
        <f>IF($C$22&lt;=10,$C$13,$C$13+($C$12-$C$13)/2)</f>
        <v>60</v>
      </c>
      <c r="D23" s="59" t="s">
        <v>6</v>
      </c>
      <c r="E23" s="56" t="str">
        <f>IF($B$33&lt;=10,"h = he, for roof angle &lt;=10 deg.","h = (hr+he)/2, for roof angle &gt;10 deg.")</f>
        <v>h = he, for roof angle &lt;=10 deg.</v>
      </c>
      <c r="F23" s="41"/>
      <c r="G23" s="41"/>
      <c r="H23" s="41"/>
      <c r="I23" s="41"/>
      <c r="J23" s="186"/>
      <c r="L23" s="113">
        <v>7</v>
      </c>
      <c r="M23" s="76">
        <v>100</v>
      </c>
      <c r="N23" s="145">
        <v>28</v>
      </c>
      <c r="O23" s="138">
        <v>32</v>
      </c>
      <c r="P23" s="138">
        <v>39</v>
      </c>
      <c r="Q23" s="139">
        <v>47</v>
      </c>
      <c r="R23" s="139">
        <v>56</v>
      </c>
      <c r="S23" s="139">
        <v>66</v>
      </c>
      <c r="T23" s="139">
        <v>77</v>
      </c>
      <c r="U23" s="139">
        <v>82</v>
      </c>
      <c r="V23" s="139">
        <v>88</v>
      </c>
      <c r="W23" s="139">
        <v>100</v>
      </c>
      <c r="X23" s="139">
        <v>113</v>
      </c>
      <c r="Y23" s="140">
        <v>134</v>
      </c>
      <c r="Z23" s="95"/>
    </row>
    <row r="24" spans="1:26" ht="12.75">
      <c r="A24" s="38"/>
      <c r="B24" s="178" t="s">
        <v>54</v>
      </c>
      <c r="C24" s="67">
        <f>MIN($C$14,$C$15)</f>
        <v>100</v>
      </c>
      <c r="D24" s="59" t="s">
        <v>6</v>
      </c>
      <c r="E24" s="45" t="s">
        <v>131</v>
      </c>
      <c r="F24" s="41"/>
      <c r="G24" s="41"/>
      <c r="H24" s="41"/>
      <c r="I24" s="41"/>
      <c r="J24" s="186"/>
      <c r="L24" s="113">
        <v>8</v>
      </c>
      <c r="M24" s="76">
        <v>200</v>
      </c>
      <c r="N24" s="145">
        <v>34</v>
      </c>
      <c r="O24" s="138">
        <v>39</v>
      </c>
      <c r="P24" s="138">
        <v>48</v>
      </c>
      <c r="Q24" s="139">
        <v>58</v>
      </c>
      <c r="R24" s="139">
        <v>69</v>
      </c>
      <c r="S24" s="139">
        <v>80</v>
      </c>
      <c r="T24" s="139">
        <v>93</v>
      </c>
      <c r="U24" s="139">
        <v>100</v>
      </c>
      <c r="V24" s="139">
        <v>107</v>
      </c>
      <c r="W24" s="139">
        <v>122</v>
      </c>
      <c r="X24" s="139">
        <v>138</v>
      </c>
      <c r="Y24" s="140">
        <v>163</v>
      </c>
      <c r="Z24" s="95"/>
    </row>
    <row r="25" spans="1:26" ht="12.75">
      <c r="A25" s="38"/>
      <c r="B25" s="178" t="s">
        <v>55</v>
      </c>
      <c r="C25" s="71">
        <f>$C$23/$C$24</f>
        <v>0.6</v>
      </c>
      <c r="D25" s="206"/>
      <c r="E25" s="41" t="s">
        <v>132</v>
      </c>
      <c r="F25" s="41"/>
      <c r="G25" s="41"/>
      <c r="H25" s="41"/>
      <c r="I25" s="100"/>
      <c r="J25" s="184"/>
      <c r="L25" s="113">
        <v>9</v>
      </c>
      <c r="M25" s="76">
        <v>300</v>
      </c>
      <c r="N25" s="145">
        <v>39</v>
      </c>
      <c r="O25" s="138">
        <v>43</v>
      </c>
      <c r="P25" s="138">
        <v>53</v>
      </c>
      <c r="Q25" s="139">
        <v>65</v>
      </c>
      <c r="R25" s="139">
        <v>77</v>
      </c>
      <c r="S25" s="139">
        <v>91</v>
      </c>
      <c r="T25" s="139">
        <v>105</v>
      </c>
      <c r="U25" s="139">
        <v>112</v>
      </c>
      <c r="V25" s="139">
        <v>121</v>
      </c>
      <c r="W25" s="139">
        <v>137</v>
      </c>
      <c r="X25" s="139">
        <v>155</v>
      </c>
      <c r="Y25" s="140">
        <v>183</v>
      </c>
      <c r="Z25" s="95"/>
    </row>
    <row r="26" spans="1:26" ht="12.75">
      <c r="A26" s="38"/>
      <c r="B26" s="74" t="s">
        <v>69</v>
      </c>
      <c r="C26" s="72">
        <f>1.15</f>
        <v>1.15</v>
      </c>
      <c r="D26" s="41"/>
      <c r="E26" s="270" t="s">
        <v>130</v>
      </c>
      <c r="F26" s="41"/>
      <c r="G26" s="41"/>
      <c r="H26" s="41"/>
      <c r="I26" s="100"/>
      <c r="J26" s="184"/>
      <c r="L26" s="113">
        <v>10</v>
      </c>
      <c r="M26" s="76">
        <v>400</v>
      </c>
      <c r="N26" s="145">
        <v>42</v>
      </c>
      <c r="O26" s="138">
        <v>47</v>
      </c>
      <c r="P26" s="138">
        <v>58</v>
      </c>
      <c r="Q26" s="139">
        <v>70</v>
      </c>
      <c r="R26" s="139">
        <v>84</v>
      </c>
      <c r="S26" s="139">
        <v>98</v>
      </c>
      <c r="T26" s="139">
        <v>114</v>
      </c>
      <c r="U26" s="139">
        <v>122</v>
      </c>
      <c r="V26" s="139">
        <v>131</v>
      </c>
      <c r="W26" s="139">
        <v>149</v>
      </c>
      <c r="X26" s="139">
        <v>168</v>
      </c>
      <c r="Y26" s="140">
        <v>199</v>
      </c>
      <c r="Z26" s="95"/>
    </row>
    <row r="27" spans="1:26" ht="12.75">
      <c r="A27" s="38"/>
      <c r="B27" s="34" t="s">
        <v>67</v>
      </c>
      <c r="C27" s="267">
        <f>10</f>
        <v>10</v>
      </c>
      <c r="D27" s="59" t="s">
        <v>71</v>
      </c>
      <c r="E27" s="41" t="s">
        <v>79</v>
      </c>
      <c r="F27" s="41"/>
      <c r="G27" s="41"/>
      <c r="H27" s="41"/>
      <c r="I27" s="100"/>
      <c r="J27" s="186"/>
      <c r="L27" s="113">
        <v>11</v>
      </c>
      <c r="M27" s="147">
        <v>500</v>
      </c>
      <c r="N27" s="146">
        <v>45</v>
      </c>
      <c r="O27" s="141">
        <v>50</v>
      </c>
      <c r="P27" s="141">
        <v>62</v>
      </c>
      <c r="Q27" s="142">
        <v>75</v>
      </c>
      <c r="R27" s="142">
        <v>89</v>
      </c>
      <c r="S27" s="142">
        <v>105</v>
      </c>
      <c r="T27" s="142">
        <v>121</v>
      </c>
      <c r="U27" s="142">
        <v>130</v>
      </c>
      <c r="V27" s="142">
        <v>139</v>
      </c>
      <c r="W27" s="142">
        <v>158</v>
      </c>
      <c r="X27" s="142">
        <v>179</v>
      </c>
      <c r="Y27" s="143">
        <v>212</v>
      </c>
      <c r="Z27" s="95"/>
    </row>
    <row r="28" spans="1:26" ht="12.75">
      <c r="A28" s="38"/>
      <c r="B28" s="39" t="s">
        <v>128</v>
      </c>
      <c r="C28" s="71">
        <f>IF($C$23&lt;=60,MAX(MIN(0.1*$C$24,0.4*$C$23),0.04*$C$24,3),MAX(0.1*$C$24,3))</f>
        <v>10</v>
      </c>
      <c r="D28" s="59" t="s">
        <v>6</v>
      </c>
      <c r="E28" s="269" t="str">
        <f>IF($C$23&lt;=60,"a = max. of (min. of (0.1*w or 0.4*h), 0.04*w or 3')","a = max. of (0.1*w or 3')")</f>
        <v>a = max. of (min. of (0.1*w or 0.4*h), 0.04*w or 3')</v>
      </c>
      <c r="F28" s="41"/>
      <c r="G28" s="41"/>
      <c r="H28" s="41"/>
      <c r="I28" s="100"/>
      <c r="J28" s="186"/>
      <c r="L28" s="46"/>
      <c r="M28" s="95"/>
      <c r="N28" s="95"/>
      <c r="O28" s="95"/>
      <c r="P28" s="95"/>
      <c r="Q28" s="218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2.75">
      <c r="A29" s="38"/>
      <c r="B29" s="39" t="str">
        <f>IF($C$23&lt;=60,"Zone 3 Dimension, a =","Zone 3 Dimension, 2*a =")</f>
        <v>Zone 3 Dimension, a =</v>
      </c>
      <c r="C29" s="68">
        <f>IF($C$23&lt;=60,MAX(MIN(0.1*$C$24,0.4*$C$23),0.04*$C$24,3),2*MAX(0.1*$C$24,3))</f>
        <v>10</v>
      </c>
      <c r="D29" s="59" t="s">
        <v>6</v>
      </c>
      <c r="E29" s="269" t="str">
        <f>IF($C$23&lt;=60,"a = max. of (min. of (0.1*w or 0.4*h), 0.04*w or 3')","2*a = 2*max. of (0.1*w or 3')")</f>
        <v>a = max. of (min. of (0.1*w or 0.4*h), 0.04*w or 3')</v>
      </c>
      <c r="F29" s="41"/>
      <c r="G29" s="41"/>
      <c r="H29" s="41"/>
      <c r="I29" s="41"/>
      <c r="J29" s="37"/>
      <c r="L29" s="114"/>
      <c r="M29" s="148" t="s">
        <v>32</v>
      </c>
      <c r="N29" s="94"/>
      <c r="O29" s="107"/>
      <c r="P29" s="98"/>
      <c r="Q29" s="177"/>
      <c r="R29" s="101"/>
      <c r="S29" s="58"/>
      <c r="T29" s="58"/>
      <c r="U29" s="58"/>
      <c r="V29" s="102"/>
      <c r="W29" s="102"/>
      <c r="X29" s="103"/>
      <c r="Y29" s="103"/>
      <c r="Z29" s="95"/>
    </row>
    <row r="30" spans="1:26" ht="12.75">
      <c r="A30" s="38"/>
      <c r="B30" s="41"/>
      <c r="C30" s="41"/>
      <c r="D30" s="41"/>
      <c r="E30" s="41"/>
      <c r="F30" s="41"/>
      <c r="G30" s="41"/>
      <c r="H30" s="41"/>
      <c r="I30" s="41"/>
      <c r="J30" s="37"/>
      <c r="L30" s="114">
        <f>MATCH($M$31,$M$17:$M$27,1)</f>
        <v>4</v>
      </c>
      <c r="M30" s="122">
        <f>VLOOKUP($L$30,$L$17:$O$27,2)</f>
        <v>60</v>
      </c>
      <c r="N30" s="122">
        <f>VLOOKUP($L$30,$L$17:$N$27,3)</f>
        <v>18</v>
      </c>
      <c r="O30" s="122">
        <f>VLOOKUP($L$30,$L$17:$O$27,4)</f>
        <v>20</v>
      </c>
      <c r="P30" s="122">
        <f>VLOOKUP($L$30,$L$17:$P$27,5)</f>
        <v>25</v>
      </c>
      <c r="Q30" s="122">
        <f>VLOOKUP($L$30,$L$17:$Q$27,6)</f>
        <v>31</v>
      </c>
      <c r="R30" s="122">
        <f>VLOOKUP($L$30,$L$17:$R$27,7)</f>
        <v>36</v>
      </c>
      <c r="S30" s="122">
        <f>VLOOKUP($L$30,$L$17:$S$27,8)</f>
        <v>43</v>
      </c>
      <c r="T30" s="122">
        <f>VLOOKUP($L$30,$L$17:$T$27,9)</f>
        <v>49</v>
      </c>
      <c r="U30" s="122">
        <f>VLOOKUP($L$30,$L$17:$U$27,10)</f>
        <v>53</v>
      </c>
      <c r="V30" s="122">
        <f>VLOOKUP($L$30,$L$17:$V$27,11)</f>
        <v>57</v>
      </c>
      <c r="W30" s="122">
        <f>VLOOKUP($L$30,$L$17:$W$27,12)</f>
        <v>65</v>
      </c>
      <c r="X30" s="122">
        <f>VLOOKUP($L$30,$L$17:$X$27,13)</f>
        <v>73</v>
      </c>
      <c r="Y30" s="122">
        <f>VLOOKUP($L$30,$L$17:$Y$27,14)</f>
        <v>86</v>
      </c>
      <c r="Z30" s="95"/>
    </row>
    <row r="31" spans="1:26" ht="12.75">
      <c r="A31" s="32" t="s">
        <v>72</v>
      </c>
      <c r="B31" s="100"/>
      <c r="C31" s="100"/>
      <c r="D31" s="100"/>
      <c r="E31" s="100"/>
      <c r="F31" s="100"/>
      <c r="G31" s="264">
        <f>IF(CEILING($E$36,15)&lt;60,"Note: 1-60 is minimum FMG Rating","")</f>
      </c>
      <c r="H31" s="100"/>
      <c r="I31" s="100"/>
      <c r="J31" s="186"/>
      <c r="L31" s="114"/>
      <c r="M31" s="48">
        <f>$C$23</f>
        <v>60</v>
      </c>
      <c r="N31" s="112">
        <f>($N$32-$N$30)*($M$31-$M$30)/($M$32-$M$30)+$N$30</f>
        <v>18</v>
      </c>
      <c r="O31" s="112">
        <f>($O$32-$O$30)*($M$31-$M$30)/($M$32-$M$30)+$O$30</f>
        <v>20</v>
      </c>
      <c r="P31" s="112">
        <f>($P$32-$P$30)*($M$31-$M$30)/($M$32-$M$30)+$P$30</f>
        <v>25</v>
      </c>
      <c r="Q31" s="112">
        <f>($Q$32-$Q$30)*($M$31-$M$30)/($M$32-$M$30)+$Q$30</f>
        <v>31</v>
      </c>
      <c r="R31" s="112">
        <f>($R$32-$R$30)*($M$31-$M$30)/($M$32-$M$30)+$R$30</f>
        <v>36</v>
      </c>
      <c r="S31" s="112">
        <f>($S$32-$S$30)*($M$31-$M$30)/($M$32-$M$30)+$S$30</f>
        <v>43</v>
      </c>
      <c r="T31" s="112">
        <f>($T$32-$T$30)*($M$31-$M$30)/($M$32-$M$30)+$T$30</f>
        <v>49</v>
      </c>
      <c r="U31" s="112">
        <f>($U$32-$U$30)*($M$31-$M$30)/($M$32-$M$30)+$U$30</f>
        <v>53</v>
      </c>
      <c r="V31" s="112">
        <f>($V$32-$V$30)*($M$31-$M$30)/($M$32-$M$30)+$V$30</f>
        <v>57</v>
      </c>
      <c r="W31" s="112">
        <f>($W$32-$W$30)*($M$31-$M$30)/($M$32-$M$30)+$W$30</f>
        <v>65</v>
      </c>
      <c r="X31" s="112">
        <f>($X$32-$X$30)*($M$31-$M$30)/($M$32-$M$30)+$X$30</f>
        <v>73</v>
      </c>
      <c r="Y31" s="112">
        <f>($Y$32-$Y$30)*($M$31-$M$30)/($M$32-$M$30)+$Y$30</f>
        <v>86</v>
      </c>
      <c r="Z31" s="95"/>
    </row>
    <row r="32" spans="1:26" ht="12.75">
      <c r="A32" s="197"/>
      <c r="B32" s="131"/>
      <c r="C32" s="40"/>
      <c r="D32" s="110" t="s">
        <v>81</v>
      </c>
      <c r="E32" s="133">
        <f>IF($C$11="B",$M$34,IF($C$11="C",$M$56,IF($C$11="D",$M$78)))</f>
        <v>27</v>
      </c>
      <c r="F32" s="108" t="s">
        <v>7</v>
      </c>
      <c r="G32" s="100" t="str">
        <f>"pb1 = from FMG 1-28, Table "&amp;IF($C$11="B","3",IF($C$11="C","4",IF($C$11="D","5")))</f>
        <v>pb1 = from FMG 1-28, Table 4</v>
      </c>
      <c r="H32" s="41"/>
      <c r="I32" s="100"/>
      <c r="J32" s="189"/>
      <c r="L32" s="114">
        <f>$L$30+1</f>
        <v>5</v>
      </c>
      <c r="M32" s="122">
        <f>VLOOKUP($L$32,$L$17:$O$27,2)</f>
        <v>89</v>
      </c>
      <c r="N32" s="122">
        <f>VLOOKUP($L$32,$L$17:$N$27,3)</f>
        <v>20</v>
      </c>
      <c r="O32" s="122">
        <f>VLOOKUP($L$32,$L$17:$O$27,4)</f>
        <v>23</v>
      </c>
      <c r="P32" s="122">
        <f>VLOOKUP($L$32,$L$17:$P$27,5)</f>
        <v>28</v>
      </c>
      <c r="Q32" s="122">
        <f>VLOOKUP($L$32,$L$17:$Q$27,6)</f>
        <v>34</v>
      </c>
      <c r="R32" s="122">
        <f>VLOOKUP($L$32,$L$17:$R$27,7)</f>
        <v>41</v>
      </c>
      <c r="S32" s="122">
        <f>VLOOKUP($L$32,$L$17:$S$27,8)</f>
        <v>48</v>
      </c>
      <c r="T32" s="122">
        <f>VLOOKUP($L$32,$L$17:$T$27,9)</f>
        <v>55</v>
      </c>
      <c r="U32" s="122">
        <f>VLOOKUP($L$32,$L$17:$U$27,10)</f>
        <v>60</v>
      </c>
      <c r="V32" s="122">
        <f>VLOOKUP($L$32,$L$17:$V$27,11)</f>
        <v>64</v>
      </c>
      <c r="W32" s="122">
        <f>VLOOKUP($L$32,$L$17:$W$27,12)</f>
        <v>72</v>
      </c>
      <c r="X32" s="122">
        <f>VLOOKUP($L$32,$L$17:$X$27,13)</f>
        <v>82</v>
      </c>
      <c r="Y32" s="122">
        <f>VLOOKUP($L$32,$L$17:$Y$27,14)</f>
        <v>97</v>
      </c>
      <c r="Z32" s="95"/>
    </row>
    <row r="33" spans="1:26" ht="12.75">
      <c r="A33" s="197"/>
      <c r="B33" s="131"/>
      <c r="C33" s="129"/>
      <c r="D33" s="110" t="s">
        <v>82</v>
      </c>
      <c r="E33" s="181">
        <f>IF($C$10="Enclosed",$O$108,$R$108)</f>
        <v>1</v>
      </c>
      <c r="F33" s="265"/>
      <c r="G33" s="100" t="s">
        <v>85</v>
      </c>
      <c r="H33" s="41"/>
      <c r="I33" s="41"/>
      <c r="J33" s="186"/>
      <c r="L33" s="111"/>
      <c r="M33" s="149" t="s">
        <v>33</v>
      </c>
      <c r="N33" s="94"/>
      <c r="O33" s="33"/>
      <c r="P33" s="104"/>
      <c r="Q33" s="177"/>
      <c r="R33" s="101"/>
      <c r="S33" s="58"/>
      <c r="T33" s="58"/>
      <c r="U33" s="58"/>
      <c r="V33" s="102"/>
      <c r="W33" s="102"/>
      <c r="X33" s="103"/>
      <c r="Y33" s="103"/>
      <c r="Z33" s="95"/>
    </row>
    <row r="34" spans="1:26" ht="12.75">
      <c r="A34" s="197"/>
      <c r="B34" s="131"/>
      <c r="C34" s="129"/>
      <c r="D34" s="110" t="s">
        <v>83</v>
      </c>
      <c r="E34" s="181">
        <f>$E$32*$E$33</f>
        <v>27</v>
      </c>
      <c r="F34" s="108" t="s">
        <v>7</v>
      </c>
      <c r="G34" s="100" t="s">
        <v>96</v>
      </c>
      <c r="H34" s="41"/>
      <c r="I34" s="100"/>
      <c r="J34" s="186"/>
      <c r="L34" s="128">
        <f>$C$9</f>
        <v>90</v>
      </c>
      <c r="M34" s="214">
        <f>HLOOKUP($C$9,$N$16:$Y$32,16)</f>
        <v>20</v>
      </c>
      <c r="N34" s="105" t="s">
        <v>7</v>
      </c>
      <c r="O34" s="33"/>
      <c r="P34" s="104"/>
      <c r="Q34" s="177"/>
      <c r="R34" s="101"/>
      <c r="S34" s="58"/>
      <c r="T34" s="58"/>
      <c r="U34" s="58"/>
      <c r="V34" s="102"/>
      <c r="W34" s="102"/>
      <c r="X34" s="103"/>
      <c r="Y34" s="103"/>
      <c r="Z34" s="95"/>
    </row>
    <row r="35" spans="1:27" ht="12.75">
      <c r="A35" s="197"/>
      <c r="B35" s="100"/>
      <c r="C35" s="35"/>
      <c r="D35" s="34" t="s">
        <v>19</v>
      </c>
      <c r="E35" s="198">
        <f>2</f>
        <v>2</v>
      </c>
      <c r="F35" s="265"/>
      <c r="G35" s="100" t="s">
        <v>84</v>
      </c>
      <c r="H35" s="41"/>
      <c r="I35" s="41"/>
      <c r="J35" s="186"/>
      <c r="L35" s="111"/>
      <c r="M35" s="97"/>
      <c r="N35" s="94"/>
      <c r="O35" s="33"/>
      <c r="P35" s="104"/>
      <c r="Q35" s="177"/>
      <c r="R35" s="101"/>
      <c r="S35" s="58"/>
      <c r="T35" s="58"/>
      <c r="U35" s="58"/>
      <c r="V35" s="102"/>
      <c r="W35" s="102"/>
      <c r="X35" s="103"/>
      <c r="Y35" s="103"/>
      <c r="Z35" s="95"/>
      <c r="AA35" s="259" t="s">
        <v>3</v>
      </c>
    </row>
    <row r="36" spans="1:27" ht="12.75">
      <c r="A36" s="197"/>
      <c r="B36" s="100"/>
      <c r="C36" s="100"/>
      <c r="D36" s="110" t="s">
        <v>92</v>
      </c>
      <c r="E36" s="181">
        <f>$E$34*2</f>
        <v>54</v>
      </c>
      <c r="F36" s="108" t="s">
        <v>7</v>
      </c>
      <c r="G36" s="100" t="s">
        <v>93</v>
      </c>
      <c r="H36" s="41"/>
      <c r="I36" s="41"/>
      <c r="J36" s="186"/>
      <c r="L36" s="46"/>
      <c r="M36" s="95"/>
      <c r="N36" s="95"/>
      <c r="O36" s="95"/>
      <c r="P36" s="95"/>
      <c r="Q36" s="218"/>
      <c r="R36" s="95"/>
      <c r="S36" s="95"/>
      <c r="T36" s="95"/>
      <c r="U36" s="58"/>
      <c r="V36" s="102"/>
      <c r="W36" s="102"/>
      <c r="X36" s="103"/>
      <c r="Y36" s="103"/>
      <c r="Z36" s="95"/>
      <c r="AA36" s="259" t="s">
        <v>2</v>
      </c>
    </row>
    <row r="37" spans="1:27" ht="12.75">
      <c r="A37" s="197"/>
      <c r="B37" s="100"/>
      <c r="C37" s="100"/>
      <c r="D37" s="34" t="s">
        <v>99</v>
      </c>
      <c r="E37" s="199" t="str">
        <f>"1-"&amp;MAX(CEILING($E$36,15),60)</f>
        <v>1-60</v>
      </c>
      <c r="G37" s="41" t="s">
        <v>133</v>
      </c>
      <c r="H37" s="41"/>
      <c r="I37" s="41"/>
      <c r="J37" s="186"/>
      <c r="L37" s="46"/>
      <c r="M37" s="213" t="s">
        <v>52</v>
      </c>
      <c r="N37" s="94"/>
      <c r="O37" s="33"/>
      <c r="P37" s="96"/>
      <c r="Q37" s="177"/>
      <c r="R37" s="101"/>
      <c r="S37" s="58"/>
      <c r="T37" s="58"/>
      <c r="U37" s="58"/>
      <c r="V37" s="102"/>
      <c r="W37" s="102"/>
      <c r="X37" s="103"/>
      <c r="Y37" s="103"/>
      <c r="Z37" s="95"/>
      <c r="AA37" s="260" t="str">
        <f>$N$190</f>
        <v>1-60</v>
      </c>
    </row>
    <row r="38" spans="1:26" ht="12.75" customHeight="1">
      <c r="A38" s="197"/>
      <c r="B38" s="131"/>
      <c r="C38" s="130"/>
      <c r="D38" s="129"/>
      <c r="G38" s="263">
        <f>IF(AND($C$16="Gable",$C$22&gt;7)," (See Note 1 above)","")</f>
      </c>
      <c r="I38" s="41"/>
      <c r="J38" s="186"/>
      <c r="L38" s="127" t="s">
        <v>30</v>
      </c>
      <c r="M38" s="60" t="s">
        <v>29</v>
      </c>
      <c r="N38" s="60">
        <v>85</v>
      </c>
      <c r="O38" s="60">
        <v>90</v>
      </c>
      <c r="P38" s="60">
        <v>100</v>
      </c>
      <c r="Q38" s="201">
        <v>110</v>
      </c>
      <c r="R38" s="134">
        <v>120</v>
      </c>
      <c r="S38" s="134">
        <v>130</v>
      </c>
      <c r="T38" s="134">
        <v>140</v>
      </c>
      <c r="U38" s="134">
        <v>145</v>
      </c>
      <c r="V38" s="134">
        <v>150</v>
      </c>
      <c r="W38" s="134">
        <v>160</v>
      </c>
      <c r="X38" s="134">
        <v>170</v>
      </c>
      <c r="Y38" s="134">
        <v>185</v>
      </c>
      <c r="Z38" s="95"/>
    </row>
    <row r="39" spans="1:26" ht="12.75">
      <c r="A39" s="32" t="s">
        <v>73</v>
      </c>
      <c r="B39" s="131"/>
      <c r="C39" s="130"/>
      <c r="D39" s="130"/>
      <c r="E39" s="43"/>
      <c r="F39" s="100"/>
      <c r="G39" s="41"/>
      <c r="H39" s="41"/>
      <c r="I39" s="100"/>
      <c r="J39" s="190"/>
      <c r="L39" s="113">
        <v>1</v>
      </c>
      <c r="M39" s="70">
        <v>0</v>
      </c>
      <c r="N39" s="144">
        <v>18</v>
      </c>
      <c r="O39" s="135">
        <v>20</v>
      </c>
      <c r="P39" s="136">
        <v>25</v>
      </c>
      <c r="Q39" s="136">
        <v>31</v>
      </c>
      <c r="R39" s="136">
        <v>36</v>
      </c>
      <c r="S39" s="136">
        <v>42</v>
      </c>
      <c r="T39" s="136">
        <v>49</v>
      </c>
      <c r="U39" s="136">
        <v>53</v>
      </c>
      <c r="V39" s="136">
        <v>56</v>
      </c>
      <c r="W39" s="136">
        <v>64</v>
      </c>
      <c r="X39" s="136">
        <v>73</v>
      </c>
      <c r="Y39" s="137">
        <v>86</v>
      </c>
      <c r="Z39" s="95"/>
    </row>
    <row r="40" spans="1:26" ht="12.75">
      <c r="A40" s="197"/>
      <c r="B40" s="40"/>
      <c r="C40" s="35"/>
      <c r="D40" s="110" t="s">
        <v>81</v>
      </c>
      <c r="E40" s="133">
        <f>$E$32</f>
        <v>27</v>
      </c>
      <c r="F40" s="108"/>
      <c r="G40" s="100" t="str">
        <f>"pb1 = from FMG 1-28, Table "&amp;IF($C$11="B","3",IF($C$11="C","4",IF($C$11="D","5")))</f>
        <v>pb1 = from FMG 1-28, Table 4</v>
      </c>
      <c r="H40" s="41"/>
      <c r="I40" s="100"/>
      <c r="J40" s="186"/>
      <c r="L40" s="113">
        <v>2</v>
      </c>
      <c r="M40" s="76">
        <v>15</v>
      </c>
      <c r="N40" s="145">
        <v>18</v>
      </c>
      <c r="O40" s="138">
        <v>20</v>
      </c>
      <c r="P40" s="139">
        <v>25</v>
      </c>
      <c r="Q40" s="139">
        <v>31</v>
      </c>
      <c r="R40" s="139">
        <v>36</v>
      </c>
      <c r="S40" s="139">
        <v>42</v>
      </c>
      <c r="T40" s="139">
        <v>49</v>
      </c>
      <c r="U40" s="139">
        <v>53</v>
      </c>
      <c r="V40" s="139">
        <v>56</v>
      </c>
      <c r="W40" s="139">
        <v>64</v>
      </c>
      <c r="X40" s="139">
        <v>73</v>
      </c>
      <c r="Y40" s="140">
        <v>86</v>
      </c>
      <c r="Z40" s="95"/>
    </row>
    <row r="41" spans="1:26" ht="12.75">
      <c r="A41" s="197"/>
      <c r="B41" s="100"/>
      <c r="C41" s="40"/>
      <c r="D41" s="110" t="s">
        <v>87</v>
      </c>
      <c r="E41" s="181">
        <f>IF($C$10="Enclosed",$P$108,$S$108)</f>
        <v>1.68</v>
      </c>
      <c r="F41" s="108"/>
      <c r="G41" s="100" t="s">
        <v>86</v>
      </c>
      <c r="H41" s="41"/>
      <c r="I41" s="100"/>
      <c r="J41" s="190"/>
      <c r="L41" s="113">
        <v>3</v>
      </c>
      <c r="M41" s="76">
        <v>30</v>
      </c>
      <c r="N41" s="145">
        <v>21</v>
      </c>
      <c r="O41" s="138">
        <v>23</v>
      </c>
      <c r="P41" s="139">
        <v>29</v>
      </c>
      <c r="Q41" s="139">
        <v>35</v>
      </c>
      <c r="R41" s="139">
        <v>42</v>
      </c>
      <c r="S41" s="139">
        <v>49</v>
      </c>
      <c r="T41" s="139">
        <v>57</v>
      </c>
      <c r="U41" s="139">
        <v>61</v>
      </c>
      <c r="V41" s="139">
        <v>65</v>
      </c>
      <c r="W41" s="139">
        <v>74</v>
      </c>
      <c r="X41" s="139">
        <v>84</v>
      </c>
      <c r="Y41" s="140">
        <v>99</v>
      </c>
      <c r="Z41" s="95"/>
    </row>
    <row r="42" spans="1:26" ht="12.75">
      <c r="A42" s="197"/>
      <c r="B42" s="40"/>
      <c r="C42" s="132"/>
      <c r="D42" s="110" t="s">
        <v>90</v>
      </c>
      <c r="E42" s="181">
        <f>$E$40*$E$41</f>
        <v>45.36</v>
      </c>
      <c r="F42" s="108" t="s">
        <v>7</v>
      </c>
      <c r="G42" s="100" t="s">
        <v>97</v>
      </c>
      <c r="H42" s="41"/>
      <c r="I42" s="100"/>
      <c r="J42" s="186"/>
      <c r="L42" s="113">
        <v>4</v>
      </c>
      <c r="M42" s="76">
        <v>60</v>
      </c>
      <c r="N42" s="145">
        <v>24</v>
      </c>
      <c r="O42" s="138">
        <v>27</v>
      </c>
      <c r="P42" s="139">
        <v>34</v>
      </c>
      <c r="Q42" s="139">
        <v>41</v>
      </c>
      <c r="R42" s="139">
        <v>48</v>
      </c>
      <c r="S42" s="139">
        <v>57</v>
      </c>
      <c r="T42" s="139">
        <v>66</v>
      </c>
      <c r="U42" s="139">
        <v>71</v>
      </c>
      <c r="V42" s="139">
        <v>76</v>
      </c>
      <c r="W42" s="139">
        <v>86</v>
      </c>
      <c r="X42" s="139">
        <v>97</v>
      </c>
      <c r="Y42" s="140">
        <v>115</v>
      </c>
      <c r="Z42" s="95"/>
    </row>
    <row r="43" spans="1:27" ht="12.75">
      <c r="A43" s="197"/>
      <c r="B43" s="131"/>
      <c r="C43" s="129"/>
      <c r="D43" s="34" t="s">
        <v>19</v>
      </c>
      <c r="E43" s="198">
        <f>2</f>
        <v>2</v>
      </c>
      <c r="F43" s="265"/>
      <c r="G43" s="100" t="s">
        <v>84</v>
      </c>
      <c r="H43" s="41"/>
      <c r="I43" s="100"/>
      <c r="J43" s="186"/>
      <c r="K43" s="49"/>
      <c r="L43" s="113">
        <v>5</v>
      </c>
      <c r="M43" s="76">
        <v>89</v>
      </c>
      <c r="N43" s="145">
        <v>26</v>
      </c>
      <c r="O43" s="138">
        <v>30</v>
      </c>
      <c r="P43" s="138">
        <v>37</v>
      </c>
      <c r="Q43" s="139">
        <v>44</v>
      </c>
      <c r="R43" s="139">
        <v>53</v>
      </c>
      <c r="S43" s="139">
        <v>62</v>
      </c>
      <c r="T43" s="139">
        <v>72</v>
      </c>
      <c r="U43" s="139">
        <v>77</v>
      </c>
      <c r="V43" s="139">
        <v>82</v>
      </c>
      <c r="W43" s="139">
        <v>94</v>
      </c>
      <c r="X43" s="139">
        <v>106</v>
      </c>
      <c r="Y43" s="140">
        <v>125</v>
      </c>
      <c r="Z43" s="95"/>
      <c r="AA43" s="259" t="s">
        <v>4</v>
      </c>
    </row>
    <row r="44" spans="1:27" ht="12.75">
      <c r="A44" s="197"/>
      <c r="B44" s="100"/>
      <c r="C44" s="100"/>
      <c r="D44" s="110" t="s">
        <v>155</v>
      </c>
      <c r="E44" s="181">
        <f>$E$42*2</f>
        <v>90.72</v>
      </c>
      <c r="F44" s="108" t="s">
        <v>7</v>
      </c>
      <c r="G44" s="100" t="s">
        <v>94</v>
      </c>
      <c r="H44" s="41"/>
      <c r="I44" s="100"/>
      <c r="J44" s="186"/>
      <c r="L44" s="113">
        <v>6</v>
      </c>
      <c r="M44" s="76">
        <v>90</v>
      </c>
      <c r="N44" s="145">
        <v>35</v>
      </c>
      <c r="O44" s="138">
        <v>40</v>
      </c>
      <c r="P44" s="138">
        <v>49</v>
      </c>
      <c r="Q44" s="139">
        <v>59</v>
      </c>
      <c r="R44" s="139">
        <v>70</v>
      </c>
      <c r="S44" s="139">
        <v>83</v>
      </c>
      <c r="T44" s="139">
        <v>96</v>
      </c>
      <c r="U44" s="139">
        <v>103</v>
      </c>
      <c r="V44" s="139">
        <v>110</v>
      </c>
      <c r="W44" s="139">
        <v>125</v>
      </c>
      <c r="X44" s="139">
        <v>141</v>
      </c>
      <c r="Y44" s="140">
        <v>168</v>
      </c>
      <c r="Z44" s="95"/>
      <c r="AA44" s="259" t="s">
        <v>2</v>
      </c>
    </row>
    <row r="45" spans="1:27" ht="12.75">
      <c r="A45" s="197"/>
      <c r="B45" s="100"/>
      <c r="C45" s="100"/>
      <c r="D45" s="34" t="s">
        <v>100</v>
      </c>
      <c r="E45" s="199" t="str">
        <f>"1-"&amp;MAX(CEILING($E$44,15),60)</f>
        <v>1-105</v>
      </c>
      <c r="G45" s="41" t="s">
        <v>134</v>
      </c>
      <c r="H45" s="41"/>
      <c r="I45" s="41"/>
      <c r="J45" s="186"/>
      <c r="K45" s="51"/>
      <c r="L45" s="113">
        <v>7</v>
      </c>
      <c r="M45" s="76">
        <v>100</v>
      </c>
      <c r="N45" s="145">
        <v>36</v>
      </c>
      <c r="O45" s="138">
        <v>41</v>
      </c>
      <c r="P45" s="138">
        <v>50</v>
      </c>
      <c r="Q45" s="139">
        <v>61</v>
      </c>
      <c r="R45" s="139">
        <v>72</v>
      </c>
      <c r="S45" s="139">
        <v>85</v>
      </c>
      <c r="T45" s="139">
        <v>98</v>
      </c>
      <c r="U45" s="139">
        <v>105</v>
      </c>
      <c r="V45" s="139">
        <v>113</v>
      </c>
      <c r="W45" s="139">
        <v>128</v>
      </c>
      <c r="X45" s="139">
        <v>145</v>
      </c>
      <c r="Y45" s="140">
        <v>171</v>
      </c>
      <c r="Z45" s="95"/>
      <c r="AA45" s="260" t="str">
        <f>$N$191</f>
        <v>1-105</v>
      </c>
    </row>
    <row r="46" spans="1:26" ht="12.75">
      <c r="A46" s="38"/>
      <c r="B46" s="41"/>
      <c r="C46" s="41"/>
      <c r="D46" s="41"/>
      <c r="G46" s="263">
        <f>IF(AND($C$16="Gable",$C$22&lt;=7,$C$23&gt;60),"(See Note 2 above)",IF(AND($C$16="Gable",$C$22&gt;7,$C$23&lt;=60),"(See Note 3 above)",""))</f>
      </c>
      <c r="H46" s="100"/>
      <c r="I46" s="100"/>
      <c r="J46" s="186"/>
      <c r="K46" s="51"/>
      <c r="L46" s="113">
        <v>8</v>
      </c>
      <c r="M46" s="76">
        <v>200</v>
      </c>
      <c r="N46" s="145">
        <v>42</v>
      </c>
      <c r="O46" s="138">
        <v>47</v>
      </c>
      <c r="P46" s="138">
        <v>59</v>
      </c>
      <c r="Q46" s="139">
        <v>70</v>
      </c>
      <c r="R46" s="139">
        <v>83</v>
      </c>
      <c r="S46" s="139">
        <v>98</v>
      </c>
      <c r="T46" s="139">
        <v>113</v>
      </c>
      <c r="U46" s="139">
        <v>122</v>
      </c>
      <c r="V46" s="139">
        <v>130</v>
      </c>
      <c r="W46" s="139">
        <v>148</v>
      </c>
      <c r="X46" s="139">
        <v>167</v>
      </c>
      <c r="Y46" s="140">
        <v>198</v>
      </c>
      <c r="Z46" s="95"/>
    </row>
    <row r="47" spans="1:26" ht="12.75">
      <c r="A47" s="32" t="s">
        <v>74</v>
      </c>
      <c r="B47" s="41"/>
      <c r="C47" s="100"/>
      <c r="D47" s="100"/>
      <c r="E47" s="41"/>
      <c r="F47" s="41"/>
      <c r="G47" s="100"/>
      <c r="H47" s="41"/>
      <c r="I47" s="41"/>
      <c r="J47" s="186"/>
      <c r="K47" s="51"/>
      <c r="L47" s="113">
        <v>9</v>
      </c>
      <c r="M47" s="76">
        <v>300</v>
      </c>
      <c r="N47" s="145">
        <v>46</v>
      </c>
      <c r="O47" s="138">
        <v>51</v>
      </c>
      <c r="P47" s="138">
        <v>63</v>
      </c>
      <c r="Q47" s="139">
        <v>76</v>
      </c>
      <c r="R47" s="139">
        <v>91</v>
      </c>
      <c r="S47" s="139">
        <v>107</v>
      </c>
      <c r="T47" s="139">
        <v>124</v>
      </c>
      <c r="U47" s="139">
        <v>133</v>
      </c>
      <c r="V47" s="139">
        <v>142</v>
      </c>
      <c r="W47" s="139">
        <v>161</v>
      </c>
      <c r="X47" s="139">
        <v>182</v>
      </c>
      <c r="Y47" s="140">
        <v>216</v>
      </c>
      <c r="Z47" s="95"/>
    </row>
    <row r="48" spans="1:26" ht="12.75">
      <c r="A48" s="197"/>
      <c r="B48" s="100"/>
      <c r="C48" s="41"/>
      <c r="D48" s="110" t="s">
        <v>81</v>
      </c>
      <c r="E48" s="133">
        <f>$E$32</f>
        <v>27</v>
      </c>
      <c r="F48" s="108" t="s">
        <v>7</v>
      </c>
      <c r="G48" s="100" t="str">
        <f>"pb1 = from FMG 1-28, Table "&amp;IF($C$11="B","3",IF($C$11="C","4",IF($C$11="D","5")))</f>
        <v>pb1 = from FMG 1-28, Table 4</v>
      </c>
      <c r="H48" s="41"/>
      <c r="I48" s="100"/>
      <c r="J48" s="186"/>
      <c r="K48" s="51"/>
      <c r="L48" s="113">
        <v>10</v>
      </c>
      <c r="M48" s="76">
        <v>400</v>
      </c>
      <c r="N48" s="145">
        <v>48</v>
      </c>
      <c r="O48" s="138">
        <v>54</v>
      </c>
      <c r="P48" s="138">
        <v>67</v>
      </c>
      <c r="Q48" s="139">
        <v>81</v>
      </c>
      <c r="R48" s="139">
        <v>96</v>
      </c>
      <c r="S48" s="139">
        <v>113</v>
      </c>
      <c r="T48" s="139">
        <v>131</v>
      </c>
      <c r="U48" s="139">
        <v>141</v>
      </c>
      <c r="V48" s="139">
        <v>151</v>
      </c>
      <c r="W48" s="139">
        <v>172</v>
      </c>
      <c r="X48" s="139">
        <v>194</v>
      </c>
      <c r="Y48" s="140">
        <v>229</v>
      </c>
      <c r="Z48" s="95"/>
    </row>
    <row r="49" spans="1:26" ht="12.75">
      <c r="A49" s="197"/>
      <c r="B49" s="41"/>
      <c r="C49" s="41"/>
      <c r="D49" s="110" t="s">
        <v>88</v>
      </c>
      <c r="E49" s="181">
        <f>IF($C$10="Enclosed",$Q$108,$T$108)</f>
        <v>2.53</v>
      </c>
      <c r="F49" s="265"/>
      <c r="G49" s="100" t="s">
        <v>89</v>
      </c>
      <c r="H49" s="41"/>
      <c r="I49" s="41"/>
      <c r="J49" s="190"/>
      <c r="L49" s="113">
        <v>11</v>
      </c>
      <c r="M49" s="147">
        <v>500</v>
      </c>
      <c r="N49" s="146">
        <v>51</v>
      </c>
      <c r="O49" s="141">
        <v>57</v>
      </c>
      <c r="P49" s="141">
        <v>70</v>
      </c>
      <c r="Q49" s="142">
        <v>85</v>
      </c>
      <c r="R49" s="142">
        <v>101</v>
      </c>
      <c r="S49" s="142">
        <v>119</v>
      </c>
      <c r="T49" s="142">
        <v>138</v>
      </c>
      <c r="U49" s="142">
        <v>148</v>
      </c>
      <c r="V49" s="142">
        <v>158</v>
      </c>
      <c r="W49" s="142">
        <v>180</v>
      </c>
      <c r="X49" s="142">
        <v>203</v>
      </c>
      <c r="Y49" s="143">
        <v>240</v>
      </c>
      <c r="Z49" s="95"/>
    </row>
    <row r="50" spans="1:26" ht="12.75">
      <c r="A50" s="197"/>
      <c r="B50" s="41"/>
      <c r="C50" s="41"/>
      <c r="D50" s="110" t="s">
        <v>91</v>
      </c>
      <c r="E50" s="181">
        <f>$E$48*$E$49</f>
        <v>68.30999999999999</v>
      </c>
      <c r="F50" s="108" t="s">
        <v>7</v>
      </c>
      <c r="G50" s="100" t="s">
        <v>98</v>
      </c>
      <c r="H50" s="41"/>
      <c r="I50" s="100"/>
      <c r="J50" s="186"/>
      <c r="L50" s="46"/>
      <c r="M50" s="95"/>
      <c r="N50" s="95"/>
      <c r="O50" s="95"/>
      <c r="P50" s="95"/>
      <c r="Q50" s="218"/>
      <c r="R50" s="95"/>
      <c r="S50" s="95"/>
      <c r="T50" s="95"/>
      <c r="U50" s="95"/>
      <c r="V50" s="95"/>
      <c r="W50" s="95"/>
      <c r="X50" s="95"/>
      <c r="Y50" s="95"/>
      <c r="Z50" s="95"/>
    </row>
    <row r="51" spans="1:27" ht="12.75">
      <c r="A51" s="197"/>
      <c r="B51" s="41"/>
      <c r="C51" s="41"/>
      <c r="D51" s="34" t="s">
        <v>19</v>
      </c>
      <c r="E51" s="198">
        <f>2</f>
        <v>2</v>
      </c>
      <c r="F51" s="265"/>
      <c r="G51" s="100" t="s">
        <v>84</v>
      </c>
      <c r="H51" s="41"/>
      <c r="I51" s="41"/>
      <c r="J51" s="186"/>
      <c r="L51" s="114"/>
      <c r="M51" s="148" t="s">
        <v>32</v>
      </c>
      <c r="N51" s="94"/>
      <c r="O51" s="107"/>
      <c r="P51" s="98"/>
      <c r="Q51" s="177"/>
      <c r="R51" s="101"/>
      <c r="S51" s="58"/>
      <c r="T51" s="58"/>
      <c r="U51" s="58"/>
      <c r="V51" s="102"/>
      <c r="W51" s="102"/>
      <c r="X51" s="103"/>
      <c r="Y51" s="103"/>
      <c r="Z51" s="95"/>
      <c r="AA51" s="259" t="s">
        <v>5</v>
      </c>
    </row>
    <row r="52" spans="1:27" ht="12.75">
      <c r="A52" s="197"/>
      <c r="B52" s="100"/>
      <c r="C52" s="100"/>
      <c r="D52" s="110" t="s">
        <v>156</v>
      </c>
      <c r="E52" s="181">
        <f>$E$50*2</f>
        <v>136.61999999999998</v>
      </c>
      <c r="F52" s="108" t="s">
        <v>7</v>
      </c>
      <c r="G52" s="100" t="s">
        <v>95</v>
      </c>
      <c r="H52" s="41"/>
      <c r="I52" s="41"/>
      <c r="J52" s="190"/>
      <c r="L52" s="114">
        <f>MATCH($M$53,$M$39:$M$49,1)</f>
        <v>4</v>
      </c>
      <c r="M52" s="122">
        <f>VLOOKUP($L$52,$L$39:$O$49,2)</f>
        <v>60</v>
      </c>
      <c r="N52" s="122">
        <f>VLOOKUP($L$52,$L$39:$N$49,3)</f>
        <v>24</v>
      </c>
      <c r="O52" s="122">
        <f>VLOOKUP($L$52,$L$39:$O$49,4)</f>
        <v>27</v>
      </c>
      <c r="P52" s="122">
        <f>VLOOKUP($L$52,$L$39:$P$49,5)</f>
        <v>34</v>
      </c>
      <c r="Q52" s="122">
        <f>VLOOKUP($L$52,$L$39:$Q$49,6)</f>
        <v>41</v>
      </c>
      <c r="R52" s="122">
        <f>VLOOKUP($L$52,$L$39:$R$49,7)</f>
        <v>48</v>
      </c>
      <c r="S52" s="122">
        <f>VLOOKUP($L$52,$L$39:$S$49,8)</f>
        <v>57</v>
      </c>
      <c r="T52" s="122">
        <f>VLOOKUP($L$52,$L$39:$T$49,9)</f>
        <v>66</v>
      </c>
      <c r="U52" s="122">
        <f>VLOOKUP($L$52,$L$39:$U$49,10)</f>
        <v>71</v>
      </c>
      <c r="V52" s="122">
        <f>VLOOKUP($L$52,$L$39:$V$49,11)</f>
        <v>76</v>
      </c>
      <c r="W52" s="122">
        <f>VLOOKUP($L$52,$L$39:$W$49,12)</f>
        <v>86</v>
      </c>
      <c r="X52" s="122">
        <f>VLOOKUP($L$52,$L$39:$X$49,13)</f>
        <v>97</v>
      </c>
      <c r="Y52" s="122">
        <f>VLOOKUP($L$52,$L$39:$Y$49,14)</f>
        <v>115</v>
      </c>
      <c r="Z52" s="95"/>
      <c r="AA52" s="259" t="s">
        <v>2</v>
      </c>
    </row>
    <row r="53" spans="1:27" ht="12.75">
      <c r="A53" s="197"/>
      <c r="B53" s="100"/>
      <c r="C53" s="100"/>
      <c r="D53" s="34" t="s">
        <v>101</v>
      </c>
      <c r="E53" s="199" t="str">
        <f>"1-"&amp;MAX(CEILING($E$52,15),60)</f>
        <v>1-150</v>
      </c>
      <c r="F53" s="100"/>
      <c r="G53" s="41" t="s">
        <v>135</v>
      </c>
      <c r="H53" s="41"/>
      <c r="I53" s="41"/>
      <c r="J53" s="186"/>
      <c r="L53" s="114"/>
      <c r="M53" s="48">
        <f>$C$23</f>
        <v>60</v>
      </c>
      <c r="N53" s="112">
        <f>($N$54-$N$52)*($M$53-$M$52)/($M$54-$M$52)+$N$52</f>
        <v>24</v>
      </c>
      <c r="O53" s="112">
        <f>($O$54-$O$52)*($M$53-$M$52)/($M$54-$M$52)+$O$52</f>
        <v>27</v>
      </c>
      <c r="P53" s="112">
        <f>($P$54-$P$52)*($M$53-$M$52)/($M$54-$M$52)+$P$52</f>
        <v>34</v>
      </c>
      <c r="Q53" s="112">
        <f>($Q$54-$Q$52)*($M$53-$M$52)/($M$54-$M$52)+$Q$52</f>
        <v>41</v>
      </c>
      <c r="R53" s="112">
        <f>($R$54-$R$52)*($M$53-$M$52)/($M$54-$M$52)+$R$52</f>
        <v>48</v>
      </c>
      <c r="S53" s="112">
        <f>($S$54-$S$52)*($M$53-$M$52)/($M$54-$M$52)+$S$52</f>
        <v>57</v>
      </c>
      <c r="T53" s="112">
        <f>($T$54-$T$52)*($M$53-$M$52)/($M$54-$M$52)+$T$52</f>
        <v>66</v>
      </c>
      <c r="U53" s="112">
        <f>($U$54-$U$52)*($M$53-$M$52)/($M$54-$M$52)+$U$52</f>
        <v>71</v>
      </c>
      <c r="V53" s="112">
        <f>($V$54-$V$52)*($M$53-$M$52)/($M$54-$M$52)+$V$52</f>
        <v>76</v>
      </c>
      <c r="W53" s="112">
        <f>($W$54-$W$52)*($M$53-$M$52)/($M$54-$M$52)+$W$52</f>
        <v>86</v>
      </c>
      <c r="X53" s="112">
        <f>($X$54-$X$52)*($M$53-$M$52)/($M$54-$M$52)+$X$52</f>
        <v>97</v>
      </c>
      <c r="Y53" s="112">
        <f>($Y$54-$Y$52)*($M$53-$M$52)/($M$54-$M$52)+$Y$52</f>
        <v>115</v>
      </c>
      <c r="Z53" s="150"/>
      <c r="AA53" s="260" t="str">
        <f>$N$192</f>
        <v>1-150</v>
      </c>
    </row>
    <row r="54" spans="1:26" ht="12.75">
      <c r="A54" s="38"/>
      <c r="B54" s="41"/>
      <c r="C54" s="41"/>
      <c r="D54" s="41"/>
      <c r="E54" s="41"/>
      <c r="F54" s="41"/>
      <c r="G54" s="41"/>
      <c r="H54" s="41"/>
      <c r="I54" s="41"/>
      <c r="J54" s="37"/>
      <c r="L54" s="114">
        <f>$L$52+1</f>
        <v>5</v>
      </c>
      <c r="M54" s="122">
        <f>VLOOKUP($L$54,$L$39:$O$49,2)</f>
        <v>89</v>
      </c>
      <c r="N54" s="122">
        <f>VLOOKUP($L$54,$L$39:$N$49,3)</f>
        <v>26</v>
      </c>
      <c r="O54" s="122">
        <f>VLOOKUP($L$54,$L$39:$O$49,4)</f>
        <v>30</v>
      </c>
      <c r="P54" s="122">
        <f>VLOOKUP($L$54,$L$39:$P$49,5)</f>
        <v>37</v>
      </c>
      <c r="Q54" s="122">
        <f>VLOOKUP($L$54,$L$39:$Q$49,6)</f>
        <v>44</v>
      </c>
      <c r="R54" s="122">
        <f>VLOOKUP($L$54,$L$39:$R$49,7)</f>
        <v>53</v>
      </c>
      <c r="S54" s="122">
        <f>VLOOKUP($L$54,$L$39:$S$49,8)</f>
        <v>62</v>
      </c>
      <c r="T54" s="122">
        <f>VLOOKUP($L$54,$L$39:$T$49,9)</f>
        <v>72</v>
      </c>
      <c r="U54" s="122">
        <f>VLOOKUP($L$54,$L$39:$U$49,10)</f>
        <v>77</v>
      </c>
      <c r="V54" s="122">
        <f>VLOOKUP($L$54,$L$39:$V$49,11)</f>
        <v>82</v>
      </c>
      <c r="W54" s="122">
        <f>VLOOKUP($L$54,$L$39:$W$49,12)</f>
        <v>94</v>
      </c>
      <c r="X54" s="122">
        <f>VLOOKUP($L$54,$L$39:$X$49,13)</f>
        <v>106</v>
      </c>
      <c r="Y54" s="122">
        <f>VLOOKUP($L$54,$L$39:$Y$49,14)</f>
        <v>125</v>
      </c>
      <c r="Z54" s="101"/>
    </row>
    <row r="55" spans="1:26" ht="12.75">
      <c r="A55" s="63"/>
      <c r="B55" s="52"/>
      <c r="C55" s="52"/>
      <c r="D55" s="52"/>
      <c r="E55" s="232"/>
      <c r="F55" s="52"/>
      <c r="G55" s="52"/>
      <c r="H55" s="52"/>
      <c r="I55" s="52"/>
      <c r="J55" s="73"/>
      <c r="L55" s="111"/>
      <c r="M55" s="149" t="s">
        <v>33</v>
      </c>
      <c r="N55" s="94"/>
      <c r="O55" s="33"/>
      <c r="P55" s="104"/>
      <c r="Q55" s="177"/>
      <c r="R55" s="101"/>
      <c r="S55" s="58"/>
      <c r="T55" s="58"/>
      <c r="U55" s="58"/>
      <c r="V55" s="102"/>
      <c r="W55" s="102"/>
      <c r="X55" s="103"/>
      <c r="Y55" s="103"/>
      <c r="Z55" s="95"/>
    </row>
    <row r="56" spans="9:26" ht="12.75">
      <c r="I56" s="100"/>
      <c r="J56" s="56"/>
      <c r="L56" s="128">
        <f>$C$9</f>
        <v>90</v>
      </c>
      <c r="M56" s="214">
        <f>HLOOKUP($C$9,$N$38:$Y$54,16)</f>
        <v>27</v>
      </c>
      <c r="N56" s="105" t="s">
        <v>7</v>
      </c>
      <c r="O56" s="33"/>
      <c r="P56" s="104"/>
      <c r="Q56" s="177"/>
      <c r="R56" s="101"/>
      <c r="S56" s="58"/>
      <c r="T56" s="58"/>
      <c r="U56" s="58"/>
      <c r="V56" s="102"/>
      <c r="W56" s="102"/>
      <c r="X56" s="103"/>
      <c r="Y56" s="103"/>
      <c r="Z56" s="95"/>
    </row>
    <row r="57" spans="8:26" ht="12.75">
      <c r="H57" s="100"/>
      <c r="I57" s="100"/>
      <c r="J57" s="36"/>
      <c r="L57" s="46"/>
      <c r="M57" s="95"/>
      <c r="N57" s="95"/>
      <c r="O57" s="95"/>
      <c r="P57" s="95"/>
      <c r="Q57" s="218"/>
      <c r="R57" s="95"/>
      <c r="S57" s="95"/>
      <c r="T57" s="95"/>
      <c r="U57" s="95"/>
      <c r="V57" s="95"/>
      <c r="W57" s="95"/>
      <c r="X57" s="95"/>
      <c r="Y57" s="95"/>
      <c r="Z57" s="95"/>
    </row>
    <row r="58" spans="9:26" ht="12.75">
      <c r="I58" s="100"/>
      <c r="J58" s="185"/>
      <c r="L58" s="46"/>
      <c r="M58" s="95"/>
      <c r="N58" s="95"/>
      <c r="O58" s="95"/>
      <c r="P58" s="95"/>
      <c r="Q58" s="218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2.75">
      <c r="A59" s="106"/>
      <c r="B59" s="41"/>
      <c r="C59" s="41"/>
      <c r="D59" s="41"/>
      <c r="E59" s="41"/>
      <c r="F59" s="41"/>
      <c r="G59" s="41"/>
      <c r="H59" s="41"/>
      <c r="I59" s="100"/>
      <c r="J59" s="185"/>
      <c r="L59" s="46"/>
      <c r="M59" s="213" t="s">
        <v>53</v>
      </c>
      <c r="N59" s="94"/>
      <c r="O59" s="33"/>
      <c r="P59" s="96"/>
      <c r="Q59" s="177"/>
      <c r="R59" s="101"/>
      <c r="S59" s="58"/>
      <c r="T59" s="58"/>
      <c r="U59" s="58"/>
      <c r="V59" s="102"/>
      <c r="W59" s="102"/>
      <c r="X59" s="103"/>
      <c r="Y59" s="103"/>
      <c r="Z59" s="95"/>
    </row>
    <row r="60" spans="1:26" ht="12.75">
      <c r="A60" s="106"/>
      <c r="B60" s="100"/>
      <c r="C60" s="100"/>
      <c r="G60" s="100"/>
      <c r="H60" s="100"/>
      <c r="I60" s="41"/>
      <c r="J60" s="185"/>
      <c r="L60" s="127" t="s">
        <v>30</v>
      </c>
      <c r="M60" s="60" t="s">
        <v>29</v>
      </c>
      <c r="N60" s="60">
        <v>85</v>
      </c>
      <c r="O60" s="60">
        <v>90</v>
      </c>
      <c r="P60" s="60">
        <v>100</v>
      </c>
      <c r="Q60" s="201">
        <v>110</v>
      </c>
      <c r="R60" s="134">
        <v>120</v>
      </c>
      <c r="S60" s="134">
        <v>130</v>
      </c>
      <c r="T60" s="134">
        <v>140</v>
      </c>
      <c r="U60" s="134">
        <v>145</v>
      </c>
      <c r="V60" s="134">
        <v>150</v>
      </c>
      <c r="W60" s="134">
        <v>160</v>
      </c>
      <c r="X60" s="134">
        <v>170</v>
      </c>
      <c r="Y60" s="134">
        <v>185</v>
      </c>
      <c r="Z60" s="95"/>
    </row>
    <row r="61" spans="1:26" ht="12.75">
      <c r="A61" s="100"/>
      <c r="B61" s="185"/>
      <c r="C61" s="39"/>
      <c r="D61" s="193"/>
      <c r="E61" s="69"/>
      <c r="F61" s="187"/>
      <c r="G61" s="185"/>
      <c r="H61" s="185"/>
      <c r="I61" s="43"/>
      <c r="J61" s="185"/>
      <c r="L61" s="113">
        <v>1</v>
      </c>
      <c r="M61" s="70">
        <v>0</v>
      </c>
      <c r="N61" s="144">
        <v>22</v>
      </c>
      <c r="O61" s="135">
        <v>25</v>
      </c>
      <c r="P61" s="136">
        <v>31</v>
      </c>
      <c r="Q61" s="136">
        <v>37</v>
      </c>
      <c r="R61" s="136">
        <v>44</v>
      </c>
      <c r="S61" s="136">
        <v>51</v>
      </c>
      <c r="T61" s="136">
        <v>60</v>
      </c>
      <c r="U61" s="136">
        <v>64</v>
      </c>
      <c r="V61" s="136">
        <v>68</v>
      </c>
      <c r="W61" s="136">
        <v>78</v>
      </c>
      <c r="X61" s="136">
        <v>88</v>
      </c>
      <c r="Y61" s="137">
        <v>104</v>
      </c>
      <c r="Z61" s="95"/>
    </row>
    <row r="62" spans="12:26" ht="12.75">
      <c r="L62" s="113">
        <v>2</v>
      </c>
      <c r="M62" s="76">
        <v>15</v>
      </c>
      <c r="N62" s="145">
        <v>22</v>
      </c>
      <c r="O62" s="138">
        <v>25</v>
      </c>
      <c r="P62" s="139">
        <v>31</v>
      </c>
      <c r="Q62" s="139">
        <v>37</v>
      </c>
      <c r="R62" s="139">
        <v>44</v>
      </c>
      <c r="S62" s="139">
        <v>51</v>
      </c>
      <c r="T62" s="139">
        <v>60</v>
      </c>
      <c r="U62" s="139">
        <v>64</v>
      </c>
      <c r="V62" s="139">
        <v>68</v>
      </c>
      <c r="W62" s="139">
        <v>78</v>
      </c>
      <c r="X62" s="139">
        <v>88</v>
      </c>
      <c r="Y62" s="140">
        <v>104</v>
      </c>
      <c r="Z62" s="95"/>
    </row>
    <row r="63" spans="1:26" ht="12.75">
      <c r="A63" s="77"/>
      <c r="B63" s="185"/>
      <c r="C63" s="39"/>
      <c r="D63" s="193"/>
      <c r="E63" s="69"/>
      <c r="F63" s="187"/>
      <c r="G63" s="185"/>
      <c r="H63" s="185"/>
      <c r="I63" s="43"/>
      <c r="J63" s="185"/>
      <c r="L63" s="113">
        <v>3</v>
      </c>
      <c r="M63" s="76">
        <v>30</v>
      </c>
      <c r="N63" s="145">
        <v>25</v>
      </c>
      <c r="O63" s="138">
        <v>28</v>
      </c>
      <c r="P63" s="139">
        <v>34</v>
      </c>
      <c r="Q63" s="139">
        <v>42</v>
      </c>
      <c r="R63" s="139">
        <v>49</v>
      </c>
      <c r="S63" s="139">
        <v>58</v>
      </c>
      <c r="T63" s="139">
        <v>67</v>
      </c>
      <c r="U63" s="139">
        <v>72</v>
      </c>
      <c r="V63" s="139">
        <v>77</v>
      </c>
      <c r="W63" s="139">
        <v>88</v>
      </c>
      <c r="X63" s="139">
        <v>99</v>
      </c>
      <c r="Y63" s="140">
        <v>117</v>
      </c>
      <c r="Z63" s="95"/>
    </row>
    <row r="64" spans="1:26" ht="12.75">
      <c r="A64" s="77"/>
      <c r="B64" s="39"/>
      <c r="C64" s="39"/>
      <c r="D64" s="193"/>
      <c r="E64" s="69"/>
      <c r="F64" s="185"/>
      <c r="G64" s="185"/>
      <c r="H64" s="185"/>
      <c r="I64" s="185"/>
      <c r="J64" s="185"/>
      <c r="L64" s="113">
        <v>4</v>
      </c>
      <c r="M64" s="76">
        <v>60</v>
      </c>
      <c r="N64" s="145">
        <v>28</v>
      </c>
      <c r="O64" s="138">
        <v>31</v>
      </c>
      <c r="P64" s="139">
        <v>39</v>
      </c>
      <c r="Q64" s="139">
        <v>47</v>
      </c>
      <c r="R64" s="139">
        <v>56</v>
      </c>
      <c r="S64" s="139">
        <v>65</v>
      </c>
      <c r="T64" s="139">
        <v>76</v>
      </c>
      <c r="U64" s="139">
        <v>81</v>
      </c>
      <c r="V64" s="139">
        <v>87</v>
      </c>
      <c r="W64" s="139">
        <v>99</v>
      </c>
      <c r="X64" s="139">
        <v>112</v>
      </c>
      <c r="Y64" s="140">
        <v>133</v>
      </c>
      <c r="Z64" s="95"/>
    </row>
    <row r="65" spans="1:26" ht="12.75">
      <c r="A65" s="100"/>
      <c r="B65" s="42"/>
      <c r="C65" s="39"/>
      <c r="D65" s="192"/>
      <c r="E65" s="185"/>
      <c r="F65" s="185"/>
      <c r="G65" s="185"/>
      <c r="H65" s="36"/>
      <c r="I65" s="185"/>
      <c r="J65" s="42"/>
      <c r="L65" s="113">
        <v>5</v>
      </c>
      <c r="M65" s="76">
        <v>89</v>
      </c>
      <c r="N65" s="145">
        <v>30</v>
      </c>
      <c r="O65" s="138">
        <v>34</v>
      </c>
      <c r="P65" s="138">
        <v>42</v>
      </c>
      <c r="Q65" s="139">
        <v>50</v>
      </c>
      <c r="R65" s="139">
        <v>60</v>
      </c>
      <c r="S65" s="139">
        <v>70</v>
      </c>
      <c r="T65" s="139">
        <v>81</v>
      </c>
      <c r="U65" s="139">
        <v>87</v>
      </c>
      <c r="V65" s="139">
        <v>93</v>
      </c>
      <c r="W65" s="139">
        <v>106</v>
      </c>
      <c r="X65" s="139">
        <v>120</v>
      </c>
      <c r="Y65" s="140">
        <v>142</v>
      </c>
      <c r="Z65" s="95"/>
    </row>
    <row r="66" spans="1:26" ht="12.75">
      <c r="A66" s="185"/>
      <c r="B66" s="185"/>
      <c r="C66" s="42"/>
      <c r="D66" s="194"/>
      <c r="E66" s="69"/>
      <c r="F66" s="47"/>
      <c r="G66" s="185"/>
      <c r="H66" s="185"/>
      <c r="I66" s="185"/>
      <c r="J66" s="185"/>
      <c r="L66" s="113">
        <v>6</v>
      </c>
      <c r="M66" s="76">
        <v>90</v>
      </c>
      <c r="N66" s="145">
        <v>40</v>
      </c>
      <c r="O66" s="138">
        <v>45</v>
      </c>
      <c r="P66" s="138">
        <v>56</v>
      </c>
      <c r="Q66" s="139">
        <v>67</v>
      </c>
      <c r="R66" s="139">
        <v>80</v>
      </c>
      <c r="S66" s="139">
        <v>94</v>
      </c>
      <c r="T66" s="139">
        <v>109</v>
      </c>
      <c r="U66" s="139">
        <v>117</v>
      </c>
      <c r="V66" s="139">
        <v>125</v>
      </c>
      <c r="W66" s="139">
        <v>142</v>
      </c>
      <c r="X66" s="139">
        <v>161</v>
      </c>
      <c r="Y66" s="140">
        <v>190</v>
      </c>
      <c r="Z66" s="56"/>
    </row>
    <row r="67" spans="1:26" ht="12.75">
      <c r="A67" s="185"/>
      <c r="B67" s="185"/>
      <c r="C67" s="42"/>
      <c r="D67" s="191"/>
      <c r="E67" s="185"/>
      <c r="F67" s="188"/>
      <c r="G67" s="185"/>
      <c r="H67" s="185"/>
      <c r="I67" s="185"/>
      <c r="J67" s="185"/>
      <c r="L67" s="113">
        <v>7</v>
      </c>
      <c r="M67" s="76">
        <v>100</v>
      </c>
      <c r="N67" s="145">
        <v>41</v>
      </c>
      <c r="O67" s="138">
        <v>46</v>
      </c>
      <c r="P67" s="138">
        <v>57</v>
      </c>
      <c r="Q67" s="139">
        <v>69</v>
      </c>
      <c r="R67" s="139">
        <v>82</v>
      </c>
      <c r="S67" s="139">
        <v>96</v>
      </c>
      <c r="T67" s="139">
        <v>111</v>
      </c>
      <c r="U67" s="139">
        <v>119</v>
      </c>
      <c r="V67" s="139">
        <v>127</v>
      </c>
      <c r="W67" s="139">
        <v>145</v>
      </c>
      <c r="X67" s="139">
        <v>164</v>
      </c>
      <c r="Y67" s="140">
        <v>194</v>
      </c>
      <c r="Z67" s="95"/>
    </row>
    <row r="68" spans="1:26" ht="12.75">
      <c r="A68" s="185"/>
      <c r="B68" s="185"/>
      <c r="C68" s="185"/>
      <c r="D68" s="185"/>
      <c r="E68" s="185"/>
      <c r="F68" s="185"/>
      <c r="G68" s="185"/>
      <c r="H68" s="185"/>
      <c r="I68" s="185"/>
      <c r="J68" s="42"/>
      <c r="L68" s="113">
        <v>8</v>
      </c>
      <c r="M68" s="76">
        <v>200</v>
      </c>
      <c r="N68" s="145">
        <v>46</v>
      </c>
      <c r="O68" s="138">
        <v>52</v>
      </c>
      <c r="P68" s="138">
        <v>64</v>
      </c>
      <c r="Q68" s="139">
        <v>77</v>
      </c>
      <c r="R68" s="139">
        <v>92</v>
      </c>
      <c r="S68" s="139">
        <v>108</v>
      </c>
      <c r="T68" s="139">
        <v>125</v>
      </c>
      <c r="U68" s="139">
        <v>134</v>
      </c>
      <c r="V68" s="139">
        <v>144</v>
      </c>
      <c r="W68" s="139">
        <v>164</v>
      </c>
      <c r="X68" s="139">
        <v>185</v>
      </c>
      <c r="Y68" s="140">
        <v>219</v>
      </c>
      <c r="Z68" s="95"/>
    </row>
    <row r="69" spans="1:26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L69" s="113">
        <v>9</v>
      </c>
      <c r="M69" s="76">
        <v>300</v>
      </c>
      <c r="N69" s="145">
        <v>50</v>
      </c>
      <c r="O69" s="138">
        <v>56</v>
      </c>
      <c r="P69" s="138">
        <v>69</v>
      </c>
      <c r="Q69" s="139">
        <v>83</v>
      </c>
      <c r="R69" s="139">
        <v>99</v>
      </c>
      <c r="S69" s="139">
        <v>117</v>
      </c>
      <c r="T69" s="139">
        <v>134</v>
      </c>
      <c r="U69" s="139">
        <v>144</v>
      </c>
      <c r="V69" s="139">
        <v>154</v>
      </c>
      <c r="W69" s="139">
        <v>176</v>
      </c>
      <c r="X69" s="139">
        <v>198</v>
      </c>
      <c r="Y69" s="140">
        <v>235</v>
      </c>
      <c r="Z69" s="95"/>
    </row>
    <row r="70" spans="1:26" ht="12.75">
      <c r="A70" s="77"/>
      <c r="B70" s="196"/>
      <c r="C70" s="196"/>
      <c r="D70" s="196"/>
      <c r="E70" s="196"/>
      <c r="F70" s="196"/>
      <c r="G70" s="196"/>
      <c r="H70" s="196"/>
      <c r="I70" s="196"/>
      <c r="J70" s="196"/>
      <c r="L70" s="113">
        <v>10</v>
      </c>
      <c r="M70" s="76">
        <v>400</v>
      </c>
      <c r="N70" s="145">
        <v>52</v>
      </c>
      <c r="O70" s="138">
        <v>58</v>
      </c>
      <c r="P70" s="138">
        <v>72</v>
      </c>
      <c r="Q70" s="139">
        <v>87</v>
      </c>
      <c r="R70" s="139">
        <v>104</v>
      </c>
      <c r="S70" s="139">
        <v>122</v>
      </c>
      <c r="T70" s="139">
        <v>141</v>
      </c>
      <c r="U70" s="139">
        <v>152</v>
      </c>
      <c r="V70" s="139">
        <v>162</v>
      </c>
      <c r="W70" s="139">
        <v>185</v>
      </c>
      <c r="X70" s="139">
        <v>208</v>
      </c>
      <c r="Y70" s="140">
        <v>247</v>
      </c>
      <c r="Z70" s="95"/>
    </row>
    <row r="71" spans="1:26" ht="12.75">
      <c r="A71" s="195"/>
      <c r="B71" s="75"/>
      <c r="C71" s="75"/>
      <c r="D71" s="75"/>
      <c r="E71" s="75"/>
      <c r="F71" s="75"/>
      <c r="G71" s="75"/>
      <c r="H71" s="75"/>
      <c r="I71" s="75"/>
      <c r="J71" s="75"/>
      <c r="L71" s="113">
        <v>11</v>
      </c>
      <c r="M71" s="147">
        <v>500</v>
      </c>
      <c r="N71" s="146">
        <v>54</v>
      </c>
      <c r="O71" s="141">
        <v>61</v>
      </c>
      <c r="P71" s="141">
        <v>75</v>
      </c>
      <c r="Q71" s="142">
        <v>91</v>
      </c>
      <c r="R71" s="142">
        <v>108</v>
      </c>
      <c r="S71" s="142">
        <v>127</v>
      </c>
      <c r="T71" s="142">
        <v>147</v>
      </c>
      <c r="U71" s="142">
        <v>158</v>
      </c>
      <c r="V71" s="142">
        <v>169</v>
      </c>
      <c r="W71" s="142">
        <v>192</v>
      </c>
      <c r="X71" s="142">
        <v>217</v>
      </c>
      <c r="Y71" s="143">
        <v>257</v>
      </c>
      <c r="Z71" s="95"/>
    </row>
    <row r="72" spans="1:26" ht="12.75">
      <c r="A72" s="195"/>
      <c r="B72" s="75"/>
      <c r="C72" s="75"/>
      <c r="D72" s="75"/>
      <c r="E72" s="75"/>
      <c r="F72" s="75"/>
      <c r="G72" s="75"/>
      <c r="H72" s="75"/>
      <c r="I72" s="75"/>
      <c r="J72" s="75"/>
      <c r="L72" s="46"/>
      <c r="M72" s="95"/>
      <c r="N72" s="95"/>
      <c r="O72" s="95"/>
      <c r="P72" s="95"/>
      <c r="Q72" s="218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2.75">
      <c r="A73" s="195"/>
      <c r="B73" s="75"/>
      <c r="C73" s="75"/>
      <c r="D73" s="75"/>
      <c r="E73" s="75"/>
      <c r="F73" s="75"/>
      <c r="G73" s="75"/>
      <c r="H73" s="75"/>
      <c r="I73" s="75"/>
      <c r="J73" s="75"/>
      <c r="L73" s="114"/>
      <c r="M73" s="148" t="s">
        <v>32</v>
      </c>
      <c r="N73" s="94"/>
      <c r="O73" s="107"/>
      <c r="P73" s="98"/>
      <c r="Q73" s="177"/>
      <c r="R73" s="101"/>
      <c r="S73" s="58"/>
      <c r="T73" s="58"/>
      <c r="U73" s="58"/>
      <c r="V73" s="102"/>
      <c r="W73" s="102"/>
      <c r="X73" s="103"/>
      <c r="Y73" s="103"/>
      <c r="Z73" s="95"/>
    </row>
    <row r="74" spans="1:26" ht="12.75">
      <c r="A74" s="195"/>
      <c r="B74" s="75"/>
      <c r="C74" s="75"/>
      <c r="D74" s="75"/>
      <c r="E74" s="75"/>
      <c r="F74" s="75"/>
      <c r="G74" s="75"/>
      <c r="H74" s="75"/>
      <c r="I74" s="75"/>
      <c r="J74" s="75"/>
      <c r="L74" s="114">
        <f>MATCH($M$75,$M$61:$M$71,1)</f>
        <v>4</v>
      </c>
      <c r="M74" s="122">
        <f>VLOOKUP($L$74,$L$61:$O$71,2)</f>
        <v>60</v>
      </c>
      <c r="N74" s="122">
        <f>VLOOKUP($L$74,$L$61:$N$71,3)</f>
        <v>28</v>
      </c>
      <c r="O74" s="122">
        <f>VLOOKUP($L$74,$L$61:$O$71,4)</f>
        <v>31</v>
      </c>
      <c r="P74" s="122">
        <f>VLOOKUP($L$74,$L$61:$P$71,5)</f>
        <v>39</v>
      </c>
      <c r="Q74" s="122">
        <f>VLOOKUP($L$74,$L$61:$Q$71,6)</f>
        <v>47</v>
      </c>
      <c r="R74" s="122">
        <f>VLOOKUP($L$74,$L$61:$R$71,7)</f>
        <v>56</v>
      </c>
      <c r="S74" s="122">
        <f>VLOOKUP($L$74,$L$61:$S$71,8)</f>
        <v>65</v>
      </c>
      <c r="T74" s="122">
        <f>VLOOKUP($L$74,$L$61:$T$71,9)</f>
        <v>76</v>
      </c>
      <c r="U74" s="122">
        <f>VLOOKUP($L$74,$L$61:$U$71,10)</f>
        <v>81</v>
      </c>
      <c r="V74" s="122">
        <f>VLOOKUP($L$74,$L$61:$V$71,11)</f>
        <v>87</v>
      </c>
      <c r="W74" s="122">
        <f>VLOOKUP($L$74,$L$61:$W$71,12)</f>
        <v>99</v>
      </c>
      <c r="X74" s="122">
        <f>VLOOKUP($L$74,$L$61:$X$71,13)</f>
        <v>112</v>
      </c>
      <c r="Y74" s="122">
        <f>VLOOKUP($L$74,$L$61:$Y$71,14)</f>
        <v>133</v>
      </c>
      <c r="Z74" s="95"/>
    </row>
    <row r="75" spans="1:26" ht="12.75">
      <c r="A75" s="195"/>
      <c r="B75" s="75"/>
      <c r="C75" s="75"/>
      <c r="D75" s="75"/>
      <c r="E75" s="75"/>
      <c r="F75" s="75"/>
      <c r="G75" s="75"/>
      <c r="H75" s="75"/>
      <c r="I75" s="75"/>
      <c r="J75" s="75"/>
      <c r="L75" s="114"/>
      <c r="M75" s="48">
        <f>$C$23</f>
        <v>60</v>
      </c>
      <c r="N75" s="112">
        <f>($N$76-$N$74)*($M$75-$M$74)/($M$76-$M$74)+$N$74</f>
        <v>28</v>
      </c>
      <c r="O75" s="112">
        <f>($O$76-$O$74)*($M$75-$M$74)/($M$76-$M$74)+$O$74</f>
        <v>31</v>
      </c>
      <c r="P75" s="112">
        <f>($P$76-$P$74)*($M$75-$M$74)/($M$76-$M$74)+$P$74</f>
        <v>39</v>
      </c>
      <c r="Q75" s="112">
        <f>($Q$76-$Q$74)*($M$75-$M$74)/($M$76-$M$74)+$Q$74</f>
        <v>47</v>
      </c>
      <c r="R75" s="112">
        <f>($R$76-$R$74)*($M$75-$M$74)/($M$76-$M$74)+$R$74</f>
        <v>56</v>
      </c>
      <c r="S75" s="112">
        <f>($S$76-$S$74)*($M$75-$M$74)/($M$76-$M$74)+$S$74</f>
        <v>65</v>
      </c>
      <c r="T75" s="112">
        <f>($T$76-$T$74)*($M$75-$M$74)/($M$76-$M$74)+$T$74</f>
        <v>76</v>
      </c>
      <c r="U75" s="112">
        <f>($U$76-$U$74)*($M$75-$M$74)/($M$76-$M$74)+$U$74</f>
        <v>81</v>
      </c>
      <c r="V75" s="112">
        <f>($V$76-$V$74)*($M$75-$M$74)/($M$76-$M$74)+$V$74</f>
        <v>87</v>
      </c>
      <c r="W75" s="112">
        <f>($W$76-$W$74)*($M$75-$M$74)/($M$76-$M$74)+$W$74</f>
        <v>99</v>
      </c>
      <c r="X75" s="112">
        <f>($X$76-$X$74)*($M$75-$M$74)/($M$76-$M$74)+$X$74</f>
        <v>112</v>
      </c>
      <c r="Y75" s="112">
        <f>($Y$76-$Y$74)*($M$75-$M$74)/($M$76-$M$74)+$Y$74</f>
        <v>133</v>
      </c>
      <c r="Z75" s="95"/>
    </row>
    <row r="76" spans="1:26" ht="12.75">
      <c r="A76" s="195"/>
      <c r="B76" s="75"/>
      <c r="C76" s="75"/>
      <c r="D76" s="75"/>
      <c r="E76" s="75"/>
      <c r="F76" s="75"/>
      <c r="G76" s="75"/>
      <c r="H76" s="75"/>
      <c r="I76" s="75"/>
      <c r="J76" s="75"/>
      <c r="L76" s="114">
        <f>$L$74+1</f>
        <v>5</v>
      </c>
      <c r="M76" s="122">
        <f>VLOOKUP($L$76,$L$61:$O$71,2)</f>
        <v>89</v>
      </c>
      <c r="N76" s="122">
        <f>VLOOKUP($L$76,$L$61:$N$71,3)</f>
        <v>30</v>
      </c>
      <c r="O76" s="122">
        <f>VLOOKUP($L$76,$L$61:$O$71,4)</f>
        <v>34</v>
      </c>
      <c r="P76" s="122">
        <f>VLOOKUP($L$76,$L$61:$P$71,5)</f>
        <v>42</v>
      </c>
      <c r="Q76" s="122">
        <f>VLOOKUP($L$76,$L$61:$Q$71,6)</f>
        <v>50</v>
      </c>
      <c r="R76" s="122">
        <f>VLOOKUP($L$76,$L$61:$R$71,7)</f>
        <v>60</v>
      </c>
      <c r="S76" s="122">
        <f>VLOOKUP($L$76,$L$61:$S$71,8)</f>
        <v>70</v>
      </c>
      <c r="T76" s="122">
        <f>VLOOKUP($L$76,$L$61:$T$71,9)</f>
        <v>81</v>
      </c>
      <c r="U76" s="122">
        <f>VLOOKUP($L$76,$L$61:$U$71,10)</f>
        <v>87</v>
      </c>
      <c r="V76" s="122">
        <f>VLOOKUP($L$76,$L$61:$V$71,11)</f>
        <v>93</v>
      </c>
      <c r="W76" s="122">
        <f>VLOOKUP($L$76,$L$61:$W$71,12)</f>
        <v>106</v>
      </c>
      <c r="X76" s="122">
        <f>VLOOKUP($L$76,$L$61:$X$71,13)</f>
        <v>120</v>
      </c>
      <c r="Y76" s="122">
        <f>VLOOKUP($L$76,$L$61:$Y$71,14)</f>
        <v>142</v>
      </c>
      <c r="Z76" s="95"/>
    </row>
    <row r="77" spans="1:26" ht="12.75">
      <c r="A77" s="195"/>
      <c r="B77" s="75"/>
      <c r="C77" s="75"/>
      <c r="D77" s="75"/>
      <c r="E77" s="75"/>
      <c r="F77" s="75"/>
      <c r="G77" s="75"/>
      <c r="H77" s="75"/>
      <c r="I77" s="75"/>
      <c r="J77" s="75"/>
      <c r="L77" s="111"/>
      <c r="M77" s="149" t="s">
        <v>33</v>
      </c>
      <c r="N77" s="94"/>
      <c r="O77" s="33"/>
      <c r="P77" s="104"/>
      <c r="Q77" s="177"/>
      <c r="R77" s="101"/>
      <c r="S77" s="58"/>
      <c r="T77" s="58"/>
      <c r="U77" s="58"/>
      <c r="V77" s="102"/>
      <c r="W77" s="102"/>
      <c r="X77" s="103"/>
      <c r="Y77" s="103"/>
      <c r="Z77" s="95"/>
    </row>
    <row r="78" spans="1:26" ht="12.75">
      <c r="A78" s="195"/>
      <c r="B78" s="75"/>
      <c r="C78" s="75"/>
      <c r="D78" s="75"/>
      <c r="E78" s="75"/>
      <c r="F78" s="75"/>
      <c r="G78" s="75"/>
      <c r="H78" s="75"/>
      <c r="I78" s="75"/>
      <c r="J78" s="75"/>
      <c r="L78" s="128">
        <f>$C$9</f>
        <v>90</v>
      </c>
      <c r="M78" s="214">
        <f>HLOOKUP($C$9,$N$60:$Y$76,16)</f>
        <v>31</v>
      </c>
      <c r="N78" s="105" t="s">
        <v>7</v>
      </c>
      <c r="O78" s="33"/>
      <c r="P78" s="104"/>
      <c r="Q78" s="177"/>
      <c r="R78" s="101"/>
      <c r="S78" s="58"/>
      <c r="T78" s="58"/>
      <c r="U78" s="58"/>
      <c r="V78" s="102"/>
      <c r="W78" s="102"/>
      <c r="X78" s="103"/>
      <c r="Y78" s="103"/>
      <c r="Z78" s="95"/>
    </row>
    <row r="79" spans="1:26" ht="12.75">
      <c r="A79" s="195"/>
      <c r="B79" s="75"/>
      <c r="C79" s="75"/>
      <c r="D79" s="75"/>
      <c r="E79" s="75"/>
      <c r="F79" s="75"/>
      <c r="G79" s="75"/>
      <c r="H79" s="75"/>
      <c r="I79" s="75"/>
      <c r="J79" s="75"/>
      <c r="L79" s="111"/>
      <c r="M79" s="97"/>
      <c r="N79" s="94"/>
      <c r="O79" s="33"/>
      <c r="P79" s="96"/>
      <c r="Q79" s="177"/>
      <c r="R79" s="101"/>
      <c r="S79" s="58"/>
      <c r="T79" s="58"/>
      <c r="U79" s="58"/>
      <c r="V79" s="102"/>
      <c r="W79" s="102"/>
      <c r="X79" s="103"/>
      <c r="Y79" s="103"/>
      <c r="Z79" s="95"/>
    </row>
    <row r="80" spans="1:26" ht="12.75">
      <c r="A80" s="195"/>
      <c r="B80" s="75"/>
      <c r="C80" s="75"/>
      <c r="D80" s="75"/>
      <c r="E80" s="75"/>
      <c r="F80" s="75"/>
      <c r="G80" s="75"/>
      <c r="H80" s="75"/>
      <c r="I80" s="75"/>
      <c r="J80" s="75"/>
      <c r="L80" s="111"/>
      <c r="M80" s="97"/>
      <c r="N80" s="94"/>
      <c r="O80" s="33"/>
      <c r="P80" s="96"/>
      <c r="Q80" s="177"/>
      <c r="R80" s="101"/>
      <c r="S80" s="58"/>
      <c r="T80" s="58"/>
      <c r="U80" s="58"/>
      <c r="V80" s="102"/>
      <c r="W80" s="102"/>
      <c r="X80" s="103"/>
      <c r="Y80" s="103"/>
      <c r="Z80" s="95"/>
    </row>
    <row r="81" spans="1:26" ht="12.75">
      <c r="A81" s="195"/>
      <c r="B81" s="75"/>
      <c r="C81" s="75"/>
      <c r="D81" s="75"/>
      <c r="E81" s="75"/>
      <c r="F81" s="75"/>
      <c r="G81" s="75"/>
      <c r="H81" s="75"/>
      <c r="I81" s="75"/>
      <c r="J81" s="75"/>
      <c r="L81" s="111"/>
      <c r="M81" s="213" t="s">
        <v>108</v>
      </c>
      <c r="N81" s="94"/>
      <c r="O81" s="33"/>
      <c r="P81" s="104"/>
      <c r="Q81" s="177"/>
      <c r="R81" s="101"/>
      <c r="S81" s="58"/>
      <c r="T81" s="58"/>
      <c r="U81" s="58"/>
      <c r="V81" s="102"/>
      <c r="W81" s="102"/>
      <c r="X81" s="103"/>
      <c r="Y81" s="103"/>
      <c r="Z81" s="95"/>
    </row>
    <row r="82" spans="1:26" ht="12.75">
      <c r="A82" s="195"/>
      <c r="B82" s="75"/>
      <c r="C82" s="75"/>
      <c r="D82" s="75"/>
      <c r="E82" s="75"/>
      <c r="F82" s="75"/>
      <c r="G82" s="75"/>
      <c r="H82" s="75"/>
      <c r="I82" s="75"/>
      <c r="J82" s="75"/>
      <c r="L82" s="111"/>
      <c r="M82" s="160" t="s">
        <v>29</v>
      </c>
      <c r="N82" s="160" t="s">
        <v>39</v>
      </c>
      <c r="O82" s="152" t="s">
        <v>37</v>
      </c>
      <c r="P82" s="153"/>
      <c r="Q82" s="202"/>
      <c r="R82" s="152" t="s">
        <v>38</v>
      </c>
      <c r="S82" s="153"/>
      <c r="T82" s="154"/>
      <c r="U82" s="58"/>
      <c r="V82" s="102"/>
      <c r="W82" s="102"/>
      <c r="X82" s="103"/>
      <c r="Y82" s="103"/>
      <c r="Z82" s="95"/>
    </row>
    <row r="83" spans="1:26" ht="12.75">
      <c r="A83" s="195"/>
      <c r="B83" s="75"/>
      <c r="C83" s="75"/>
      <c r="D83" s="75"/>
      <c r="E83" s="75"/>
      <c r="F83" s="75"/>
      <c r="G83" s="75"/>
      <c r="H83" s="75"/>
      <c r="I83" s="75"/>
      <c r="J83" s="75"/>
      <c r="L83" s="127" t="s">
        <v>30</v>
      </c>
      <c r="M83" s="161" t="s">
        <v>40</v>
      </c>
      <c r="N83" s="161" t="s">
        <v>56</v>
      </c>
      <c r="O83" s="60" t="s">
        <v>34</v>
      </c>
      <c r="P83" s="60" t="s">
        <v>35</v>
      </c>
      <c r="Q83" s="201" t="s">
        <v>36</v>
      </c>
      <c r="R83" s="60" t="s">
        <v>34</v>
      </c>
      <c r="S83" s="60" t="s">
        <v>35</v>
      </c>
      <c r="T83" s="151" t="s">
        <v>36</v>
      </c>
      <c r="U83" s="58"/>
      <c r="V83" s="102"/>
      <c r="W83" s="102"/>
      <c r="X83" s="103"/>
      <c r="Y83" s="103"/>
      <c r="Z83" s="95"/>
    </row>
    <row r="84" spans="1:26" ht="12.75">
      <c r="A84" s="195"/>
      <c r="B84" s="75"/>
      <c r="C84" s="75"/>
      <c r="D84" s="75"/>
      <c r="E84" s="75"/>
      <c r="F84" s="75"/>
      <c r="G84" s="75"/>
      <c r="H84" s="75"/>
      <c r="I84" s="75"/>
      <c r="J84" s="75"/>
      <c r="L84" s="126">
        <v>1</v>
      </c>
      <c r="M84" s="167" t="s">
        <v>41</v>
      </c>
      <c r="N84" s="62">
        <v>0</v>
      </c>
      <c r="O84" s="162">
        <v>1</v>
      </c>
      <c r="P84" s="172">
        <v>1.68</v>
      </c>
      <c r="Q84" s="137">
        <v>2.53</v>
      </c>
      <c r="R84" s="173">
        <v>1.31</v>
      </c>
      <c r="S84" s="172">
        <v>1.99</v>
      </c>
      <c r="T84" s="155">
        <v>2.85</v>
      </c>
      <c r="U84" s="58"/>
      <c r="V84" s="102"/>
      <c r="W84" s="102"/>
      <c r="X84" s="103"/>
      <c r="Y84" s="103"/>
      <c r="Z84" s="95"/>
    </row>
    <row r="85" spans="1:26" ht="12.75">
      <c r="A85" s="195"/>
      <c r="B85" s="75"/>
      <c r="C85" s="75"/>
      <c r="D85" s="75"/>
      <c r="E85" s="75"/>
      <c r="F85" s="75"/>
      <c r="G85" s="75"/>
      <c r="H85" s="75"/>
      <c r="I85" s="75"/>
      <c r="J85" s="75"/>
      <c r="L85" s="114">
        <v>2</v>
      </c>
      <c r="M85" s="168" t="s">
        <v>43</v>
      </c>
      <c r="N85" s="158">
        <v>7</v>
      </c>
      <c r="O85" s="163">
        <v>1</v>
      </c>
      <c r="P85" s="164">
        <v>1.68</v>
      </c>
      <c r="Q85" s="140">
        <v>2.53</v>
      </c>
      <c r="R85" s="174">
        <v>1.31</v>
      </c>
      <c r="S85" s="170">
        <v>1.99</v>
      </c>
      <c r="T85" s="156">
        <v>2.85</v>
      </c>
      <c r="U85" s="58"/>
      <c r="V85" s="102"/>
      <c r="W85" s="102"/>
      <c r="X85" s="103"/>
      <c r="Y85" s="103"/>
      <c r="Z85" s="95"/>
    </row>
    <row r="86" spans="1:26" ht="12.75">
      <c r="A86" s="195"/>
      <c r="B86" s="75"/>
      <c r="C86" s="75"/>
      <c r="D86" s="75"/>
      <c r="E86" s="75"/>
      <c r="F86" s="75"/>
      <c r="G86" s="75"/>
      <c r="H86" s="75"/>
      <c r="I86" s="75"/>
      <c r="J86" s="75"/>
      <c r="L86" s="114">
        <v>3</v>
      </c>
      <c r="M86" s="168" t="s">
        <v>45</v>
      </c>
      <c r="N86" s="158">
        <v>27</v>
      </c>
      <c r="O86" s="163">
        <v>0.92</v>
      </c>
      <c r="P86" s="164">
        <v>1.59</v>
      </c>
      <c r="Q86" s="140">
        <v>2.36</v>
      </c>
      <c r="R86" s="174">
        <v>1.23</v>
      </c>
      <c r="S86" s="170">
        <v>1.91</v>
      </c>
      <c r="T86" s="156">
        <v>2.67</v>
      </c>
      <c r="U86" s="58"/>
      <c r="V86" s="102"/>
      <c r="W86" s="102"/>
      <c r="X86" s="103"/>
      <c r="Y86" s="103"/>
      <c r="Z86" s="95"/>
    </row>
    <row r="87" spans="1:26" ht="12.75">
      <c r="A87" s="195"/>
      <c r="B87" s="75"/>
      <c r="C87" s="75"/>
      <c r="D87" s="75"/>
      <c r="E87" s="75"/>
      <c r="F87" s="75"/>
      <c r="G87" s="75"/>
      <c r="H87" s="75"/>
      <c r="I87" s="75"/>
      <c r="J87" s="75"/>
      <c r="L87" s="114">
        <v>4</v>
      </c>
      <c r="M87" s="169" t="s">
        <v>42</v>
      </c>
      <c r="N87" s="159">
        <v>45</v>
      </c>
      <c r="O87" s="165">
        <v>1</v>
      </c>
      <c r="P87" s="166">
        <v>1.17</v>
      </c>
      <c r="Q87" s="143">
        <v>1.17</v>
      </c>
      <c r="R87" s="175">
        <v>1.31</v>
      </c>
      <c r="S87" s="171">
        <v>1.48</v>
      </c>
      <c r="T87" s="157">
        <v>1.48</v>
      </c>
      <c r="U87" s="58"/>
      <c r="V87" s="102"/>
      <c r="W87" s="102"/>
      <c r="X87" s="103"/>
      <c r="Y87" s="103"/>
      <c r="Z87" s="95"/>
    </row>
    <row r="88" spans="1:26" ht="12.75">
      <c r="A88" s="195"/>
      <c r="B88" s="75"/>
      <c r="C88" s="75"/>
      <c r="D88" s="75"/>
      <c r="E88" s="75"/>
      <c r="F88" s="75"/>
      <c r="G88" s="75"/>
      <c r="H88" s="75"/>
      <c r="I88" s="75"/>
      <c r="J88" s="75"/>
      <c r="L88" s="126">
        <v>5</v>
      </c>
      <c r="M88" s="167"/>
      <c r="N88" s="62">
        <v>0</v>
      </c>
      <c r="O88" s="162">
        <v>1.34</v>
      </c>
      <c r="P88" s="172">
        <v>2.1</v>
      </c>
      <c r="Q88" s="137">
        <v>2.86</v>
      </c>
      <c r="R88" s="173">
        <v>1.65</v>
      </c>
      <c r="S88" s="172">
        <v>2.42</v>
      </c>
      <c r="T88" s="155">
        <v>3.18</v>
      </c>
      <c r="U88" s="58"/>
      <c r="V88" s="102"/>
      <c r="W88" s="102"/>
      <c r="X88" s="103"/>
      <c r="Y88" s="103"/>
      <c r="Z88" s="95"/>
    </row>
    <row r="89" spans="1:26" ht="12.75">
      <c r="A89" s="195"/>
      <c r="B89" s="75"/>
      <c r="C89" s="75"/>
      <c r="D89" s="75"/>
      <c r="E89" s="75"/>
      <c r="F89" s="75"/>
      <c r="G89" s="75"/>
      <c r="H89" s="75"/>
      <c r="I89" s="75"/>
      <c r="J89" s="75"/>
      <c r="L89" s="114">
        <v>6</v>
      </c>
      <c r="M89" s="168" t="s">
        <v>57</v>
      </c>
      <c r="N89" s="158">
        <v>10</v>
      </c>
      <c r="O89" s="163">
        <v>1.34</v>
      </c>
      <c r="P89" s="164">
        <v>2.1</v>
      </c>
      <c r="Q89" s="140">
        <v>2.86</v>
      </c>
      <c r="R89" s="174">
        <v>1.65</v>
      </c>
      <c r="S89" s="170">
        <v>2.42</v>
      </c>
      <c r="T89" s="156">
        <v>3.18</v>
      </c>
      <c r="U89" s="58"/>
      <c r="V89" s="102"/>
      <c r="W89" s="102"/>
      <c r="X89" s="103"/>
      <c r="Y89" s="103"/>
      <c r="Z89" s="95"/>
    </row>
    <row r="90" spans="1:26" ht="12.75">
      <c r="A90" s="195"/>
      <c r="B90" s="75"/>
      <c r="C90" s="75"/>
      <c r="D90" s="75"/>
      <c r="E90" s="75"/>
      <c r="F90" s="75"/>
      <c r="G90" s="75"/>
      <c r="H90" s="75"/>
      <c r="I90" s="75"/>
      <c r="J90" s="75"/>
      <c r="L90" s="114">
        <v>7</v>
      </c>
      <c r="M90" s="168" t="s">
        <v>42</v>
      </c>
      <c r="N90" s="158">
        <v>27</v>
      </c>
      <c r="O90" s="163">
        <v>0.92</v>
      </c>
      <c r="P90" s="164">
        <v>1.59</v>
      </c>
      <c r="Q90" s="140">
        <v>2.36</v>
      </c>
      <c r="R90" s="174">
        <v>1.23</v>
      </c>
      <c r="S90" s="170">
        <v>1.91</v>
      </c>
      <c r="T90" s="156">
        <v>2.67</v>
      </c>
      <c r="U90" s="58"/>
      <c r="V90" s="102"/>
      <c r="W90" s="102"/>
      <c r="X90" s="103"/>
      <c r="Y90" s="103"/>
      <c r="Z90" s="95"/>
    </row>
    <row r="91" spans="1:26" ht="12.75">
      <c r="A91" s="195"/>
      <c r="B91" s="75"/>
      <c r="C91" s="75"/>
      <c r="D91" s="75"/>
      <c r="E91" s="75"/>
      <c r="F91" s="75"/>
      <c r="G91" s="75"/>
      <c r="H91" s="75"/>
      <c r="I91" s="75"/>
      <c r="J91" s="75"/>
      <c r="L91" s="114">
        <v>8</v>
      </c>
      <c r="M91" s="169"/>
      <c r="N91" s="159">
        <v>45</v>
      </c>
      <c r="O91" s="165">
        <v>1</v>
      </c>
      <c r="P91" s="166">
        <v>1.17</v>
      </c>
      <c r="Q91" s="143">
        <v>1.17</v>
      </c>
      <c r="R91" s="175">
        <v>1.31</v>
      </c>
      <c r="S91" s="171">
        <v>1.48</v>
      </c>
      <c r="T91" s="157">
        <v>1.48</v>
      </c>
      <c r="U91" s="58"/>
      <c r="V91" s="102"/>
      <c r="W91" s="102"/>
      <c r="X91" s="103"/>
      <c r="Y91" s="103"/>
      <c r="Z91" s="95"/>
    </row>
    <row r="92" spans="1:26" ht="12.75">
      <c r="A92" s="195"/>
      <c r="B92" s="75"/>
      <c r="C92" s="75"/>
      <c r="D92" s="75"/>
      <c r="E92" s="75"/>
      <c r="F92" s="75"/>
      <c r="G92" s="75"/>
      <c r="H92" s="75"/>
      <c r="I92" s="75"/>
      <c r="J92" s="75"/>
      <c r="L92" s="126">
        <v>9</v>
      </c>
      <c r="M92" s="167"/>
      <c r="N92" s="62">
        <v>0</v>
      </c>
      <c r="O92" s="162">
        <v>1</v>
      </c>
      <c r="P92" s="172">
        <v>1.57</v>
      </c>
      <c r="Q92" s="137">
        <v>2.14</v>
      </c>
      <c r="R92" s="173">
        <v>1.23</v>
      </c>
      <c r="S92" s="172">
        <v>1.8</v>
      </c>
      <c r="T92" s="155">
        <v>2.37</v>
      </c>
      <c r="U92" s="58"/>
      <c r="V92" s="102"/>
      <c r="W92" s="102"/>
      <c r="X92" s="103"/>
      <c r="Y92" s="103"/>
      <c r="Z92" s="95"/>
    </row>
    <row r="93" spans="1:26" ht="12.75">
      <c r="A93" s="195"/>
      <c r="B93" s="75"/>
      <c r="C93" s="75"/>
      <c r="D93" s="75"/>
      <c r="E93" s="75"/>
      <c r="F93" s="75"/>
      <c r="G93" s="75"/>
      <c r="H93" s="75"/>
      <c r="I93" s="75"/>
      <c r="J93" s="75"/>
      <c r="L93" s="114">
        <v>10</v>
      </c>
      <c r="M93" s="168" t="s">
        <v>58</v>
      </c>
      <c r="N93" s="158">
        <v>10</v>
      </c>
      <c r="O93" s="163">
        <v>1</v>
      </c>
      <c r="P93" s="164">
        <v>1.57</v>
      </c>
      <c r="Q93" s="140">
        <v>2.14</v>
      </c>
      <c r="R93" s="174">
        <v>1.23</v>
      </c>
      <c r="S93" s="170">
        <v>1.8</v>
      </c>
      <c r="T93" s="156">
        <v>2.37</v>
      </c>
      <c r="U93" s="58"/>
      <c r="V93" s="102"/>
      <c r="W93" s="102"/>
      <c r="X93" s="103"/>
      <c r="Y93" s="103"/>
      <c r="Z93" s="95"/>
    </row>
    <row r="94" spans="1:26" ht="12.75">
      <c r="A94" s="195"/>
      <c r="B94" s="75"/>
      <c r="C94" s="75"/>
      <c r="D94" s="75"/>
      <c r="E94" s="75"/>
      <c r="F94" s="75"/>
      <c r="G94" s="75"/>
      <c r="H94" s="75"/>
      <c r="I94" s="75"/>
      <c r="J94" s="75"/>
      <c r="L94" s="114">
        <v>11</v>
      </c>
      <c r="M94" s="168"/>
      <c r="N94" s="158">
        <v>27</v>
      </c>
      <c r="O94" s="163">
        <v>0.68</v>
      </c>
      <c r="P94" s="164">
        <v>1.19</v>
      </c>
      <c r="Q94" s="140">
        <v>1.76</v>
      </c>
      <c r="R94" s="174">
        <v>0.92</v>
      </c>
      <c r="S94" s="170">
        <v>1.42</v>
      </c>
      <c r="T94" s="156">
        <v>1.99</v>
      </c>
      <c r="U94" s="58"/>
      <c r="V94" s="102"/>
      <c r="W94" s="102"/>
      <c r="X94" s="103"/>
      <c r="Y94" s="103"/>
      <c r="Z94" s="95"/>
    </row>
    <row r="95" spans="1:26" ht="12.75">
      <c r="A95" s="195"/>
      <c r="B95" s="75"/>
      <c r="C95" s="75"/>
      <c r="D95" s="75"/>
      <c r="E95" s="75"/>
      <c r="F95" s="75"/>
      <c r="G95" s="75"/>
      <c r="H95" s="75"/>
      <c r="I95" s="75"/>
      <c r="J95" s="75"/>
      <c r="L95" s="114">
        <v>12</v>
      </c>
      <c r="M95" s="169"/>
      <c r="N95" s="159">
        <v>45</v>
      </c>
      <c r="O95" s="165">
        <v>0.75</v>
      </c>
      <c r="P95" s="166">
        <v>0.87</v>
      </c>
      <c r="Q95" s="143">
        <v>0.87</v>
      </c>
      <c r="R95" s="175">
        <v>0.98</v>
      </c>
      <c r="S95" s="171">
        <v>1.11</v>
      </c>
      <c r="T95" s="157">
        <v>1.11</v>
      </c>
      <c r="U95" s="58"/>
      <c r="V95" s="102"/>
      <c r="W95" s="102"/>
      <c r="X95" s="103"/>
      <c r="Y95" s="103"/>
      <c r="Z95" s="95"/>
    </row>
    <row r="96" spans="1:26" ht="12.75">
      <c r="A96" s="195"/>
      <c r="B96" s="75"/>
      <c r="C96" s="75"/>
      <c r="D96" s="75"/>
      <c r="E96" s="75"/>
      <c r="F96" s="75"/>
      <c r="G96" s="75"/>
      <c r="H96" s="75"/>
      <c r="I96" s="75"/>
      <c r="J96" s="75"/>
      <c r="L96" s="46"/>
      <c r="M96" s="95"/>
      <c r="N96" s="95"/>
      <c r="O96" s="95"/>
      <c r="P96" s="95"/>
      <c r="Q96" s="218"/>
      <c r="R96" s="95"/>
      <c r="S96" s="95"/>
      <c r="T96" s="95"/>
      <c r="U96" s="58"/>
      <c r="V96" s="102"/>
      <c r="W96" s="102"/>
      <c r="X96" s="103"/>
      <c r="Y96" s="103"/>
      <c r="Z96" s="95"/>
    </row>
    <row r="97" spans="1:22" ht="12.75">
      <c r="A97" s="195"/>
      <c r="B97" s="75"/>
      <c r="C97" s="75"/>
      <c r="D97" s="75"/>
      <c r="E97" s="75"/>
      <c r="F97" s="75"/>
      <c r="G97" s="75"/>
      <c r="H97" s="75"/>
      <c r="I97" s="75"/>
      <c r="J97" s="75"/>
      <c r="L97" s="46"/>
      <c r="M97" s="176" t="s">
        <v>105</v>
      </c>
      <c r="N97" s="95"/>
      <c r="O97" s="95"/>
      <c r="P97" s="95"/>
      <c r="Q97" s="218"/>
      <c r="R97" s="95"/>
      <c r="S97" s="95"/>
      <c r="T97" s="95"/>
      <c r="U97" s="58"/>
      <c r="V97" s="102"/>
    </row>
    <row r="98" spans="1:22" ht="12.75">
      <c r="A98" s="195"/>
      <c r="B98" s="75"/>
      <c r="C98" s="75"/>
      <c r="D98" s="75"/>
      <c r="E98" s="75"/>
      <c r="F98" s="75"/>
      <c r="G98" s="75"/>
      <c r="H98" s="75"/>
      <c r="I98" s="75"/>
      <c r="J98" s="75"/>
      <c r="L98" s="111"/>
      <c r="M98" s="114"/>
      <c r="N98" s="212">
        <f>$C$22</f>
        <v>2.3855627204159573</v>
      </c>
      <c r="O98" s="99">
        <f>IF($C$22&lt;=7,1,IF(AND($C$22&gt;7,$C$22&lt;=27),0.92,IF(AND($C$22&gt;27,$C$22&lt;=45),1)))</f>
        <v>1</v>
      </c>
      <c r="P98" s="99">
        <f>IF($C$22&lt;=7,1.68,IF(AND($C$22&gt;7,$C$22&lt;=27),1.59,IF(AND($C$22&gt;27,$C$22&lt;=45),1.17)))</f>
        <v>1.68</v>
      </c>
      <c r="Q98" s="99">
        <f>IF($C$22&lt;=7,2.53,IF(AND($C$22&gt;7,$C$22&lt;=27),2.36,IF(AND($C$22&gt;27,$C$22&lt;=45),1.17)))</f>
        <v>2.53</v>
      </c>
      <c r="R98" s="99">
        <f>IF($C$22&lt;=7,1.31,IF(AND($C$22&gt;7,$C$22&lt;=27),1.23,IF(AND($C$22&gt;27,$C$22&lt;=45),1.31)))</f>
        <v>1.31</v>
      </c>
      <c r="S98" s="99">
        <f>IF($C$22&lt;=7,1.99,IF(AND($C$22&gt;7,$C$22&lt;=27),1.91,IF(AND($C$22&gt;27,$C$22&lt;=45),1.48)))</f>
        <v>1.99</v>
      </c>
      <c r="T98" s="99">
        <f>IF($C$22&lt;=7,2.85,IF(AND($C$22&gt;7,$C$22&lt;=27),2.67,IF(AND($C$22&gt;27,$C$22&lt;=45),1.48)))</f>
        <v>2.85</v>
      </c>
      <c r="U98" s="58"/>
      <c r="V98" s="102"/>
    </row>
    <row r="99" spans="1:26" ht="12.75">
      <c r="A99" s="195"/>
      <c r="B99" s="75"/>
      <c r="C99" s="75"/>
      <c r="D99" s="75"/>
      <c r="E99" s="75"/>
      <c r="F99" s="75"/>
      <c r="G99" s="75"/>
      <c r="H99" s="75"/>
      <c r="I99" s="75"/>
      <c r="J99" s="75"/>
      <c r="L99" s="111"/>
      <c r="M99" s="176" t="s">
        <v>106</v>
      </c>
      <c r="N99" s="218"/>
      <c r="O99" s="95"/>
      <c r="P99" s="95"/>
      <c r="Q99" s="218"/>
      <c r="R99" s="95"/>
      <c r="S99" s="95"/>
      <c r="T99" s="95"/>
      <c r="U99" s="58"/>
      <c r="V99" s="102"/>
      <c r="W99" s="102"/>
      <c r="X99" s="103"/>
      <c r="Y99" s="103"/>
      <c r="Z99" s="95"/>
    </row>
    <row r="100" spans="1:26" ht="12.75">
      <c r="A100" s="195"/>
      <c r="B100" s="75"/>
      <c r="C100" s="75"/>
      <c r="D100" s="75"/>
      <c r="E100" s="75"/>
      <c r="F100" s="75"/>
      <c r="G100" s="75"/>
      <c r="H100" s="75"/>
      <c r="I100" s="75"/>
      <c r="J100" s="75"/>
      <c r="L100" s="46"/>
      <c r="M100" s="128"/>
      <c r="N100" s="212">
        <f>$C$22</f>
        <v>2.3855627204159573</v>
      </c>
      <c r="O100" s="99">
        <f>IF($C$22&lt;=7,1.34,IF(AND($C$22&gt;7,$C$22&lt;=27),0.92,IF(AND($C$22&gt;27,$C$22&lt;=45),1)))</f>
        <v>1.34</v>
      </c>
      <c r="P100" s="99">
        <f>IF($C$22&lt;=7,2.1,IF(AND($C$22&gt;7,$C$22&lt;=27),1.59,IF(AND($C$22&gt;27,$C$22&lt;=45),1.17)))</f>
        <v>2.1</v>
      </c>
      <c r="Q100" s="99">
        <f>IF($C$22&lt;=7,2.86,IF(AND($C$22&gt;7,$C$22&lt;=27),2.36,IF(AND($C$22&gt;27,$C$22&lt;=45),1.17)))</f>
        <v>2.86</v>
      </c>
      <c r="R100" s="99">
        <f>IF($C$22&lt;=7,1.65,IF(AND($C$22&gt;7,$C$22&lt;=27),1.23,IF(AND($C$22&gt;27,$C$22&lt;=45),1.31)))</f>
        <v>1.65</v>
      </c>
      <c r="S100" s="99">
        <f>IF($C$22&lt;=7,2.42,IF(AND($C$22&gt;7,$C$22&lt;=27),1.91,IF(AND($C$22&gt;27,$C$22&lt;=45),1.48)))</f>
        <v>2.42</v>
      </c>
      <c r="T100" s="99">
        <f>IF($C$22&lt;=7,3.18,IF(AND($C$22&gt;7,$C$22&lt;=27),2.67,IF(AND($C$22&gt;27,$C$22&lt;=45),1.48)))</f>
        <v>3.18</v>
      </c>
      <c r="U100" s="58"/>
      <c r="V100" s="102"/>
      <c r="W100" s="102"/>
      <c r="X100" s="103"/>
      <c r="Y100" s="103"/>
      <c r="Z100" s="95"/>
    </row>
    <row r="101" spans="1:26" ht="12.75">
      <c r="A101" s="195"/>
      <c r="B101" s="75"/>
      <c r="C101" s="75"/>
      <c r="D101" s="75"/>
      <c r="E101" s="75"/>
      <c r="F101" s="75"/>
      <c r="G101" s="75"/>
      <c r="H101" s="75"/>
      <c r="I101" s="75"/>
      <c r="J101" s="75"/>
      <c r="L101" s="46"/>
      <c r="M101" s="176" t="s">
        <v>107</v>
      </c>
      <c r="N101" s="218"/>
      <c r="O101" s="95"/>
      <c r="P101" s="95"/>
      <c r="Q101" s="218"/>
      <c r="R101" s="95"/>
      <c r="S101" s="95"/>
      <c r="T101" s="95"/>
      <c r="U101" s="58"/>
      <c r="V101" s="102"/>
      <c r="W101" s="102"/>
      <c r="X101" s="103"/>
      <c r="Y101" s="103"/>
      <c r="Z101" s="95"/>
    </row>
    <row r="102" spans="1:26" ht="12.75">
      <c r="A102" s="195"/>
      <c r="B102" s="75"/>
      <c r="C102" s="75"/>
      <c r="D102" s="75"/>
      <c r="E102" s="75"/>
      <c r="F102" s="75"/>
      <c r="G102" s="75"/>
      <c r="H102" s="75"/>
      <c r="I102" s="75"/>
      <c r="J102" s="75"/>
      <c r="L102" s="46"/>
      <c r="M102" s="128"/>
      <c r="N102" s="212">
        <f>$C$22</f>
        <v>2.3855627204159573</v>
      </c>
      <c r="O102" s="99">
        <f>IF($C$22&lt;=7,1,IF(AND($C$22&gt;7,$C$22&lt;=27),0.68,IF(AND($C$22&gt;27,$C$22&lt;=45),0.75)))</f>
        <v>1</v>
      </c>
      <c r="P102" s="99">
        <f>IF($C$22&lt;=7,1.57,IF(AND($C$22&gt;7,$C$22&lt;=27),1.19,IF(AND($C$22&gt;27,$C$22&lt;=45),0.87)))</f>
        <v>1.57</v>
      </c>
      <c r="Q102" s="99">
        <f>IF($C$22&lt;=7,2.14,IF(AND($C$22&gt;7,$C$22&lt;=27),1.76,IF(AND($C$22&gt;27,$C$22&lt;=45),0.87)))</f>
        <v>2.14</v>
      </c>
      <c r="R102" s="99">
        <f>IF($C$22&lt;=7,1.23,IF(AND($C$22&gt;7,$C$22&lt;=27),0.92,IF(AND($C$22&gt;27,$C$22&lt;=45),0.98)))</f>
        <v>1.23</v>
      </c>
      <c r="S102" s="99">
        <f>IF($C$22&lt;=7,1.8,IF(AND($C$22&gt;7,$C$22&lt;=27),1.42,IF(AND($C$22&gt;27,$C$22&lt;=45),1.11)))</f>
        <v>1.8</v>
      </c>
      <c r="T102" s="99">
        <f>IF($C$22&lt;=7,2.37,IF(AND($C$22&gt;7,$C$22&lt;=27),1.99,IF(AND($C$22&gt;27,$C$22&lt;=45),1.11)))</f>
        <v>2.37</v>
      </c>
      <c r="U102" s="58"/>
      <c r="V102" s="102"/>
      <c r="W102" s="102"/>
      <c r="X102" s="103"/>
      <c r="Y102" s="103"/>
      <c r="Z102" s="95"/>
    </row>
    <row r="103" spans="1:26" ht="12.75">
      <c r="A103" s="195"/>
      <c r="B103" s="75"/>
      <c r="C103" s="75"/>
      <c r="D103" s="75"/>
      <c r="E103" s="75"/>
      <c r="F103" s="75"/>
      <c r="G103" s="75"/>
      <c r="H103" s="75"/>
      <c r="I103" s="75"/>
      <c r="J103" s="75"/>
      <c r="L103" s="46"/>
      <c r="U103" s="58"/>
      <c r="V103" s="102"/>
      <c r="W103" s="102"/>
      <c r="X103" s="103"/>
      <c r="Y103" s="103"/>
      <c r="Z103" s="95"/>
    </row>
    <row r="104" spans="1:26" ht="12.75">
      <c r="A104" s="195"/>
      <c r="B104" s="75"/>
      <c r="C104" s="75"/>
      <c r="D104" s="75"/>
      <c r="E104" s="75"/>
      <c r="F104" s="75"/>
      <c r="G104" s="75"/>
      <c r="H104" s="75"/>
      <c r="I104" s="75"/>
      <c r="J104" s="75"/>
      <c r="L104" s="111"/>
      <c r="M104" s="224" t="s">
        <v>102</v>
      </c>
      <c r="N104" s="212">
        <f>$C$22</f>
        <v>2.3855627204159573</v>
      </c>
      <c r="O104" s="212">
        <f>IF(OR($C$23&lt;=60,AND($C$25&lt;=1,$C$23&gt;60,$C$23&lt;90)),$O$98,"N.A.")</f>
        <v>1</v>
      </c>
      <c r="P104" s="212">
        <f>IF(OR($C$23&lt;=60,AND($C$25&lt;=1,$C$23&gt;60,$C$23&lt;90)),$P$98,"N.A.")</f>
        <v>1.68</v>
      </c>
      <c r="Q104" s="212">
        <f>IF(OR($C$23&lt;=60,AND($C$25&lt;=1,$C$23&gt;60,$C$23&lt;90)),$Q$98,"N.A.")</f>
        <v>2.53</v>
      </c>
      <c r="R104" s="212">
        <f>IF(OR($C$23&lt;=60,AND($C$25&lt;=1,$C$23&gt;60,$C$23&lt;90)),$R$98,"N.A.")</f>
        <v>1.31</v>
      </c>
      <c r="S104" s="212">
        <f>IF(OR($C$23&lt;=60,AND($C$25&lt;=1,$C$23&gt;60,$C$23&lt;90)),$S$98,"N.A.")</f>
        <v>1.99</v>
      </c>
      <c r="T104" s="212">
        <f>IF(OR($C$23&lt;=60,AND($C$25&lt;=1,$C$23&gt;60,$C$23&lt;90)),$T$98,"N.A.")</f>
        <v>2.85</v>
      </c>
      <c r="U104" s="58"/>
      <c r="V104" s="102"/>
      <c r="W104" s="102"/>
      <c r="X104" s="103"/>
      <c r="Y104" s="103"/>
      <c r="Z104" s="95"/>
    </row>
    <row r="105" spans="1:26" ht="12.75">
      <c r="A105" s="195"/>
      <c r="B105" s="75"/>
      <c r="C105" s="75"/>
      <c r="D105" s="75"/>
      <c r="E105" s="75"/>
      <c r="F105" s="75"/>
      <c r="G105" s="75"/>
      <c r="H105" s="75"/>
      <c r="I105" s="75"/>
      <c r="J105" s="75"/>
      <c r="L105" s="46"/>
      <c r="M105" s="224" t="s">
        <v>103</v>
      </c>
      <c r="N105" s="212">
        <f>$C$22</f>
        <v>2.3855627204159573</v>
      </c>
      <c r="O105" s="222" t="str">
        <f>IF(AND($C$25&gt;1,$C$23&gt;60,$C$23&lt;90),$O$100,"N.A.")</f>
        <v>N.A.</v>
      </c>
      <c r="P105" s="222" t="str">
        <f>IF(AND($C$25&gt;1,$C$23&gt;60,$C$23&lt;90),$P$100,"N.A.")</f>
        <v>N.A.</v>
      </c>
      <c r="Q105" s="222" t="str">
        <f>IF(AND($C$25&gt;1,$C$23&gt;60,$C$23&lt;90),$Q$100,"N.A.")</f>
        <v>N.A.</v>
      </c>
      <c r="R105" s="222" t="str">
        <f>IF(AND($C$25&gt;1,$C$23&gt;60,$C$23&lt;90),$R$100,"N.A.")</f>
        <v>N.A.</v>
      </c>
      <c r="S105" s="222" t="str">
        <f>IF(AND($C$25&gt;1,$C$23&gt;60,$C$23&lt;90),$S$100,"N.A.")</f>
        <v>N.A.</v>
      </c>
      <c r="T105" s="222" t="str">
        <f>IF(AND($C$25&gt;1,$C$23&gt;60,$C$23&lt;90),$T$100,"N.A.")</f>
        <v>N.A.</v>
      </c>
      <c r="U105" s="58"/>
      <c r="V105" s="102"/>
      <c r="W105" s="102"/>
      <c r="X105" s="103"/>
      <c r="Y105" s="103"/>
      <c r="Z105" s="95"/>
    </row>
    <row r="106" spans="1:26" ht="12.75">
      <c r="A106" s="195"/>
      <c r="B106" s="75"/>
      <c r="C106" s="75"/>
      <c r="D106" s="75"/>
      <c r="E106" s="75"/>
      <c r="F106" s="75"/>
      <c r="G106" s="75"/>
      <c r="H106" s="75"/>
      <c r="I106" s="75"/>
      <c r="J106" s="75"/>
      <c r="L106" s="46"/>
      <c r="M106" s="224" t="s">
        <v>104</v>
      </c>
      <c r="N106" s="212">
        <f>$C$22</f>
        <v>2.3855627204159573</v>
      </c>
      <c r="O106" s="222" t="str">
        <f>IF($C$23&gt;=90,$O$102,"N.A.")</f>
        <v>N.A.</v>
      </c>
      <c r="P106" s="222" t="str">
        <f>IF($C$23&gt;=90,$P$102,"N.A.")</f>
        <v>N.A.</v>
      </c>
      <c r="Q106" s="222" t="str">
        <f>IF($C$23&gt;=90,$Q$102,"N.A.")</f>
        <v>N.A.</v>
      </c>
      <c r="R106" s="222" t="str">
        <f>IF($C$23&gt;=90,$R$102,"N.A.")</f>
        <v>N.A.</v>
      </c>
      <c r="S106" s="222" t="str">
        <f>IF($C$23&gt;=90,$S$102,"N.A.")</f>
        <v>N.A.</v>
      </c>
      <c r="T106" s="222" t="str">
        <f>IF($C$23&gt;=90,$T$102,"N.A.")</f>
        <v>N.A.</v>
      </c>
      <c r="U106" s="58"/>
      <c r="V106" s="102"/>
      <c r="W106" s="102"/>
      <c r="X106" s="103"/>
      <c r="Y106" s="103"/>
      <c r="Z106" s="95"/>
    </row>
    <row r="107" spans="1:26" ht="12.75">
      <c r="A107" s="195"/>
      <c r="B107" s="75"/>
      <c r="C107" s="75"/>
      <c r="D107" s="75"/>
      <c r="E107" s="75"/>
      <c r="F107" s="75"/>
      <c r="G107" s="75"/>
      <c r="H107" s="75"/>
      <c r="I107" s="75"/>
      <c r="J107" s="75"/>
      <c r="L107" s="46"/>
      <c r="M107" s="149" t="s">
        <v>14</v>
      </c>
      <c r="N107" s="94"/>
      <c r="O107" s="103" t="s">
        <v>34</v>
      </c>
      <c r="P107" s="103" t="s">
        <v>35</v>
      </c>
      <c r="Q107" s="203" t="s">
        <v>36</v>
      </c>
      <c r="R107" s="103" t="s">
        <v>34</v>
      </c>
      <c r="S107" s="103" t="s">
        <v>35</v>
      </c>
      <c r="T107" s="203" t="s">
        <v>36</v>
      </c>
      <c r="U107" s="58"/>
      <c r="V107" s="102"/>
      <c r="X107" s="96"/>
      <c r="Y107" s="103"/>
      <c r="Z107" s="266"/>
    </row>
    <row r="108" spans="1:26" ht="12.75">
      <c r="A108" s="195"/>
      <c r="B108" s="75"/>
      <c r="C108" s="75"/>
      <c r="D108" s="75"/>
      <c r="E108" s="75"/>
      <c r="F108" s="75"/>
      <c r="G108" s="75"/>
      <c r="H108" s="75"/>
      <c r="I108" s="75"/>
      <c r="J108" s="75"/>
      <c r="L108" s="46"/>
      <c r="M108" s="33"/>
      <c r="N108" s="95"/>
      <c r="O108" s="223">
        <f>IF($C$10="Enclosed",MAX($O$104:$O$106),"N.A.")</f>
        <v>1</v>
      </c>
      <c r="P108" s="223">
        <f>IF($C$10="Enclosed",MAX($P$104:$P$106),"N.A.")</f>
        <v>1.68</v>
      </c>
      <c r="Q108" s="223">
        <f>IF($C$10="Enclosed",MAX($Q$104:$Q$106),"N.A.")</f>
        <v>2.53</v>
      </c>
      <c r="R108" s="223" t="str">
        <f>IF($C$10="Part. Encl.",MAX($R$104:$R$106),"N.A.")</f>
        <v>N.A.</v>
      </c>
      <c r="S108" s="223" t="str">
        <f>IF($C$10="Part. Encl.",MAX($S$104:$S$106),"N.A.")</f>
        <v>N.A.</v>
      </c>
      <c r="T108" s="223" t="str">
        <f>IF($C$10="Part. Encl.",MAX($T$104:$T$106),"N.A.")</f>
        <v>N.A.</v>
      </c>
      <c r="U108" s="58"/>
      <c r="V108" s="102"/>
      <c r="X108" s="96"/>
      <c r="Y108" s="103"/>
      <c r="Z108" s="266"/>
    </row>
    <row r="109" spans="12:26" ht="12.75">
      <c r="L109" s="111"/>
      <c r="U109" s="58"/>
      <c r="V109" s="102"/>
      <c r="W109" s="102"/>
      <c r="X109" s="103"/>
      <c r="Y109" s="103"/>
      <c r="Z109" s="95"/>
    </row>
    <row r="110" spans="12:26" ht="12.75">
      <c r="L110" s="111"/>
      <c r="O110" s="225"/>
      <c r="P110" s="225"/>
      <c r="Q110" s="225"/>
      <c r="R110" s="225"/>
      <c r="S110" s="225"/>
      <c r="T110" s="225"/>
      <c r="U110" s="58"/>
      <c r="V110" s="102"/>
      <c r="W110" s="102"/>
      <c r="X110" s="103"/>
      <c r="Y110" s="103"/>
      <c r="Z110" s="95"/>
    </row>
    <row r="111" spans="12:26" ht="12.75">
      <c r="L111" s="268" t="s">
        <v>129</v>
      </c>
      <c r="M111" s="213" t="s">
        <v>109</v>
      </c>
      <c r="N111" s="94"/>
      <c r="O111" s="33"/>
      <c r="P111" s="104"/>
      <c r="Q111" s="177"/>
      <c r="R111" s="101"/>
      <c r="S111" s="58"/>
      <c r="T111" s="58"/>
      <c r="U111" s="58"/>
      <c r="V111" s="102"/>
      <c r="W111" s="102"/>
      <c r="X111" s="103"/>
      <c r="Y111" s="103"/>
      <c r="Z111" s="95"/>
    </row>
    <row r="112" spans="12:26" ht="12.75">
      <c r="L112" s="111"/>
      <c r="M112" s="160" t="s">
        <v>29</v>
      </c>
      <c r="N112" s="160" t="s">
        <v>39</v>
      </c>
      <c r="O112" s="152" t="s">
        <v>37</v>
      </c>
      <c r="P112" s="153"/>
      <c r="Q112" s="202"/>
      <c r="R112" s="152" t="s">
        <v>38</v>
      </c>
      <c r="S112" s="153"/>
      <c r="T112" s="154"/>
      <c r="U112" s="58"/>
      <c r="V112" s="102"/>
      <c r="W112" s="102"/>
      <c r="X112" s="103"/>
      <c r="Y112" s="103"/>
      <c r="Z112" s="95"/>
    </row>
    <row r="113" spans="12:26" ht="12.75">
      <c r="L113" s="127" t="s">
        <v>30</v>
      </c>
      <c r="M113" s="161" t="s">
        <v>40</v>
      </c>
      <c r="N113" s="161" t="s">
        <v>56</v>
      </c>
      <c r="O113" s="60" t="s">
        <v>34</v>
      </c>
      <c r="P113" s="60" t="s">
        <v>35</v>
      </c>
      <c r="Q113" s="201" t="s">
        <v>36</v>
      </c>
      <c r="R113" s="60" t="s">
        <v>34</v>
      </c>
      <c r="S113" s="60" t="s">
        <v>35</v>
      </c>
      <c r="T113" s="151" t="s">
        <v>36</v>
      </c>
      <c r="U113" s="58"/>
      <c r="V113" s="102"/>
      <c r="W113" s="102"/>
      <c r="X113" s="103"/>
      <c r="Y113" s="103"/>
      <c r="Z113" s="95"/>
    </row>
    <row r="114" spans="12:26" ht="12.75">
      <c r="L114" s="126">
        <v>1</v>
      </c>
      <c r="M114" s="167" t="s">
        <v>41</v>
      </c>
      <c r="N114" s="62">
        <v>0</v>
      </c>
      <c r="O114" s="162">
        <v>1</v>
      </c>
      <c r="P114" s="172">
        <v>1.68</v>
      </c>
      <c r="Q114" s="137">
        <v>2.53</v>
      </c>
      <c r="R114" s="173">
        <v>1.31</v>
      </c>
      <c r="S114" s="172">
        <v>1.99</v>
      </c>
      <c r="T114" s="155">
        <v>2.85</v>
      </c>
      <c r="U114" s="58"/>
      <c r="V114" s="102"/>
      <c r="W114" s="102"/>
      <c r="X114" s="103"/>
      <c r="Y114" s="103"/>
      <c r="Z114" s="95"/>
    </row>
    <row r="115" spans="12:26" ht="12.75">
      <c r="L115" s="114">
        <v>2</v>
      </c>
      <c r="M115" s="168" t="s">
        <v>43</v>
      </c>
      <c r="N115" s="158">
        <v>7</v>
      </c>
      <c r="O115" s="163">
        <v>1</v>
      </c>
      <c r="P115" s="164">
        <v>1.68</v>
      </c>
      <c r="Q115" s="140">
        <v>2.53</v>
      </c>
      <c r="R115" s="174">
        <v>1.31</v>
      </c>
      <c r="S115" s="170">
        <v>1.99</v>
      </c>
      <c r="T115" s="156">
        <v>2.85</v>
      </c>
      <c r="U115" s="58"/>
      <c r="V115" s="102"/>
      <c r="W115" s="102"/>
      <c r="X115" s="103"/>
      <c r="Y115" s="103"/>
      <c r="Z115" s="95"/>
    </row>
    <row r="116" spans="12:26" ht="12.75">
      <c r="L116" s="114">
        <v>3</v>
      </c>
      <c r="M116" s="168" t="s">
        <v>45</v>
      </c>
      <c r="N116" s="158">
        <v>27</v>
      </c>
      <c r="O116" s="163">
        <v>0.92</v>
      </c>
      <c r="P116" s="164">
        <v>1.59</v>
      </c>
      <c r="Q116" s="140">
        <v>2.36</v>
      </c>
      <c r="R116" s="174">
        <v>1.23</v>
      </c>
      <c r="S116" s="170">
        <v>1.91</v>
      </c>
      <c r="T116" s="156">
        <v>2.67</v>
      </c>
      <c r="U116" s="56"/>
      <c r="V116" s="56"/>
      <c r="W116" s="56"/>
      <c r="X116" s="56"/>
      <c r="Y116" s="56"/>
      <c r="Z116" s="56"/>
    </row>
    <row r="117" spans="12:20" ht="12.75">
      <c r="L117" s="114">
        <v>4</v>
      </c>
      <c r="M117" s="169" t="s">
        <v>42</v>
      </c>
      <c r="N117" s="159">
        <v>45</v>
      </c>
      <c r="O117" s="165">
        <v>1</v>
      </c>
      <c r="P117" s="166">
        <v>1.17</v>
      </c>
      <c r="Q117" s="143">
        <v>1.17</v>
      </c>
      <c r="R117" s="175">
        <v>1.31</v>
      </c>
      <c r="S117" s="171">
        <v>1.48</v>
      </c>
      <c r="T117" s="157">
        <v>1.48</v>
      </c>
    </row>
    <row r="118" spans="12:20" ht="12.75">
      <c r="L118" s="126">
        <v>5</v>
      </c>
      <c r="M118" s="167"/>
      <c r="N118" s="62">
        <v>0</v>
      </c>
      <c r="O118" s="162">
        <v>1.34</v>
      </c>
      <c r="P118" s="172">
        <v>2.1</v>
      </c>
      <c r="Q118" s="137">
        <v>2.86</v>
      </c>
      <c r="R118" s="173">
        <v>1.65</v>
      </c>
      <c r="S118" s="172">
        <v>2.42</v>
      </c>
      <c r="T118" s="155">
        <v>3.18</v>
      </c>
    </row>
    <row r="119" spans="12:20" ht="12.75">
      <c r="L119" s="114">
        <v>6</v>
      </c>
      <c r="M119" s="168" t="s">
        <v>57</v>
      </c>
      <c r="N119" s="158">
        <v>10</v>
      </c>
      <c r="O119" s="163">
        <v>1.34</v>
      </c>
      <c r="P119" s="164">
        <v>2.1</v>
      </c>
      <c r="Q119" s="140">
        <v>2.86</v>
      </c>
      <c r="R119" s="174">
        <v>1.65</v>
      </c>
      <c r="S119" s="170">
        <v>2.42</v>
      </c>
      <c r="T119" s="156">
        <v>3.18</v>
      </c>
    </row>
    <row r="120" spans="12:20" ht="12.75">
      <c r="L120" s="114">
        <v>7</v>
      </c>
      <c r="M120" s="168" t="s">
        <v>42</v>
      </c>
      <c r="N120" s="158">
        <v>27</v>
      </c>
      <c r="O120" s="163">
        <v>0.92</v>
      </c>
      <c r="P120" s="164">
        <v>1.59</v>
      </c>
      <c r="Q120" s="140">
        <v>2.36</v>
      </c>
      <c r="R120" s="174">
        <v>1.23</v>
      </c>
      <c r="S120" s="170">
        <v>1.91</v>
      </c>
      <c r="T120" s="156">
        <v>2.67</v>
      </c>
    </row>
    <row r="121" spans="12:20" ht="12.75">
      <c r="L121" s="114">
        <v>8</v>
      </c>
      <c r="M121" s="169"/>
      <c r="N121" s="159">
        <v>45</v>
      </c>
      <c r="O121" s="165">
        <v>1</v>
      </c>
      <c r="P121" s="166">
        <v>1.17</v>
      </c>
      <c r="Q121" s="143">
        <v>1.17</v>
      </c>
      <c r="R121" s="175">
        <v>1.31</v>
      </c>
      <c r="S121" s="171">
        <v>1.48</v>
      </c>
      <c r="T121" s="157">
        <v>1.48</v>
      </c>
    </row>
    <row r="122" spans="12:20" ht="12.75">
      <c r="L122" s="126">
        <v>9</v>
      </c>
      <c r="M122" s="167"/>
      <c r="N122" s="62">
        <v>0</v>
      </c>
      <c r="O122" s="162">
        <v>1</v>
      </c>
      <c r="P122" s="172">
        <v>1.57</v>
      </c>
      <c r="Q122" s="137">
        <v>2.14</v>
      </c>
      <c r="R122" s="173">
        <v>1.23</v>
      </c>
      <c r="S122" s="172">
        <v>1.8</v>
      </c>
      <c r="T122" s="155">
        <v>2.37</v>
      </c>
    </row>
    <row r="123" spans="12:20" ht="12.75">
      <c r="L123" s="114">
        <v>10</v>
      </c>
      <c r="M123" s="168" t="s">
        <v>58</v>
      </c>
      <c r="N123" s="158">
        <v>10</v>
      </c>
      <c r="O123" s="163">
        <v>1</v>
      </c>
      <c r="P123" s="164">
        <v>1.57</v>
      </c>
      <c r="Q123" s="140">
        <v>2.14</v>
      </c>
      <c r="R123" s="174">
        <v>1.23</v>
      </c>
      <c r="S123" s="170">
        <v>1.8</v>
      </c>
      <c r="T123" s="156">
        <v>2.37</v>
      </c>
    </row>
    <row r="124" spans="12:20" ht="12.75">
      <c r="L124" s="114">
        <v>11</v>
      </c>
      <c r="M124" s="168"/>
      <c r="N124" s="158">
        <v>27</v>
      </c>
      <c r="O124" s="163">
        <v>0.68</v>
      </c>
      <c r="P124" s="164">
        <v>1.19</v>
      </c>
      <c r="Q124" s="140">
        <v>1.76</v>
      </c>
      <c r="R124" s="174">
        <v>0.92</v>
      </c>
      <c r="S124" s="170">
        <v>1.42</v>
      </c>
      <c r="T124" s="156">
        <v>1.99</v>
      </c>
    </row>
    <row r="125" spans="12:20" ht="12.75">
      <c r="L125" s="114">
        <v>12</v>
      </c>
      <c r="M125" s="169"/>
      <c r="N125" s="159">
        <v>45</v>
      </c>
      <c r="O125" s="165">
        <v>0.75</v>
      </c>
      <c r="P125" s="166">
        <v>0.87</v>
      </c>
      <c r="Q125" s="143">
        <v>0.87</v>
      </c>
      <c r="R125" s="175">
        <v>0.98</v>
      </c>
      <c r="S125" s="171">
        <v>1.11</v>
      </c>
      <c r="T125" s="157">
        <v>1.11</v>
      </c>
    </row>
    <row r="126" spans="12:20" ht="12.75">
      <c r="L126" s="46"/>
      <c r="M126" s="95"/>
      <c r="N126" s="95"/>
      <c r="O126" s="95"/>
      <c r="P126" s="95"/>
      <c r="Q126" s="218"/>
      <c r="R126" s="95"/>
      <c r="S126" s="95"/>
      <c r="T126" s="95"/>
    </row>
    <row r="127" spans="12:20" ht="12.75">
      <c r="L127" s="46"/>
      <c r="M127" s="176" t="s">
        <v>105</v>
      </c>
      <c r="N127" s="95"/>
      <c r="O127" s="95"/>
      <c r="P127" s="95"/>
      <c r="Q127" s="218"/>
      <c r="R127" s="95"/>
      <c r="S127" s="95"/>
      <c r="T127" s="95"/>
    </row>
    <row r="128" spans="12:20" ht="12.75">
      <c r="L128" s="111"/>
      <c r="M128" s="114">
        <f>MATCH($N$129,$N$114:$N$117,1)</f>
        <v>1</v>
      </c>
      <c r="N128" s="122">
        <f>VLOOKUP($M$128,$L$114:$T$117,3)</f>
        <v>0</v>
      </c>
      <c r="O128" s="48">
        <f>VLOOKUP($M$128,$L$114:$T$117,4)</f>
        <v>1</v>
      </c>
      <c r="P128" s="48">
        <f>VLOOKUP($M$128,$L$114:$T$117,5)</f>
        <v>1.68</v>
      </c>
      <c r="Q128" s="48">
        <f>VLOOKUP($M$128,$L$114:$T$117,6)</f>
        <v>2.53</v>
      </c>
      <c r="R128" s="48">
        <f>VLOOKUP($M$128,$L$114:$T$117,7)</f>
        <v>1.31</v>
      </c>
      <c r="S128" s="48">
        <f>VLOOKUP($M$128,$L$114:$T$117,8)</f>
        <v>1.99</v>
      </c>
      <c r="T128" s="48">
        <f>VLOOKUP($M$128,$L$114:$T$117,9)</f>
        <v>2.85</v>
      </c>
    </row>
    <row r="129" spans="12:20" ht="12.75">
      <c r="L129" s="111"/>
      <c r="M129" s="111"/>
      <c r="N129" s="212">
        <f>$C$22</f>
        <v>2.3855627204159573</v>
      </c>
      <c r="O129" s="221">
        <f>IF($C$22&gt;=45,$O$128,($O$130-$O$128)*($N$129-$N$128)/($N$130-$N$128)+$O$128)</f>
        <v>1</v>
      </c>
      <c r="P129" s="221">
        <f>IF($C$22&gt;=45,$P$128,($P$130-$P$128)*($N$129-$N$128)/($N$130-$N$128)+$P$128)</f>
        <v>1.68</v>
      </c>
      <c r="Q129" s="221">
        <f>IF($C$22&gt;=45,$Q$128,($Q$130-$Q$128)*($N$129-$N$128)/($N$130-$N$128)+$Q$128)</f>
        <v>2.53</v>
      </c>
      <c r="R129" s="221">
        <f>IF($C$22&gt;=45,$R$128,($R$130-$R$128)*($N$129-$N$128)/($N$130-$N$128)+$R$128)</f>
        <v>1.31</v>
      </c>
      <c r="S129" s="221">
        <f>IF($C$22&gt;=45,$S$128,($S$130-$S$128)*($N$129-$N$128)/($N$130-$N$128)+$S$128)</f>
        <v>1.99</v>
      </c>
      <c r="T129" s="221">
        <f>IF($C$22&gt;=45,$T$128,($T$130-$T$128)*($N$129-$N$128)/($N$130-$N$128)+$T$128)</f>
        <v>2.85</v>
      </c>
    </row>
    <row r="130" spans="12:20" ht="12.75">
      <c r="L130" s="46"/>
      <c r="M130" s="114">
        <f>$M$128+1</f>
        <v>2</v>
      </c>
      <c r="N130" s="122">
        <f>VLOOKUP($M$130,$L$114:$T$117,3)</f>
        <v>7</v>
      </c>
      <c r="O130" s="48">
        <f>VLOOKUP($M$130,$L$114:$T$117,4)</f>
        <v>1</v>
      </c>
      <c r="P130" s="48">
        <f>VLOOKUP($M$130,$L$114:$T$117,5)</f>
        <v>1.68</v>
      </c>
      <c r="Q130" s="122">
        <f>VLOOKUP($M$130,$L$114:$T$117,6)</f>
        <v>2.53</v>
      </c>
      <c r="R130" s="48">
        <f>VLOOKUP($M$130,$L$114:$T$117,7)</f>
        <v>1.31</v>
      </c>
      <c r="S130" s="48">
        <f>VLOOKUP($M$130,$L$114:$T$117,8)</f>
        <v>1.99</v>
      </c>
      <c r="T130" s="48">
        <f>VLOOKUP($M$130,$L$114:$T$117,9)</f>
        <v>2.85</v>
      </c>
    </row>
    <row r="131" spans="12:20" ht="12.75">
      <c r="L131" s="46"/>
      <c r="M131" s="176" t="s">
        <v>106</v>
      </c>
      <c r="N131" s="218"/>
      <c r="O131" s="95"/>
      <c r="P131" s="95"/>
      <c r="Q131" s="218"/>
      <c r="R131" s="95"/>
      <c r="S131" s="95"/>
      <c r="T131" s="95"/>
    </row>
    <row r="132" spans="12:20" ht="12.75">
      <c r="L132" s="46"/>
      <c r="M132" s="128">
        <f>MATCH($N$133,$N$118:$N$121,1)+4</f>
        <v>5</v>
      </c>
      <c r="N132" s="122">
        <f>VLOOKUP($M$132,$L$118:$T$121,3)</f>
        <v>0</v>
      </c>
      <c r="O132" s="48">
        <f>VLOOKUP($M$132,$L$118:$T$121,4)</f>
        <v>1.34</v>
      </c>
      <c r="P132" s="48">
        <f>VLOOKUP($M$132,$L$118:$T$121,5)</f>
        <v>2.1</v>
      </c>
      <c r="Q132" s="122">
        <f>VLOOKUP($M$132,$L$118:$T$121,6)</f>
        <v>2.86</v>
      </c>
      <c r="R132" s="48">
        <f>VLOOKUP($M$132,$L$118:$T$121,7)</f>
        <v>1.65</v>
      </c>
      <c r="S132" s="48">
        <f>VLOOKUP($M$132,$L$118:$T$121,8)</f>
        <v>2.42</v>
      </c>
      <c r="T132" s="48">
        <f>VLOOKUP($M$132,$L$118:$T$121,9)</f>
        <v>3.18</v>
      </c>
    </row>
    <row r="133" spans="12:20" ht="12.75">
      <c r="L133" s="46"/>
      <c r="M133" s="111"/>
      <c r="N133" s="212">
        <f>$C$22</f>
        <v>2.3855627204159573</v>
      </c>
      <c r="O133" s="221">
        <f>IF($C$22&gt;=45,$O$132,($O$134-$O$132)*($N$133-$N$132)/($N$134-$N$132)+$O$132)</f>
        <v>1.34</v>
      </c>
      <c r="P133" s="221">
        <f>IF($C$22&gt;=45,$P$132,($P$134-$P$132)*($N$133-$N$132)/($N$134-$N$132)+$P$132)</f>
        <v>2.1</v>
      </c>
      <c r="Q133" s="221">
        <f>IF($C$22&gt;=45,$Q$132,($Q$134-$Q$132)*($N$133-$N$132)/($N$134-$N$132)+$Q$132)</f>
        <v>2.86</v>
      </c>
      <c r="R133" s="221">
        <f>IF($C$22&gt;=45,$R$132,($R$134-$R$132)*($N$133-$N$132)/($N$134-$N$132)+$R$132)</f>
        <v>1.65</v>
      </c>
      <c r="S133" s="221">
        <f>IF($C$22&gt;=45,$S$132,($S$134-$S$132)*($N$133-$N$132)/($N$134-$N$132)+$S$132)</f>
        <v>2.42</v>
      </c>
      <c r="T133" s="221">
        <f>IF($C$22&gt;=45,$T$132,($T$134-$T$132)*($N$133-$N$132)/($N$134-$N$132)+$T$132)</f>
        <v>3.18</v>
      </c>
    </row>
    <row r="134" spans="12:20" ht="12.75">
      <c r="L134" s="111"/>
      <c r="M134" s="114">
        <f>$M$132+1</f>
        <v>6</v>
      </c>
      <c r="N134" s="122">
        <f>VLOOKUP($M$134,$L$118:$T$121,3)</f>
        <v>10</v>
      </c>
      <c r="O134" s="48">
        <f>VLOOKUP($M$134,$L$118:$T$121,4)</f>
        <v>1.34</v>
      </c>
      <c r="P134" s="48">
        <f>VLOOKUP($M$134,$L$118:$T$121,5)</f>
        <v>2.1</v>
      </c>
      <c r="Q134" s="122">
        <f>VLOOKUP($M$134,$L$118:$T$121,6)</f>
        <v>2.86</v>
      </c>
      <c r="R134" s="48">
        <f>VLOOKUP($M$134,$L$118:$T$121,7)</f>
        <v>1.65</v>
      </c>
      <c r="S134" s="48">
        <f>VLOOKUP($M$134,$L$118:$T$121,8)</f>
        <v>2.42</v>
      </c>
      <c r="T134" s="48">
        <f>VLOOKUP($M$134,$L$118:$T$121,9)</f>
        <v>3.18</v>
      </c>
    </row>
    <row r="135" spans="12:20" ht="12.75">
      <c r="L135" s="46"/>
      <c r="M135" s="176" t="s">
        <v>107</v>
      </c>
      <c r="N135" s="218"/>
      <c r="O135" s="95"/>
      <c r="P135" s="95"/>
      <c r="Q135" s="218"/>
      <c r="R135" s="95"/>
      <c r="S135" s="95"/>
      <c r="T135" s="95"/>
    </row>
    <row r="136" spans="12:20" ht="12.75">
      <c r="L136" s="46"/>
      <c r="M136" s="128">
        <f>MATCH($N$137,$N$122:$N$125,1)+8</f>
        <v>9</v>
      </c>
      <c r="N136" s="122">
        <f>VLOOKUP($M$136,$L$122:$T$125,3)</f>
        <v>0</v>
      </c>
      <c r="O136" s="48">
        <f>VLOOKUP($M$136,$L$122:$T$125,4)</f>
        <v>1</v>
      </c>
      <c r="P136" s="48">
        <f>VLOOKUP($M$136,$L$122:$T$125,5)</f>
        <v>1.57</v>
      </c>
      <c r="Q136" s="122">
        <f>VLOOKUP($M$136,$L$122:$T$125,6)</f>
        <v>2.14</v>
      </c>
      <c r="R136" s="48">
        <f>VLOOKUP($M$136,$L$122:$T$125,7)</f>
        <v>1.23</v>
      </c>
      <c r="S136" s="48">
        <f>VLOOKUP($M$136,$L$122:$T$125,8)</f>
        <v>1.8</v>
      </c>
      <c r="T136" s="48">
        <f>VLOOKUP($M$136,$L$122:$T$125,9)</f>
        <v>2.37</v>
      </c>
    </row>
    <row r="137" spans="12:20" ht="12.75">
      <c r="L137" s="46"/>
      <c r="M137" s="111"/>
      <c r="N137" s="212">
        <f>$C$22</f>
        <v>2.3855627204159573</v>
      </c>
      <c r="O137" s="221">
        <f>IF($C$22&gt;=45,$O$136,($O$138-$O$136)*($N$137-$N$136)/($N$138-$N$136)+$O$136)</f>
        <v>1</v>
      </c>
      <c r="P137" s="221">
        <f>IF($C$22&gt;=45,$P$136,($P$138-$P$136)*($N$137-$N$136)/($N$138-$N$136)+$P$136)</f>
        <v>1.57</v>
      </c>
      <c r="Q137" s="221">
        <f>IF($C$22&gt;=45,$Q$136,($Q$138-$Q$136)*($N$137-$N$136)/($N$138-$N$136)+$Q$136)</f>
        <v>2.14</v>
      </c>
      <c r="R137" s="221">
        <f>IF($C$22&gt;=45,$R$136,($R$138-$R$136)*($N$137-$N$136)/($N$138-$N$136)+$R$136)</f>
        <v>1.23</v>
      </c>
      <c r="S137" s="221">
        <f>IF($C$22&gt;=45,$S$136,($S$138-$S$136)*($N$137-$N$136)/($N$138-$N$136)+$S$136)</f>
        <v>1.8</v>
      </c>
      <c r="T137" s="221">
        <f>IF($C$22&gt;=45,$T$136,($T$138-$T$136)*($N$137-$N$136)/($N$138-$N$136)+$T$136)</f>
        <v>2.37</v>
      </c>
    </row>
    <row r="138" spans="12:20" ht="12.75">
      <c r="L138" s="46"/>
      <c r="M138" s="114">
        <f>$M$136+1</f>
        <v>10</v>
      </c>
      <c r="N138" s="122">
        <f>VLOOKUP($M$138,$L$122:$T$125,3)</f>
        <v>10</v>
      </c>
      <c r="O138" s="48">
        <f>VLOOKUP($M$138,$L$122:$T$125,4)</f>
        <v>1</v>
      </c>
      <c r="P138" s="48">
        <f>VLOOKUP($M$138,$L$122:$T$125,5)</f>
        <v>1.57</v>
      </c>
      <c r="Q138" s="122">
        <f>VLOOKUP($M$138,$L$122:$T$125,6)</f>
        <v>2.14</v>
      </c>
      <c r="R138" s="48">
        <f>VLOOKUP($M$138,$L$122:$T$125,7)</f>
        <v>1.23</v>
      </c>
      <c r="S138" s="48">
        <f>VLOOKUP($M$138,$L$122:$T$125,8)</f>
        <v>1.8</v>
      </c>
      <c r="T138" s="48">
        <f>VLOOKUP($M$138,$L$122:$T$125,9)</f>
        <v>2.37</v>
      </c>
    </row>
    <row r="139" ht="12.75">
      <c r="L139" s="111"/>
    </row>
    <row r="140" spans="12:20" ht="12.75">
      <c r="L140" s="111"/>
      <c r="M140" s="224" t="s">
        <v>102</v>
      </c>
      <c r="N140" s="212">
        <f>$C$22</f>
        <v>2.3855627204159573</v>
      </c>
      <c r="O140" s="212">
        <f>IF(OR($C$23&lt;=60,AND($C$25&lt;=1,$C$23&gt;60,$C$23&lt;90)),$O$129,"N.A.")</f>
        <v>1</v>
      </c>
      <c r="P140" s="212">
        <f>IF(OR($C$23&lt;=60,AND($C$25&lt;=1,$C$23&gt;60,$C$23&lt;90)),$P$129,"N.A.")</f>
        <v>1.68</v>
      </c>
      <c r="Q140" s="212">
        <f>IF(OR($C$23&lt;=60,AND($C$25&lt;=1,$C$23&gt;60,$C$23&lt;90)),$Q$129,"N.A.")</f>
        <v>2.53</v>
      </c>
      <c r="R140" s="212">
        <f>IF(OR($C$23&lt;=60,AND($C$25&lt;=1,$C$23&gt;60,$C$23&lt;90)),$R$129,"N.A.")</f>
        <v>1.31</v>
      </c>
      <c r="S140" s="212">
        <f>IF(OR($C$23&lt;=60,AND($C$25&lt;=1,$C$23&gt;60,$C$23&lt;90)),$S$129,"N.A.")</f>
        <v>1.99</v>
      </c>
      <c r="T140" s="212">
        <f>IF(OR($C$23&lt;=60,AND($C$25&lt;=1,$C$23&gt;60,$C$23&lt;90)),$T$129,"N.A.")</f>
        <v>2.85</v>
      </c>
    </row>
    <row r="141" spans="12:20" ht="12.75">
      <c r="L141" s="111"/>
      <c r="M141" s="224" t="s">
        <v>103</v>
      </c>
      <c r="N141" s="212">
        <f>$C$22</f>
        <v>2.3855627204159573</v>
      </c>
      <c r="O141" s="222" t="str">
        <f>IF(AND($C$25&gt;1,$C$23&gt;60,$C$23&lt;90),$O$133,"N.A.")</f>
        <v>N.A.</v>
      </c>
      <c r="P141" s="222" t="str">
        <f>IF(AND($C$25&gt;1,$C$23&gt;60,$C$23&lt;90),$P$133,"N.A.")</f>
        <v>N.A.</v>
      </c>
      <c r="Q141" s="222" t="str">
        <f>IF(AND($C$25&gt;1,$C$23&gt;60,$C$23&lt;90),$Q$133,"N.A.")</f>
        <v>N.A.</v>
      </c>
      <c r="R141" s="222" t="str">
        <f>IF(AND($C$25&gt;1,$C$23&gt;60,$C$23&lt;90),$R$133,"N.A.")</f>
        <v>N.A.</v>
      </c>
      <c r="S141" s="222" t="str">
        <f>IF(AND($C$25&gt;1,$C$23&gt;60,$C$23&lt;90),$S$133,"N.A.")</f>
        <v>N.A.</v>
      </c>
      <c r="T141" s="222" t="str">
        <f>IF(AND($C$25&gt;1,$C$23&gt;60,$C$23&lt;90),$T$133,"N.A.")</f>
        <v>N.A.</v>
      </c>
    </row>
    <row r="142" spans="12:20" ht="12.75">
      <c r="L142" s="111"/>
      <c r="M142" s="224" t="s">
        <v>104</v>
      </c>
      <c r="N142" s="212">
        <f>$C$22</f>
        <v>2.3855627204159573</v>
      </c>
      <c r="O142" s="222" t="str">
        <f>IF($C$23&gt;=90,$O$137,"N.A.")</f>
        <v>N.A.</v>
      </c>
      <c r="P142" s="222" t="str">
        <f>IF($C$23&gt;=90,$P$137,"N.A.")</f>
        <v>N.A.</v>
      </c>
      <c r="Q142" s="222" t="str">
        <f>IF($C$23&gt;=90,$Q$137,"N.A.")</f>
        <v>N.A.</v>
      </c>
      <c r="R142" s="222" t="str">
        <f>IF($C$23&gt;=90,$R$137,"N.A.")</f>
        <v>N.A.</v>
      </c>
      <c r="S142" s="222" t="str">
        <f>IF($C$23&gt;=90,$S$137,"N.A.")</f>
        <v>N.A.</v>
      </c>
      <c r="T142" s="222" t="str">
        <f>IF($C$23&gt;=90,$T$137,"N.A.")</f>
        <v>N.A.</v>
      </c>
    </row>
    <row r="143" spans="12:20" ht="12.75">
      <c r="L143" s="111"/>
      <c r="M143" s="149" t="s">
        <v>14</v>
      </c>
      <c r="N143" s="94"/>
      <c r="O143" s="103" t="s">
        <v>34</v>
      </c>
      <c r="P143" s="103" t="s">
        <v>35</v>
      </c>
      <c r="Q143" s="203" t="s">
        <v>36</v>
      </c>
      <c r="R143" s="103" t="s">
        <v>34</v>
      </c>
      <c r="S143" s="103" t="s">
        <v>35</v>
      </c>
      <c r="T143" s="203" t="s">
        <v>36</v>
      </c>
    </row>
    <row r="144" spans="12:20" ht="12.75">
      <c r="L144" s="111"/>
      <c r="M144" s="33"/>
      <c r="N144" s="95"/>
      <c r="O144" s="223">
        <f>IF($C$10="Enclosed",MAX($O$140:$O$142),"N.A.")</f>
        <v>1</v>
      </c>
      <c r="P144" s="223">
        <f>IF($C$10="Enclosed",MAX($P$140:$P$142),"N.A.")</f>
        <v>1.68</v>
      </c>
      <c r="Q144" s="223">
        <f>IF($C$10="Enclosed",MAX($Q$140:$Q$142),"N.A.")</f>
        <v>2.53</v>
      </c>
      <c r="R144" s="223" t="str">
        <f>IF($C$10="Part. Encl.",MAX($R$140:$R$142),"N.A.")</f>
        <v>N.A.</v>
      </c>
      <c r="S144" s="223" t="str">
        <f>IF($C$10="Part. Encl.",MAX($S$140:$S$142),"N.A.")</f>
        <v>N.A.</v>
      </c>
      <c r="T144" s="223" t="str">
        <f>IF($C$10="Part. Encl.",MAX($T$140:$T$142),"N.A.")</f>
        <v>N.A.</v>
      </c>
    </row>
    <row r="145" ht="12.75"/>
    <row r="146" ht="12.75"/>
    <row r="147" ht="12.75"/>
    <row r="148" spans="13:16" ht="12.75">
      <c r="M148" s="234" t="s">
        <v>80</v>
      </c>
      <c r="N148" s="235"/>
      <c r="O148" s="235"/>
      <c r="P148" s="236"/>
    </row>
    <row r="149" spans="13:16" ht="12.75">
      <c r="M149" s="237" t="s">
        <v>125</v>
      </c>
      <c r="N149" s="238"/>
      <c r="O149" s="238"/>
      <c r="P149" s="239"/>
    </row>
    <row r="150" spans="13:16" ht="12.75">
      <c r="M150" s="243" t="s">
        <v>15</v>
      </c>
      <c r="N150" s="240" t="s">
        <v>16</v>
      </c>
      <c r="O150" s="227"/>
      <c r="P150" s="228"/>
    </row>
    <row r="151" spans="13:16" ht="12.75">
      <c r="M151" s="244" t="s">
        <v>126</v>
      </c>
      <c r="N151" s="241" t="s">
        <v>15</v>
      </c>
      <c r="O151" s="242" t="s">
        <v>17</v>
      </c>
      <c r="P151" s="242" t="s">
        <v>18</v>
      </c>
    </row>
    <row r="152" spans="13:16" ht="12.75">
      <c r="M152" s="245">
        <v>0</v>
      </c>
      <c r="N152" s="246">
        <v>60</v>
      </c>
      <c r="O152" s="247">
        <v>75</v>
      </c>
      <c r="P152" s="248">
        <v>105</v>
      </c>
    </row>
    <row r="153" spans="13:16" ht="12.75">
      <c r="M153" s="249">
        <v>15</v>
      </c>
      <c r="N153" s="250">
        <v>60</v>
      </c>
      <c r="O153" s="251">
        <v>75</v>
      </c>
      <c r="P153" s="252">
        <v>105</v>
      </c>
    </row>
    <row r="154" spans="13:16" ht="12.75">
      <c r="M154" s="249">
        <v>15.01</v>
      </c>
      <c r="N154" s="250">
        <v>60</v>
      </c>
      <c r="O154" s="251">
        <v>75</v>
      </c>
      <c r="P154" s="252">
        <v>105</v>
      </c>
    </row>
    <row r="155" spans="13:16" ht="12.75">
      <c r="M155" s="249">
        <v>20</v>
      </c>
      <c r="N155" s="250">
        <v>60</v>
      </c>
      <c r="O155" s="251">
        <v>75</v>
      </c>
      <c r="P155" s="252">
        <v>105</v>
      </c>
    </row>
    <row r="156" spans="13:16" ht="12.75">
      <c r="M156" s="249">
        <v>20.01</v>
      </c>
      <c r="N156" s="250">
        <v>60</v>
      </c>
      <c r="O156" s="251">
        <v>90</v>
      </c>
      <c r="P156" s="252">
        <v>120</v>
      </c>
    </row>
    <row r="157" spans="13:16" ht="12.75">
      <c r="M157" s="249">
        <v>25</v>
      </c>
      <c r="N157" s="250">
        <v>60</v>
      </c>
      <c r="O157" s="251">
        <v>90</v>
      </c>
      <c r="P157" s="252">
        <v>120</v>
      </c>
    </row>
    <row r="158" spans="13:16" ht="12.75">
      <c r="M158" s="249">
        <v>25.01</v>
      </c>
      <c r="N158" s="250">
        <v>60</v>
      </c>
      <c r="O158" s="251">
        <v>105</v>
      </c>
      <c r="P158" s="252">
        <v>150</v>
      </c>
    </row>
    <row r="159" spans="13:16" ht="12.75">
      <c r="M159" s="249">
        <v>30</v>
      </c>
      <c r="N159" s="250">
        <v>60</v>
      </c>
      <c r="O159" s="251">
        <v>105</v>
      </c>
      <c r="P159" s="252">
        <v>150</v>
      </c>
    </row>
    <row r="160" spans="13:16" ht="12.75">
      <c r="M160" s="249">
        <v>30.01</v>
      </c>
      <c r="N160" s="250">
        <v>75</v>
      </c>
      <c r="O160" s="251">
        <v>120</v>
      </c>
      <c r="P160" s="252">
        <v>180</v>
      </c>
    </row>
    <row r="161" spans="13:16" ht="12.75">
      <c r="M161" s="249">
        <v>37.5</v>
      </c>
      <c r="N161" s="250">
        <v>75</v>
      </c>
      <c r="O161" s="251">
        <v>120</v>
      </c>
      <c r="P161" s="252">
        <v>180</v>
      </c>
    </row>
    <row r="162" spans="13:16" ht="12.75">
      <c r="M162" s="249">
        <v>37.51</v>
      </c>
      <c r="N162" s="250">
        <v>90</v>
      </c>
      <c r="O162" s="251">
        <v>150</v>
      </c>
      <c r="P162" s="252">
        <v>225</v>
      </c>
    </row>
    <row r="163" spans="13:16" ht="12.75">
      <c r="M163" s="249">
        <v>45</v>
      </c>
      <c r="N163" s="250">
        <v>90</v>
      </c>
      <c r="O163" s="251">
        <v>150</v>
      </c>
      <c r="P163" s="252">
        <v>225</v>
      </c>
    </row>
    <row r="164" spans="13:16" ht="12.75">
      <c r="M164" s="249">
        <v>45.01</v>
      </c>
      <c r="N164" s="250">
        <v>105</v>
      </c>
      <c r="O164" s="251">
        <v>180</v>
      </c>
      <c r="P164" s="252">
        <v>270</v>
      </c>
    </row>
    <row r="165" spans="13:16" ht="12.75">
      <c r="M165" s="249">
        <v>52.5</v>
      </c>
      <c r="N165" s="250">
        <v>105</v>
      </c>
      <c r="O165" s="251">
        <v>180</v>
      </c>
      <c r="P165" s="252">
        <v>270</v>
      </c>
    </row>
    <row r="166" spans="13:16" ht="12.75">
      <c r="M166" s="249">
        <v>52.51</v>
      </c>
      <c r="N166" s="250">
        <v>120</v>
      </c>
      <c r="O166" s="251">
        <v>195</v>
      </c>
      <c r="P166" s="252">
        <v>300</v>
      </c>
    </row>
    <row r="167" spans="13:16" ht="12.75">
      <c r="M167" s="249">
        <v>60</v>
      </c>
      <c r="N167" s="250">
        <v>120</v>
      </c>
      <c r="O167" s="251">
        <v>195</v>
      </c>
      <c r="P167" s="252">
        <v>300</v>
      </c>
    </row>
    <row r="168" spans="13:16" ht="12.75">
      <c r="M168" s="249">
        <v>60.01</v>
      </c>
      <c r="N168" s="253">
        <v>135</v>
      </c>
      <c r="O168" s="251">
        <v>225</v>
      </c>
      <c r="P168" s="252">
        <v>330</v>
      </c>
    </row>
    <row r="169" spans="13:16" ht="12.75">
      <c r="M169" s="249">
        <v>67.5</v>
      </c>
      <c r="N169" s="253">
        <v>135</v>
      </c>
      <c r="O169" s="251">
        <v>225</v>
      </c>
      <c r="P169" s="252">
        <v>330</v>
      </c>
    </row>
    <row r="170" spans="13:16" ht="12.75">
      <c r="M170" s="249">
        <v>67.51</v>
      </c>
      <c r="N170" s="253">
        <v>150</v>
      </c>
      <c r="O170" s="251">
        <v>255</v>
      </c>
      <c r="P170" s="252">
        <v>360</v>
      </c>
    </row>
    <row r="171" spans="13:16" ht="12.75">
      <c r="M171" s="249">
        <v>75</v>
      </c>
      <c r="N171" s="253">
        <v>150</v>
      </c>
      <c r="O171" s="251">
        <v>255</v>
      </c>
      <c r="P171" s="252">
        <v>360</v>
      </c>
    </row>
    <row r="172" spans="13:16" ht="12.75">
      <c r="M172" s="249">
        <v>75.01</v>
      </c>
      <c r="N172" s="253">
        <v>165</v>
      </c>
      <c r="O172" s="251">
        <v>270</v>
      </c>
      <c r="P172" s="252">
        <v>405</v>
      </c>
    </row>
    <row r="173" spans="13:16" ht="12.75">
      <c r="M173" s="249">
        <v>82.5</v>
      </c>
      <c r="N173" s="253">
        <v>165</v>
      </c>
      <c r="O173" s="251">
        <v>270</v>
      </c>
      <c r="P173" s="252">
        <v>405</v>
      </c>
    </row>
    <row r="174" spans="13:16" ht="12.75">
      <c r="M174" s="249">
        <v>82.51</v>
      </c>
      <c r="N174" s="253">
        <v>180</v>
      </c>
      <c r="O174" s="251">
        <v>300</v>
      </c>
      <c r="P174" s="252">
        <v>435</v>
      </c>
    </row>
    <row r="175" spans="13:16" ht="12.75">
      <c r="M175" s="249">
        <v>90</v>
      </c>
      <c r="N175" s="253">
        <v>180</v>
      </c>
      <c r="O175" s="251">
        <v>300</v>
      </c>
      <c r="P175" s="252">
        <v>435</v>
      </c>
    </row>
    <row r="176" spans="13:16" ht="12.75">
      <c r="M176" s="249">
        <v>90.01</v>
      </c>
      <c r="N176" s="253">
        <v>195</v>
      </c>
      <c r="O176" s="251">
        <v>315</v>
      </c>
      <c r="P176" s="252">
        <v>480</v>
      </c>
    </row>
    <row r="177" spans="13:16" ht="12.75">
      <c r="M177" s="249">
        <v>97.5</v>
      </c>
      <c r="N177" s="253">
        <v>195</v>
      </c>
      <c r="O177" s="251">
        <v>315</v>
      </c>
      <c r="P177" s="252">
        <v>480</v>
      </c>
    </row>
    <row r="178" spans="13:16" ht="12.75">
      <c r="M178" s="249">
        <v>97.51</v>
      </c>
      <c r="N178" s="253">
        <v>210</v>
      </c>
      <c r="O178" s="251">
        <v>345</v>
      </c>
      <c r="P178" s="252">
        <v>510</v>
      </c>
    </row>
    <row r="179" spans="13:16" ht="12.75">
      <c r="M179" s="249">
        <v>105</v>
      </c>
      <c r="N179" s="253">
        <v>210</v>
      </c>
      <c r="O179" s="251">
        <v>345</v>
      </c>
      <c r="P179" s="252">
        <v>510</v>
      </c>
    </row>
    <row r="180" spans="13:16" ht="12.75">
      <c r="M180" s="249">
        <v>105.01</v>
      </c>
      <c r="N180" s="253">
        <v>225</v>
      </c>
      <c r="O180" s="251">
        <v>360</v>
      </c>
      <c r="P180" s="252">
        <v>540</v>
      </c>
    </row>
    <row r="181" spans="13:16" ht="12.75">
      <c r="M181" s="249">
        <v>112.5</v>
      </c>
      <c r="N181" s="253">
        <v>225</v>
      </c>
      <c r="O181" s="251">
        <v>360</v>
      </c>
      <c r="P181" s="252">
        <v>540</v>
      </c>
    </row>
    <row r="182" spans="13:16" ht="12.75">
      <c r="M182" s="249">
        <v>112.51</v>
      </c>
      <c r="N182" s="253">
        <v>240</v>
      </c>
      <c r="O182" s="251">
        <v>390</v>
      </c>
      <c r="P182" s="252">
        <v>585</v>
      </c>
    </row>
    <row r="183" spans="13:16" ht="12.75">
      <c r="M183" s="249">
        <v>120</v>
      </c>
      <c r="N183" s="253">
        <v>240</v>
      </c>
      <c r="O183" s="251">
        <v>390</v>
      </c>
      <c r="P183" s="252">
        <v>585</v>
      </c>
    </row>
    <row r="184" spans="13:16" ht="12.75">
      <c r="M184" s="249">
        <v>120.01</v>
      </c>
      <c r="N184" s="253">
        <v>255</v>
      </c>
      <c r="O184" s="251">
        <v>420</v>
      </c>
      <c r="P184" s="252">
        <v>615</v>
      </c>
    </row>
    <row r="185" spans="13:16" ht="12.75">
      <c r="M185" s="249">
        <v>127.5</v>
      </c>
      <c r="N185" s="253">
        <v>255</v>
      </c>
      <c r="O185" s="251">
        <v>420</v>
      </c>
      <c r="P185" s="252">
        <v>615</v>
      </c>
    </row>
    <row r="186" spans="13:16" ht="12.75">
      <c r="M186" s="249">
        <v>127.51</v>
      </c>
      <c r="N186" s="253">
        <v>270</v>
      </c>
      <c r="O186" s="251">
        <v>435</v>
      </c>
      <c r="P186" s="252">
        <v>660</v>
      </c>
    </row>
    <row r="187" spans="13:16" ht="12.75">
      <c r="M187" s="254">
        <v>135</v>
      </c>
      <c r="N187" s="255">
        <v>270</v>
      </c>
      <c r="O187" s="256">
        <v>435</v>
      </c>
      <c r="P187" s="257">
        <v>660</v>
      </c>
    </row>
    <row r="188" spans="13:16" ht="12.75">
      <c r="M188" s="229"/>
      <c r="N188" s="230"/>
      <c r="O188" s="230"/>
      <c r="P188" s="231"/>
    </row>
    <row r="189" spans="13:16" ht="12.75">
      <c r="M189" s="44" t="s">
        <v>14</v>
      </c>
      <c r="O189" s="230"/>
      <c r="P189" s="231"/>
    </row>
    <row r="190" spans="13:16" ht="12.75">
      <c r="M190" s="96" t="s">
        <v>121</v>
      </c>
      <c r="N190" s="98" t="str">
        <f>IF(AND($C$10="Enclosed",$C$22&lt;=7,$C$23&lt;=60),"1-"&amp;VLOOKUP($E$34,$M$152:$P$187,2),"N.A.")</f>
        <v>1-60</v>
      </c>
      <c r="O190" s="233" t="s">
        <v>122</v>
      </c>
      <c r="P190" s="231"/>
    </row>
    <row r="191" spans="13:16" ht="12.75">
      <c r="M191" s="96" t="s">
        <v>123</v>
      </c>
      <c r="N191" s="98" t="str">
        <f>IF(AND($C$10="Enclosed",$C$22&lt;=7,$C$23&lt;=60),"1-"&amp;VLOOKUP($E$34,$M$152:$P$187,3),"N.A.")</f>
        <v>1-105</v>
      </c>
      <c r="O191" s="233" t="s">
        <v>122</v>
      </c>
      <c r="P191" s="231"/>
    </row>
    <row r="192" spans="13:28" ht="12.75">
      <c r="M192" s="96" t="s">
        <v>124</v>
      </c>
      <c r="N192" s="98" t="str">
        <f>IF(AND($C$10="Enclosed",$C$22&lt;=7,$C$23&lt;=60),"1-"&amp;VLOOKUP($E$34,$M$152:$P$187,4),"N.A.")</f>
        <v>1-150</v>
      </c>
      <c r="O192" s="233" t="s">
        <v>122</v>
      </c>
      <c r="P192" s="231"/>
      <c r="AB192" s="262" t="s">
        <v>127</v>
      </c>
    </row>
    <row r="193" spans="13:16" ht="12.75">
      <c r="M193" s="229"/>
      <c r="N193" s="230"/>
      <c r="O193" s="230"/>
      <c r="P193" s="231"/>
    </row>
    <row r="194" spans="13:16" ht="12.75">
      <c r="M194" s="229"/>
      <c r="N194" s="230"/>
      <c r="O194" s="230"/>
      <c r="P194" s="231"/>
    </row>
  </sheetData>
  <sheetProtection sheet="1" objects="1" scenarios="1"/>
  <conditionalFormatting sqref="E45">
    <cfRule type="expression" priority="1" dxfId="0" stopIfTrue="1">
      <formula>AND($C$16="Gable",$C$22&lt;=7,$C$23&gt;60)</formula>
    </cfRule>
    <cfRule type="expression" priority="2" dxfId="0" stopIfTrue="1">
      <formula>AND($C$16="Gable",$C$22&gt;7,$C$23&lt;=60)</formula>
    </cfRule>
  </conditionalFormatting>
  <conditionalFormatting sqref="E37">
    <cfRule type="expression" priority="3" dxfId="0" stopIfTrue="1">
      <formula>AND($C$16="Gable",$C$22&gt;7)</formula>
    </cfRule>
  </conditionalFormatting>
  <dataValidations count="7">
    <dataValidation type="decimal" allowBlank="1" showInputMessage="1" showErrorMessage="1" error="'A' must be between 'A1' and 'A2'" sqref="C33">
      <formula1>MIN($C$9,$C$34)</formula1>
      <formula2>MAX($C$9,$C$34)</formula2>
    </dataValidation>
    <dataValidation type="list" allowBlank="1" showInputMessage="1" showErrorMessage="1" sqref="C10">
      <formula1>$L$3:$L$4</formula1>
    </dataValidation>
    <dataValidation type="list" allowBlank="1" showInputMessage="1" showErrorMessage="1" sqref="C11">
      <formula1>$L$5:$L$7</formula1>
    </dataValidation>
    <dataValidation type="list" allowBlank="1" showInputMessage="1" showErrorMessage="1" sqref="C16">
      <formula1>$L$8:$L$9</formula1>
    </dataValidation>
    <dataValidation type="list" allowBlank="1" showInputMessage="1" showErrorMessage="1" sqref="C9">
      <formula1>$N$16:$Y$16</formula1>
    </dataValidation>
    <dataValidation type="decimal" allowBlank="1" showInputMessage="1" showErrorMessage="1" error="'A' must be between 'A1' and 'A2'" sqref="C39">
      <formula1>MIN($C$38,#REF!)</formula1>
      <formula2>MAX($C$38,#REF!)</formula2>
    </dataValidation>
    <dataValidation type="decimal" operator="lessThanOrEqual" allowBlank="1" showInputMessage="1" showErrorMessage="1" errorTitle="he MUST BE &lt;= hr !" sqref="C13">
      <formula1>$C$12</formula1>
    </dataValidation>
  </dataValidations>
  <printOptions/>
  <pageMargins left="1" right="0.5" top="1" bottom="1" header="0.5" footer="0.5"/>
  <pageSetup horizontalDpi="600" verticalDpi="600" orientation="portrait" scale="94" r:id="rId4"/>
  <headerFooter alignWithMargins="0">
    <oddHeader>&amp;R"FMG128.xls" Program
Version 1.1</oddHeader>
    <oddFooter>&amp;C&amp;P of &amp;N&amp;R&amp;D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"FMG128" Program</dc:title>
  <dc:subject/>
  <dc:creator>Alex Tomanovich, P.E. - 151 Shadow Lane, Lyman SC 29365 - Home: 864-968-2699 - Email: ATomanovich@bellsouth.net</dc:creator>
  <cp:keywords/>
  <dc:description>Roof Wind Uplift Pressure Ratings per Factory Mutual Global (FMG) Data Sheet 1-28</dc:description>
  <cp:lastModifiedBy>Fluor</cp:lastModifiedBy>
  <cp:lastPrinted>2014-03-27T12:02:19Z</cp:lastPrinted>
  <dcterms:created xsi:type="dcterms:W3CDTF">2010-05-11T12:40:42Z</dcterms:created>
  <dcterms:modified xsi:type="dcterms:W3CDTF">2014-03-27T12:02:27Z</dcterms:modified>
  <cp:category>Structural Engineering Analysis/Design</cp:category>
  <cp:version/>
  <cp:contentType/>
  <cp:contentStatus/>
</cp:coreProperties>
</file>