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75" windowWidth="18885" windowHeight="8775" tabRatio="537" activeTab="0"/>
  </bookViews>
  <sheets>
    <sheet name="Doc" sheetId="1" r:id="rId1"/>
    <sheet name="Shapes" sheetId="2" r:id="rId2"/>
    <sheet name="Points" sheetId="3" r:id="rId3"/>
    <sheet name="Stress" sheetId="4" r:id="rId4"/>
  </sheets>
  <definedNames>
    <definedName name="desired_cell_to_view_the_contents_of_that_particular__comment_box_.">'Doc'!$A$59</definedName>
    <definedName name="_xlnm.Print_Area" localSheetId="0">'Doc'!$A$1:$J$104</definedName>
    <definedName name="_xlnm.Print_Area" localSheetId="2">'Points'!$A$1:$I$50</definedName>
    <definedName name="_xlnm.Print_Area" localSheetId="1">'Shapes'!$A$1:$I$55</definedName>
    <definedName name="_xlnm.Print_Area" localSheetId="3">'Stress'!$A$1:$I$52</definedName>
  </definedNames>
  <calcPr fullCalcOnLoad="1"/>
</workbook>
</file>

<file path=xl/comments2.xml><?xml version="1.0" encoding="utf-8"?>
<comments xmlns="http://schemas.openxmlformats.org/spreadsheetml/2006/main">
  <authors>
    <author>4892</author>
    <author>ATOMANOV</author>
    <author>Bob Dalpiaz</author>
  </authors>
  <commentList>
    <comment ref="B47" authorId="0">
      <text>
        <r>
          <rPr>
            <sz val="8"/>
            <rFont val="Tahoma"/>
            <family val="2"/>
          </rPr>
          <t xml:space="preserve">The location of the centroidal Y-axis of the total section from the origin Y-axis is calculated as follows:
   Xc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(As*xc)/As
where:
   As = Area of each respective section or shape
   xc = X-distance from origin Y-axis to centroid
           of each respective section or shape</t>
        </r>
      </text>
    </comment>
    <comment ref="A14" authorId="1">
      <text>
        <r>
          <rPr>
            <sz val="8"/>
            <rFont val="Tahoma"/>
            <family val="2"/>
          </rPr>
          <t>A = Cross-sectional area of known shape.</t>
        </r>
      </text>
    </comment>
    <comment ref="A15" authorId="1">
      <text>
        <r>
          <rPr>
            <sz val="8"/>
            <rFont val="Tahoma"/>
            <family val="2"/>
          </rPr>
          <t>Ix = X-axis moment of inertia of known shape.</t>
        </r>
      </text>
    </comment>
    <comment ref="A17" authorId="1">
      <text>
        <r>
          <rPr>
            <sz val="8"/>
            <rFont val="Tahoma"/>
            <family val="2"/>
          </rPr>
          <t>xc = X-distance from origin Y-axis to centroid of known shape.</t>
        </r>
      </text>
    </comment>
    <comment ref="A16" authorId="1">
      <text>
        <r>
          <rPr>
            <sz val="8"/>
            <rFont val="Tahoma"/>
            <family val="2"/>
          </rPr>
          <t>Iy = Y-axis moment of inertia of known shape.</t>
        </r>
      </text>
    </comment>
    <comment ref="A18" authorId="1">
      <text>
        <r>
          <rPr>
            <sz val="8"/>
            <rFont val="Tahoma"/>
            <family val="2"/>
          </rPr>
          <t>yc = Y-distance from origin X-axis to centroid of known shape.
Note: Origin X-axis MUST BE located at lowest point of total section.  Thus, yc MUST BE &gt; 0 !</t>
        </r>
      </text>
    </comment>
    <comment ref="A19" authorId="1">
      <text>
        <r>
          <rPr>
            <sz val="8"/>
            <rFont val="Tahoma"/>
            <family val="2"/>
          </rPr>
          <t xml:space="preserve">Do you want to add (include) this known shape to the total section?  Input 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2"/>
          </rPr>
          <t xml:space="preserve"> (for yes, to add) or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(for no, to subtract).</t>
        </r>
      </text>
    </comment>
    <comment ref="A25" authorId="1">
      <text>
        <r>
          <rPr>
            <sz val="8"/>
            <rFont val="Tahoma"/>
            <family val="2"/>
          </rPr>
          <t>xc = X-distance from origin Y-axis to centroid of rectangle.</t>
        </r>
      </text>
    </comment>
    <comment ref="A23" authorId="1">
      <text>
        <r>
          <rPr>
            <sz val="8"/>
            <rFont val="Tahoma"/>
            <family val="2"/>
          </rPr>
          <t>Lx = Length of rectangle parallel to the origin
        X-axis.</t>
        </r>
      </text>
    </comment>
    <comment ref="A24" authorId="1">
      <text>
        <r>
          <rPr>
            <sz val="8"/>
            <rFont val="Tahoma"/>
            <family val="2"/>
          </rPr>
          <t>Ly = Length of rectangle parallel to the origin
        Y-axis.</t>
        </r>
      </text>
    </comment>
    <comment ref="C12" authorId="1">
      <text>
        <r>
          <rPr>
            <sz val="8"/>
            <rFont val="Tahoma"/>
            <family val="2"/>
          </rPr>
          <t>Number of shapes with known properties MUST BE &lt;= 8!</t>
        </r>
      </text>
    </comment>
    <comment ref="C21" authorId="1">
      <text>
        <r>
          <rPr>
            <sz val="8"/>
            <rFont val="Tahoma"/>
            <family val="2"/>
          </rPr>
          <t>Number of rectangles MUST BE &lt;= 8!</t>
        </r>
      </text>
    </comment>
    <comment ref="C29" authorId="1">
      <text>
        <r>
          <rPr>
            <sz val="8"/>
            <rFont val="Tahoma"/>
            <family val="2"/>
          </rPr>
          <t>Number of circles MUST BE &lt;= 4!</t>
        </r>
      </text>
    </comment>
    <comment ref="C36" authorId="1">
      <text>
        <r>
          <rPr>
            <sz val="8"/>
            <rFont val="Tahoma"/>
            <family val="2"/>
          </rPr>
          <t>Number of cylinders MUST BE &lt;= 4!</t>
        </r>
      </text>
    </comment>
    <comment ref="A31" authorId="1">
      <text>
        <r>
          <rPr>
            <sz val="8"/>
            <rFont val="Tahoma"/>
            <family val="2"/>
          </rPr>
          <t>D = Diameter of circle.</t>
        </r>
      </text>
    </comment>
    <comment ref="A32" authorId="1">
      <text>
        <r>
          <rPr>
            <sz val="8"/>
            <rFont val="Tahoma"/>
            <family val="2"/>
          </rPr>
          <t>xc = X-distance from origin Y-axis to centroid of circle.</t>
        </r>
      </text>
    </comment>
    <comment ref="A40" authorId="1">
      <text>
        <r>
          <rPr>
            <sz val="8"/>
            <rFont val="Tahoma"/>
            <family val="2"/>
          </rPr>
          <t>xc = X-distance from origin Y-axis to centroid of cylinder.</t>
        </r>
      </text>
    </comment>
    <comment ref="A38" authorId="1">
      <text>
        <r>
          <rPr>
            <sz val="8"/>
            <rFont val="Tahoma"/>
            <family val="2"/>
          </rPr>
          <t>D = Outside Diameter of cylinder.</t>
        </r>
      </text>
    </comment>
    <comment ref="A39" authorId="1">
      <text>
        <r>
          <rPr>
            <sz val="8"/>
            <rFont val="Tahoma"/>
            <family val="2"/>
          </rPr>
          <t>D = Inside Diameter of cylinder.</t>
        </r>
      </text>
    </comment>
    <comment ref="B50" authorId="0">
      <text>
        <r>
          <rPr>
            <sz val="8"/>
            <rFont val="Tahoma"/>
            <family val="2"/>
          </rPr>
          <t xml:space="preserve">The location of the centroidal X-axis of the total section from the origin X-axis is calculated as follows:
   Yc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(As*yc)/As
where:
   As = Area of each respective section or shape
   yc = Y-distance from origin X-axis to centroid
           of each respective section or shape</t>
        </r>
      </text>
    </comment>
    <comment ref="B51" authorId="0">
      <text>
        <r>
          <rPr>
            <sz val="8"/>
            <rFont val="Tahoma"/>
            <family val="2"/>
          </rPr>
          <t xml:space="preserve">The total cross-sectional area is calculated as follows:
   A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(As)
where:
   As = Area of each respective section or shape
   </t>
        </r>
      </text>
    </comment>
    <comment ref="E46" authorId="0">
      <text>
        <r>
          <rPr>
            <sz val="8"/>
            <rFont val="Tahoma"/>
            <family val="2"/>
          </rPr>
          <t xml:space="preserve">The moment of inertia about the centroidal X-axis
for the total section is calculated as follows:
   Ix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(Ixo)-A*Yc^2
where:
   Ixo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(Ixs+As*yc^2)
   As = Area of each respective section or shape 
   yc = Y-distance from origin X-axis to centroid
           of each respective section or shape</t>
        </r>
      </text>
    </comment>
    <comment ref="E49" authorId="0">
      <text>
        <r>
          <rPr>
            <sz val="8"/>
            <rFont val="Tahoma"/>
            <family val="2"/>
          </rPr>
          <t xml:space="preserve">The moment of inertia about the centroidal Y-axis
for the total section is calculated as follows:
   Iy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(Iyo)-A*Xc^2
where:
   Iyo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(Iys+As*xc^2)
   As = Area of each respective section or shape 
   xc = X-distance from origin Y-axis to centroid
           of each respective section or shape</t>
        </r>
      </text>
    </comment>
    <comment ref="E52" authorId="0">
      <text>
        <r>
          <rPr>
            <sz val="8"/>
            <rFont val="Tahoma"/>
            <family val="2"/>
          </rPr>
          <t xml:space="preserve">The cross-product moment of inertia for the total section is calculated as follows:
   Ixy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(Ixyo)-A*Xc*Yc
where:
   Ixyo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(As*xc*yc)
   As = Area of each respective section or shape 
   xc = X-distance from origin Y-axis to centroid
           of each respective section or shape
   yc = Y-distance from origin X-axis to centroid
           of each respective section or shape</t>
        </r>
      </text>
    </comment>
    <comment ref="E53" authorId="0">
      <text>
        <r>
          <rPr>
            <sz val="8"/>
            <rFont val="Tahoma"/>
            <family val="2"/>
          </rPr>
          <t xml:space="preserve">The radius of gyration about the centroidal X-axis
for the total section is calculated as follows:
   rx = (Ix/A)^(1/2)
</t>
        </r>
      </text>
    </comment>
    <comment ref="E54" authorId="0">
      <text>
        <r>
          <rPr>
            <sz val="8"/>
            <rFont val="Tahoma"/>
            <family val="2"/>
          </rPr>
          <t xml:space="preserve">The radius of gyration about the centroidal Y-axis
for the total section is calculated as follows:
   ry = (Iy/A)^(1/2)
</t>
        </r>
      </text>
    </comment>
    <comment ref="H49" authorId="0">
      <text>
        <r>
          <rPr>
            <sz val="8"/>
            <rFont val="Tahoma"/>
            <family val="2"/>
          </rPr>
          <t xml:space="preserve">The radius of gyration about the principal X-axis
for the total section is calculated as follows:
   rx' = (Ix'/A)^(1/2)
</t>
        </r>
      </text>
    </comment>
    <comment ref="H50" authorId="0">
      <text>
        <r>
          <rPr>
            <sz val="8"/>
            <rFont val="Tahoma"/>
            <family val="2"/>
          </rPr>
          <t xml:space="preserve">The radius of gyration about the principal Y-axis
for the total section is calculated as follows:
   ry' = (Iy'/A)^(1/2)
</t>
        </r>
      </text>
    </comment>
    <comment ref="H47" authorId="0">
      <text>
        <r>
          <rPr>
            <sz val="8"/>
            <rFont val="Tahoma"/>
            <family val="2"/>
          </rPr>
          <t>The moment of inertia about the principal Y-axis
for the total section is calculated as follows:
   Iy' = Iy*COS(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+ Ix*SIN(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+ Ixy*SIN(2*</t>
        </r>
        <r>
          <rPr>
            <sz val="8"/>
            <rFont val="Symbol"/>
            <family val="1"/>
          </rPr>
          <t>q)</t>
        </r>
        <r>
          <rPr>
            <sz val="8"/>
            <rFont val="Tahoma"/>
            <family val="2"/>
          </rPr>
          <t xml:space="preserve">
where: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  =  Rotation angle to the principal axes from the
            centroidal axes and is positive (+) ccw.
            '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' = 0  for a section with at least one axis of symmetry.</t>
        </r>
      </text>
    </comment>
    <comment ref="H46" authorId="0">
      <text>
        <r>
          <rPr>
            <sz val="8"/>
            <rFont val="Tahoma"/>
            <family val="2"/>
          </rPr>
          <t>The moment of inertia about the principal X-axis
for the total section is calculated as follows:
   Ix' = Ix*COS(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+ Iy*SIN(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)^2 - Ixy*SIN(2*</t>
        </r>
        <r>
          <rPr>
            <sz val="8"/>
            <rFont val="Symbol"/>
            <family val="1"/>
          </rPr>
          <t>q)</t>
        </r>
        <r>
          <rPr>
            <sz val="8"/>
            <rFont val="Tahoma"/>
            <family val="2"/>
          </rPr>
          <t xml:space="preserve">
where: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  =  Rotation angle to the principal axes from the
            centroidal axes and is positive (+) ccw.
            '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' = 0  for a section with at least one axis of symmetry.
 </t>
        </r>
      </text>
    </comment>
    <comment ref="H48" authorId="0">
      <text>
        <r>
          <rPr>
            <sz val="8"/>
            <rFont val="Tahoma"/>
            <family val="2"/>
          </rPr>
          <t>The cross-product moment of inertia for the total section is calculated as follows:
   Ixy' = (Ix-Iy)/2*SIN(2*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 + Ixy*COS(2*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)
where: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  =  Rotation angle to the principal axes from the
            centroidal axes and is positive (+) ccw.
            '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' = 0  for a section with at least one axis of symmetry.</t>
        </r>
      </text>
    </comment>
    <comment ref="H51" authorId="0">
      <text>
        <r>
          <rPr>
            <sz val="8"/>
            <rFont val="Tahoma"/>
            <family val="2"/>
          </rPr>
          <t>The orientation of the principal axes, is defined by the rotation angle, '</t>
        </r>
        <r>
          <rPr>
            <sz val="8"/>
            <rFont val="Symbol"/>
            <family val="1"/>
          </rPr>
          <t xml:space="preserve">q </t>
        </r>
        <r>
          <rPr>
            <sz val="8"/>
            <rFont val="Tahoma"/>
            <family val="2"/>
          </rPr>
          <t xml:space="preserve">', from the centroidal axes and is calculated as follows: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= (ATAN(-2*Ixy/(Ix-Iy)))/2
Note: sign convention is positive (+) ccw.
           '</t>
        </r>
        <r>
          <rPr>
            <sz val="8"/>
            <rFont val="Symbol"/>
            <family val="1"/>
          </rPr>
          <t xml:space="preserve">q </t>
        </r>
        <r>
          <rPr>
            <sz val="8"/>
            <rFont val="Tahoma"/>
            <family val="2"/>
          </rPr>
          <t>' = 0  for a section with at least one axis of
          symmetry.</t>
        </r>
      </text>
    </comment>
    <comment ref="A13" authorId="1">
      <text>
        <r>
          <rPr>
            <b/>
            <sz val="8"/>
            <rFont val="Tahoma"/>
            <family val="2"/>
          </rPr>
          <t>Note: The user should make sure to either clear the contents of all cells that are not used for input data, or those cell values should be input = 0.</t>
        </r>
      </text>
    </comment>
    <comment ref="A22" authorId="1">
      <text>
        <r>
          <rPr>
            <b/>
            <sz val="8"/>
            <rFont val="Tahoma"/>
            <family val="2"/>
          </rPr>
          <t>Note: The user should make sure to either clear the contents of all cells that are not used for input data, or those cell values should be input = 0.</t>
        </r>
      </text>
    </comment>
    <comment ref="A30" authorId="1">
      <text>
        <r>
          <rPr>
            <b/>
            <sz val="8"/>
            <rFont val="Tahoma"/>
            <family val="2"/>
          </rPr>
          <t>Note: The user should make sure to either clear the contents of all cells that are not used for input data, or those cell values should be input = 0.</t>
        </r>
      </text>
    </comment>
    <comment ref="A37" authorId="1">
      <text>
        <r>
          <rPr>
            <b/>
            <sz val="8"/>
            <rFont val="Tahoma"/>
            <family val="2"/>
          </rPr>
          <t>Note: The user should make sure to either clear the contents of all cells that are not used for input data, or those cell values should be input = 0.</t>
        </r>
      </text>
    </comment>
    <comment ref="A27" authorId="1">
      <text>
        <r>
          <rPr>
            <sz val="8"/>
            <rFont val="Tahoma"/>
            <family val="2"/>
          </rPr>
          <t xml:space="preserve">Do you want to add (include) this rectangle to the total section?  Input 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2"/>
          </rPr>
          <t xml:space="preserve"> (for yes, to add) or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(for no, to subtract).</t>
        </r>
      </text>
    </comment>
    <comment ref="A34" authorId="1">
      <text>
        <r>
          <rPr>
            <sz val="8"/>
            <rFont val="Tahoma"/>
            <family val="2"/>
          </rPr>
          <t xml:space="preserve">Do you want to add (include) this circle to the total section?  Input 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2"/>
          </rPr>
          <t xml:space="preserve"> (for yes, to add) or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(for no, to subtract).</t>
        </r>
      </text>
    </comment>
    <comment ref="A42" authorId="1">
      <text>
        <r>
          <rPr>
            <sz val="8"/>
            <rFont val="Tahoma"/>
            <family val="2"/>
          </rPr>
          <t xml:space="preserve">Do you want to add (include) this cylinder to the total section?  Input 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2"/>
          </rPr>
          <t xml:space="preserve"> (for yes, to add) or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(for no, to subtract).</t>
        </r>
      </text>
    </comment>
    <comment ref="A26" authorId="1">
      <text>
        <r>
          <rPr>
            <sz val="8"/>
            <rFont val="Tahoma"/>
            <family val="2"/>
          </rPr>
          <t>yc = Y-distance from origin X-axis to centroid of rectangle.
Note: Origin X-axis MUST BE located at lowest point of total section.  Thus, yc MUST BE &gt; 0 !</t>
        </r>
      </text>
    </comment>
    <comment ref="A33" authorId="1">
      <text>
        <r>
          <rPr>
            <sz val="8"/>
            <rFont val="Tahoma"/>
            <family val="2"/>
          </rPr>
          <t>yc = Y-distance from origin X-axis to centroid of circle.
Note: Origin X-axis MUST BE located at lowest point of total section.  Thus, yc MUST BE &gt; 0 !</t>
        </r>
      </text>
    </comment>
    <comment ref="A41" authorId="1">
      <text>
        <r>
          <rPr>
            <sz val="8"/>
            <rFont val="Tahoma"/>
            <family val="2"/>
          </rPr>
          <t>yc = Y-distance from origin X-axis to centroid of cylinder.
Note: Origin X-axis MUST BE located at lowest point of total section.  Thus, yc MUST BE &gt; 0 !</t>
        </r>
      </text>
    </comment>
    <comment ref="E47" authorId="0">
      <text>
        <r>
          <rPr>
            <sz val="8"/>
            <rFont val="Tahoma"/>
            <family val="2"/>
          </rPr>
          <t>The section modulus about the centroidal X-axis
refereced to the top (upper most point) in the total section is calculated as follows:
   Sx(top) = Ix/(Yt-Yc(bot))</t>
        </r>
      </text>
    </comment>
    <comment ref="E48" authorId="0">
      <text>
        <r>
          <rPr>
            <sz val="8"/>
            <rFont val="Tahoma"/>
            <family val="2"/>
          </rPr>
          <t>The section modulus about the centroidal X-axis
refereced to the bottom (lowest point) in the total section is calculated as follows:
   Sx(bot) = Ix/Yc(bot)</t>
        </r>
      </text>
    </comment>
    <comment ref="B49" authorId="0">
      <text>
        <r>
          <rPr>
            <sz val="8"/>
            <rFont val="Tahoma"/>
            <family val="2"/>
          </rPr>
          <t>The location of the centroidal X-axis of the total section from the upper most (top) point of the total section is calculated as follows:
   Yc(top) = Yt-Yc(bot)</t>
        </r>
      </text>
    </comment>
    <comment ref="C9" authorId="1">
      <text>
        <r>
          <rPr>
            <sz val="8"/>
            <rFont val="Tahoma"/>
            <family val="2"/>
          </rPr>
          <t>The Overall Height, 'Yt', is measured from the lowest (bottom) point up to the upper most (top) point of the total section.
Note: Origin X-axis MUST BE located at lowest point of total section.</t>
        </r>
      </text>
    </comment>
    <comment ref="N65" authorId="1">
      <text>
        <r>
          <rPr>
            <sz val="8"/>
            <rFont val="Tahoma"/>
            <family val="2"/>
          </rPr>
          <t xml:space="preserve">An approximation of the Torsional Constant, 'J', is computed/displayed when the total section is made up of ONLY rectangles, and is calculated as follows:
  J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(Ji)
where for each rectangle:
  If Ly &gt;= Lx  then  Ji = Ly*Lx^3/3
  If Ly &lt;    Lx  then  Ji = Lx*Ly^3/3
Note: This calculation of 'J' is applicable only to "open"
          sections made up of "thin" rectangles and can be
          used to compute the angle of twist due to
          torsion.</t>
        </r>
      </text>
    </comment>
    <comment ref="B57" authorId="1">
      <text>
        <r>
          <rPr>
            <sz val="8"/>
            <rFont val="Tahoma"/>
            <family val="2"/>
          </rPr>
          <t xml:space="preserve">An approximation of the Torsional Constant, 'J', is computed/displayed when the total section is made up of ONLY rectangles, and is calculated as follows:
  J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(Ji)
where for each rectangle:
  If Ly &gt;= Lx  then  Ji = Ly*Lx^3/3
  If Ly &lt;    Lx  then  Ji = Lx*Ly^3/3
Note: This calculation of 'J' is applicable only to "open"
          sections made up of "thin" rectangles and can be
          used to compute the angle of twist due to
          torsion.</t>
        </r>
      </text>
    </comment>
    <comment ref="AA1" authorId="2">
      <text>
        <r>
          <rPr>
            <sz val="8"/>
            <rFont val="Tahoma"/>
            <family val="2"/>
          </rPr>
          <t xml:space="preserve">              "</t>
        </r>
        <r>
          <rPr>
            <b/>
            <sz val="8"/>
            <rFont val="Tahoma"/>
            <family val="2"/>
          </rPr>
          <t>SECTPROP.xls</t>
        </r>
        <r>
          <rPr>
            <sz val="8"/>
            <rFont val="Tahoma"/>
            <family val="2"/>
          </rPr>
          <t>"
written by:  Alex Tomanovich, P.E.</t>
        </r>
      </text>
    </comment>
    <comment ref="B48" authorId="0">
      <text>
        <r>
          <rPr>
            <sz val="8"/>
            <rFont val="Tahoma"/>
            <family val="2"/>
          </rPr>
          <t>The location of the centroidal Y-axis of the total section from the right most point of the total section is calculated as follows:
   Xc(right) = Xt-Xc(left)</t>
        </r>
      </text>
    </comment>
    <comment ref="C10" authorId="1">
      <text>
        <r>
          <rPr>
            <sz val="8"/>
            <rFont val="Tahoma"/>
            <family val="2"/>
          </rPr>
          <t>The Overall Width, Xt', is measured from the left most point to the right most point of the total section.
Note: Origin Y-axis MUST BE located at left most point of total section.</t>
        </r>
      </text>
    </comment>
    <comment ref="E51" authorId="0">
      <text>
        <r>
          <rPr>
            <sz val="8"/>
            <rFont val="Tahoma"/>
            <family val="2"/>
          </rPr>
          <t>The section modulus about the centroidal X-axis
refereced to the top (upper most point) in the total section is calculated as follows:
   Sy(right) = Iy/(Xt-Xc(left))</t>
        </r>
      </text>
    </comment>
    <comment ref="E50" authorId="0">
      <text>
        <r>
          <rPr>
            <sz val="8"/>
            <rFont val="Tahoma"/>
            <family val="2"/>
          </rPr>
          <t>The section modulus about the centroidal Y-axis
refereced to the left most point in the total section is calculated as follows:
   Sy(left) = Iy/Xc(left)</t>
        </r>
      </text>
    </comment>
  </commentList>
</comments>
</file>

<file path=xl/comments3.xml><?xml version="1.0" encoding="utf-8"?>
<comments xmlns="http://schemas.openxmlformats.org/spreadsheetml/2006/main">
  <authors>
    <author>Bob Dalpiaz</author>
    <author>ATOMANOV</author>
    <author>4892</author>
    <author>O'Neal User</author>
  </authors>
  <commentList>
    <comment ref="AA1" authorId="0">
      <text>
        <r>
          <rPr>
            <sz val="8"/>
            <rFont val="Tahoma"/>
            <family val="2"/>
          </rPr>
          <t xml:space="preserve">              "</t>
        </r>
        <r>
          <rPr>
            <b/>
            <sz val="8"/>
            <rFont val="Tahoma"/>
            <family val="2"/>
          </rPr>
          <t>SECTPROP.xls</t>
        </r>
        <r>
          <rPr>
            <sz val="8"/>
            <rFont val="Tahoma"/>
            <family val="2"/>
          </rPr>
          <t>"
written by:  Alex Tomanovich, P.E.</t>
        </r>
      </text>
    </comment>
    <comment ref="C9" authorId="1">
      <text>
        <r>
          <rPr>
            <sz val="8"/>
            <rFont val="Tahoma"/>
            <family val="2"/>
          </rPr>
          <t>Maximum number of points MUST BE &lt;= 50!
Minimum number of points MUST BE &gt;= 3!</t>
        </r>
      </text>
    </comment>
    <comment ref="A11" authorId="1">
      <text>
        <r>
          <rPr>
            <sz val="8"/>
            <rFont val="Tahoma"/>
            <family val="2"/>
          </rPr>
          <t xml:space="preserve">All points must be located in the positive 1st quadrant.  That is, all point Xo, Yo coordinate values must be &gt;= 0.
</t>
        </r>
        <r>
          <rPr>
            <b/>
            <sz val="8"/>
            <rFont val="Tahoma"/>
            <family val="2"/>
          </rPr>
          <t>Note: The user should make sure to either clear the contents of all cells that are not used for input of point coordinates, or those cell values should be input = 0.</t>
        </r>
      </text>
    </comment>
    <comment ref="B11" authorId="1">
      <text>
        <r>
          <rPr>
            <sz val="8"/>
            <rFont val="Tahoma"/>
            <family val="2"/>
          </rPr>
          <t>The 'Xo' coordinate is the x-distance from the origin axis to a particular point.</t>
        </r>
      </text>
    </comment>
    <comment ref="C11" authorId="1">
      <text>
        <r>
          <rPr>
            <sz val="8"/>
            <rFont val="Tahoma"/>
            <family val="2"/>
          </rPr>
          <t>The 'Yo' coordinate is the y-distance from the origin axis to a particular point.</t>
        </r>
      </text>
    </comment>
    <comment ref="B42" authorId="2">
      <text>
        <r>
          <rPr>
            <sz val="8"/>
            <rFont val="Tahoma"/>
            <family val="2"/>
          </rPr>
          <t xml:space="preserve">The location of the centroidal Y-axis of the total section from the origin Y-axis is calculated as follows:
   Xc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(-Y2/8*(X2^2+X3^2/3))/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(Ai)
where:
   X2 = X1+Xo
   Y2 = Y1-Yo
   Y3 = Y1+Yo
   Xo,Yo = coordinates of point (i) from origin axis
   X1,Y1 = coordinates of point (i+1) from origin axis
   Ai = -Y2*X2/2</t>
        </r>
      </text>
    </comment>
    <comment ref="E42" authorId="2">
      <text>
        <r>
          <rPr>
            <sz val="8"/>
            <rFont val="Tahoma"/>
            <family val="2"/>
          </rPr>
          <t xml:space="preserve">The moment of inertia about the centroidal X-axis
for the total section is calculated as follows:
   Ix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(Ixo)-A*Yc^2
where:
   Ixo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(X3*Y3/24*(Y3^2+Y2^2))
   A = Total area of section or shape 
   Yc = Y-distance from origin X-axis to centroid
           of total section or shape</t>
        </r>
      </text>
    </comment>
    <comment ref="H42" authorId="2">
      <text>
        <r>
          <rPr>
            <sz val="8"/>
            <rFont val="Tahoma"/>
            <family val="2"/>
          </rPr>
          <t>The moment of inertia about the principal X-axis
for the total section is calculated as follows:
   Ix' = Ix*COS(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+ Iy*SIN(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)^2 - Ixy*SIN(2*</t>
        </r>
        <r>
          <rPr>
            <sz val="8"/>
            <rFont val="Symbol"/>
            <family val="1"/>
          </rPr>
          <t>q)</t>
        </r>
        <r>
          <rPr>
            <sz val="8"/>
            <rFont val="Tahoma"/>
            <family val="2"/>
          </rPr>
          <t xml:space="preserve">
where: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  =  Rotation angle to the principal axes from the
            centroidal axes and is positive (+) ccw.
            '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' = 0  for a section with at least one axis of symmetry.
 </t>
        </r>
      </text>
    </comment>
    <comment ref="B43" authorId="2">
      <text>
        <r>
          <rPr>
            <sz val="8"/>
            <rFont val="Tahoma"/>
            <family val="2"/>
          </rPr>
          <t xml:space="preserve">The location of the centroidal X-axis of the total section from the origin X-axis is calculated as follows:
   Yc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(X3/8*(Y3^2+Y2^2/3))/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(Ai)
where:
   X3 = X1-Xo
   Y2 = Y1-Yo
   Y3 = Y1+Yo
   Xo,Yo = coordinates of point (i) from origin axis
   X1,Y1 = coordinates of point (i+1) from origin axis
   Ai = -Y2*X2/2</t>
        </r>
      </text>
    </comment>
    <comment ref="E43" authorId="2">
      <text>
        <r>
          <rPr>
            <sz val="8"/>
            <rFont val="Tahoma"/>
            <family val="2"/>
          </rPr>
          <t xml:space="preserve">The moment of inertia about the centroidal Y-axis
for the total section is calculated as follows:
   Iy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(Iyo)-A*Xc^2
where:
   Iyo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(-Y2*X2/24*(X2^2+X3^2))
   A = Total area of section or shape 
   Xc = X-distance from origin Y-axis to centroid
           of total section or shape</t>
        </r>
      </text>
    </comment>
    <comment ref="H43" authorId="2">
      <text>
        <r>
          <rPr>
            <sz val="8"/>
            <rFont val="Tahoma"/>
            <family val="2"/>
          </rPr>
          <t>The moment of inertia about the principal Y-axis
for the total section is calculated as follows:
   Iy' = Iy*COS(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+ Ix*SIN(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)^2 + Ixy*SIN(2*</t>
        </r>
        <r>
          <rPr>
            <sz val="8"/>
            <rFont val="Symbol"/>
            <family val="1"/>
          </rPr>
          <t>q)</t>
        </r>
        <r>
          <rPr>
            <sz val="8"/>
            <rFont val="Tahoma"/>
            <family val="2"/>
          </rPr>
          <t xml:space="preserve">
where: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  =  Rotation angle to the principal axes from the
            centroidal axes and is positive (+) ccw.
            '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' = 0  for a section with at least one axis of symmetry.</t>
        </r>
      </text>
    </comment>
    <comment ref="B44" authorId="2">
      <text>
        <r>
          <rPr>
            <sz val="8"/>
            <rFont val="Tahoma"/>
            <family val="2"/>
          </rPr>
          <t xml:space="preserve">The total cross-sectional area is calculated as follows:
   A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(Ai)
where:
  Ai = -Y2*X2/2
   </t>
        </r>
      </text>
    </comment>
    <comment ref="E44" authorId="2">
      <text>
        <r>
          <rPr>
            <sz val="8"/>
            <rFont val="Tahoma"/>
            <family val="2"/>
          </rPr>
          <t xml:space="preserve">The cross-product moment of inertia for the total section is calculated as follows:
   Ixy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(Ixyo)-A*Xc*Yc
where:
   Ixyo =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(1/X3*(Y^2/8*X2*(X1^2+Xo^2)+Y2/3*(X1*Yo-Xo*Y1)*...
               ...(X1^2+X1*Xo+Xo^2)+1/4*(X1*Yo-Xo*Y1)^2*x2))
   A = Total area of section or shape 
   Xc = X-distance from origin Y-axis to centroid
           of total section or shape
   Yc = Y-distance from origin X-axis to centroid
           of total section or shape</t>
        </r>
      </text>
    </comment>
    <comment ref="H44" authorId="2">
      <text>
        <r>
          <rPr>
            <sz val="8"/>
            <rFont val="Tahoma"/>
            <family val="2"/>
          </rPr>
          <t>The cross-product moment of inertia for the total section is calculated as follows:
   Ixy' = (Ix-Iy)/2*SIN(2*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>) + Ixy*COS(2*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)
where: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  =  Rotation angle to the principal axes from the
            centroidal axes and is positive (+) ccw.
            '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' = 0  for a section with at least one axis of symmetry.</t>
        </r>
      </text>
    </comment>
    <comment ref="E45" authorId="2">
      <text>
        <r>
          <rPr>
            <sz val="8"/>
            <rFont val="Tahoma"/>
            <family val="2"/>
          </rPr>
          <t xml:space="preserve">The radius of gyration about the centroidal X-axis
for the total section is calculated as follows:
   rx = (Ix/A)^(1/2)
</t>
        </r>
      </text>
    </comment>
    <comment ref="H45" authorId="2">
      <text>
        <r>
          <rPr>
            <sz val="8"/>
            <rFont val="Tahoma"/>
            <family val="2"/>
          </rPr>
          <t xml:space="preserve">The radius of gyration about the principal X-axis
for the total section is calculated as follows:
   rx' = (Ix'/A)^(1/2)
</t>
        </r>
      </text>
    </comment>
    <comment ref="E46" authorId="2">
      <text>
        <r>
          <rPr>
            <sz val="8"/>
            <rFont val="Tahoma"/>
            <family val="2"/>
          </rPr>
          <t xml:space="preserve">The radius of gyration about the centroidal Y-axis
for the total section is calculated as follows:
   ry = (Iy/A)^(1/2)
</t>
        </r>
      </text>
    </comment>
    <comment ref="H46" authorId="2">
      <text>
        <r>
          <rPr>
            <sz val="8"/>
            <rFont val="Tahoma"/>
            <family val="2"/>
          </rPr>
          <t xml:space="preserve">The radius of gyration about the principal Y-axis
for the total section is calculated as follows:
   ry' = (Iy'/A)^(1/2)
</t>
        </r>
      </text>
    </comment>
    <comment ref="H47" authorId="2">
      <text>
        <r>
          <rPr>
            <sz val="8"/>
            <rFont val="Tahoma"/>
            <family val="2"/>
          </rPr>
          <t>The orientation of the principal axes, is defined by the rotation angle, '</t>
        </r>
        <r>
          <rPr>
            <sz val="8"/>
            <rFont val="Symbol"/>
            <family val="1"/>
          </rPr>
          <t xml:space="preserve">q </t>
        </r>
        <r>
          <rPr>
            <sz val="8"/>
            <rFont val="Tahoma"/>
            <family val="2"/>
          </rPr>
          <t xml:space="preserve">', from the centroidal axes and is calculated as follows:
   </t>
        </r>
        <r>
          <rPr>
            <sz val="8"/>
            <rFont val="Symbol"/>
            <family val="1"/>
          </rPr>
          <t>q</t>
        </r>
        <r>
          <rPr>
            <sz val="8"/>
            <rFont val="Tahoma"/>
            <family val="2"/>
          </rPr>
          <t xml:space="preserve"> = (ATAN(-2*Ixy/(Ix-Iy)))/2
Note: sign convention is positive (+) ccw.
           '</t>
        </r>
        <r>
          <rPr>
            <sz val="8"/>
            <rFont val="Symbol"/>
            <family val="1"/>
          </rPr>
          <t xml:space="preserve">q </t>
        </r>
        <r>
          <rPr>
            <sz val="8"/>
            <rFont val="Tahoma"/>
            <family val="2"/>
          </rPr>
          <t>' = 0  for a section with at least one axis of
          symmetry.</t>
        </r>
      </text>
    </comment>
    <comment ref="AF2" authorId="3">
      <text>
        <r>
          <rPr>
            <sz val="8"/>
            <rFont val="Tahoma"/>
            <family val="2"/>
          </rPr>
          <t>The "X" and "Y" plot scale factors below are determined from the X/Y ratio of the actual on-screen measured lengths of the X and Y axies.  The default value initially set up for use in this work sheet is X/Y = 0.80.</t>
        </r>
      </text>
    </comment>
  </commentList>
</comments>
</file>

<file path=xl/comments4.xml><?xml version="1.0" encoding="utf-8"?>
<comments xmlns="http://schemas.openxmlformats.org/spreadsheetml/2006/main">
  <authors>
    <author>Bob Dalpiaz</author>
    <author>O'Neal User</author>
    <author>ATOMANOV</author>
    <author> </author>
  </authors>
  <commentList>
    <comment ref="AA1" authorId="0">
      <text>
        <r>
          <rPr>
            <sz val="8"/>
            <rFont val="Tahoma"/>
            <family val="2"/>
          </rPr>
          <t xml:space="preserve">              "</t>
        </r>
        <r>
          <rPr>
            <b/>
            <sz val="8"/>
            <rFont val="Tahoma"/>
            <family val="2"/>
          </rPr>
          <t>SECTPROP.xls</t>
        </r>
        <r>
          <rPr>
            <sz val="8"/>
            <rFont val="Tahoma"/>
            <family val="2"/>
          </rPr>
          <t>"
written by:  Alex Tomanovich, P.E.</t>
        </r>
      </text>
    </comment>
    <comment ref="G2" authorId="1">
      <text>
        <r>
          <rPr>
            <sz val="8"/>
            <rFont val="Tahoma"/>
            <family val="2"/>
          </rPr>
          <t>A symmetric section has at least one axis of symetry, while an unsymetric section has no axes of symmetry.</t>
        </r>
      </text>
    </comment>
    <comment ref="D20" authorId="2">
      <text>
        <r>
          <rPr>
            <b/>
            <u val="single"/>
            <sz val="8"/>
            <color indexed="10"/>
            <rFont val="Tahoma"/>
            <family val="2"/>
          </rPr>
          <t>Note:</t>
        </r>
        <r>
          <rPr>
            <b/>
            <sz val="8"/>
            <color indexed="10"/>
            <rFont val="Tahoma"/>
            <family val="2"/>
          </rPr>
          <t xml:space="preserve"> The user should make sure to clear contents of all cells that are not used for input of coordinates of points to be investigated in cross section.
DO NOT use [Space Bar] to clear a cell.</t>
        </r>
      </text>
    </comment>
    <comment ref="E42" authorId="3">
      <text>
        <r>
          <rPr>
            <sz val="8"/>
            <rFont val="Tahoma"/>
            <family val="2"/>
          </rPr>
          <t xml:space="preserve">Formula for stress at a designated point in a rigid body is as follows:
          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= (-Pz/A)+(x*(My*Ix-Mx*Ixy)/(Ix*Iy-Ixy^2))+(y*(Mx*Iy-My*Ixy)/(Ix*Iy-Ixy^2))
The above formula, from the general principles of structural mechanics, is used to determine the value of the stress at each corner of the assumed rigid body cross-section.
</t>
        </r>
        <r>
          <rPr>
            <sz val="8"/>
            <color indexed="10"/>
            <rFont val="Tahoma"/>
            <family val="2"/>
          </rPr>
          <t xml:space="preserve">Note: above formula assumes positive moment, +Mx, causes compression in quadrant #1 (+x &amp; +y).  However, since moments are applied as positive by Right-Hand-Rule for this worksheet, which would cause tension in quadrant #1, the programming internally changes the sign of the input value of Mx for use in above formula, modified as shown below.
       </t>
        </r>
        <r>
          <rPr>
            <sz val="8"/>
            <color indexed="10"/>
            <rFont val="Symbol"/>
            <family val="1"/>
          </rPr>
          <t>s</t>
        </r>
        <r>
          <rPr>
            <sz val="8"/>
            <color indexed="10"/>
            <rFont val="Tahoma"/>
            <family val="2"/>
          </rPr>
          <t xml:space="preserve"> = (-Pz/A)+(x*(My*Ix-(-Mx)*Ixy)/(Ix*Iy-Ixy^2))+(y*(-Mx*Iy-My*Ixy)/(Ix*Iy-Ixy^2))</t>
        </r>
      </text>
    </comment>
    <comment ref="H51" authorId="3">
      <text>
        <r>
          <rPr>
            <sz val="8"/>
            <rFont val="Tahoma"/>
            <family val="2"/>
          </rPr>
          <t xml:space="preserve">Formula for stress at a designated point in a rigid body is as follows:
          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= (-Pz/A)+(x*(My*Ix-Mx*Ixy)/(Ix*Iy-Ixy^2))+(y*(Mx*Iy-My*Ixy)/(Ix*Iy-Ixy^2))
The above formula, from the general principles of structural mechanics, is used to determine the value of the stress at each corner of the assumed rigid body cross-section.
</t>
        </r>
        <r>
          <rPr>
            <sz val="8"/>
            <color indexed="10"/>
            <rFont val="Tahoma"/>
            <family val="2"/>
          </rPr>
          <t xml:space="preserve">Note: above formula assumes positive moment, +Mx, causes compression in quadrant #1 (+x &amp; +y).  However, since moments are applied as positive by Right-Hand-Rule for this worksheet, which would cause tension in quadrant #1, the programming internally changes the sign of the input value of Mx for use in above formula, modified as shown below.
       </t>
        </r>
        <r>
          <rPr>
            <sz val="8"/>
            <color indexed="10"/>
            <rFont val="Symbol"/>
            <family val="1"/>
          </rPr>
          <t>s</t>
        </r>
        <r>
          <rPr>
            <sz val="8"/>
            <color indexed="10"/>
            <rFont val="Tahoma"/>
            <family val="2"/>
          </rPr>
          <t xml:space="preserve"> = (-Pz/A)+(x*(My*Ix-(-Mx)*Ixy)/(Ix*Iy-Ixy^2))+(y*(-Mx*Iy-My*Ixy)/(Ix*Iy-Ixy^2))</t>
        </r>
      </text>
    </comment>
  </commentList>
</comments>
</file>

<file path=xl/sharedStrings.xml><?xml version="1.0" encoding="utf-8"?>
<sst xmlns="http://schemas.openxmlformats.org/spreadsheetml/2006/main" count="502" uniqueCount="333">
  <si>
    <t xml:space="preserve"> </t>
  </si>
  <si>
    <t>Input Data:</t>
  </si>
  <si>
    <t>Job Name:</t>
  </si>
  <si>
    <t>Job Number:</t>
  </si>
  <si>
    <t>CALCULATIONS:</t>
  </si>
  <si>
    <t>Xc =</t>
  </si>
  <si>
    <t>Yc =</t>
  </si>
  <si>
    <t>Results:</t>
  </si>
  <si>
    <t>Program Description:</t>
  </si>
  <si>
    <t>Program Assumptions and Limitations:</t>
  </si>
  <si>
    <t xml:space="preserve">     is denoted by a “red triangle” in the upper right-hand corner of a cell.  Merely move the mouse pointer to the </t>
  </si>
  <si>
    <t xml:space="preserve">     desired cell to view the contents of that particular "comment box".)</t>
  </si>
  <si>
    <t>This documentation sheet</t>
  </si>
  <si>
    <t>Worksheet Name</t>
  </si>
  <si>
    <t>Description</t>
  </si>
  <si>
    <t>Doc</t>
  </si>
  <si>
    <t>Point #1</t>
  </si>
  <si>
    <t>Point #2</t>
  </si>
  <si>
    <t>Point #3</t>
  </si>
  <si>
    <t>Point #4</t>
  </si>
  <si>
    <t>Y</t>
  </si>
  <si>
    <t>XC</t>
  </si>
  <si>
    <t>YC</t>
  </si>
  <si>
    <t>Ixo</t>
  </si>
  <si>
    <t>Iyo</t>
  </si>
  <si>
    <r>
      <t>S</t>
    </r>
    <r>
      <rPr>
        <sz val="10"/>
        <color indexed="12"/>
        <rFont val="Arial"/>
        <family val="2"/>
      </rPr>
      <t xml:space="preserve"> Ixo =</t>
    </r>
  </si>
  <si>
    <r>
      <t>S</t>
    </r>
    <r>
      <rPr>
        <sz val="10"/>
        <color indexed="12"/>
        <rFont val="Arial"/>
        <family val="2"/>
      </rPr>
      <t xml:space="preserve"> Iyo =</t>
    </r>
  </si>
  <si>
    <r>
      <t>S</t>
    </r>
    <r>
      <rPr>
        <sz val="10"/>
        <color indexed="12"/>
        <rFont val="Arial"/>
        <family val="2"/>
      </rPr>
      <t xml:space="preserve"> XC =</t>
    </r>
  </si>
  <si>
    <r>
      <t>S</t>
    </r>
    <r>
      <rPr>
        <sz val="10"/>
        <color indexed="12"/>
        <rFont val="Arial"/>
        <family val="2"/>
      </rPr>
      <t xml:space="preserve"> YC =</t>
    </r>
  </si>
  <si>
    <t>Ix =</t>
  </si>
  <si>
    <t>Iy =</t>
  </si>
  <si>
    <t>X1</t>
  </si>
  <si>
    <t>Y1</t>
  </si>
  <si>
    <t>X2</t>
  </si>
  <si>
    <t>Y2</t>
  </si>
  <si>
    <t>This program is a workbook consisting of three (3) worksheets, described as follows:</t>
  </si>
  <si>
    <t>Number of Points =</t>
  </si>
  <si>
    <t>Point No.:</t>
  </si>
  <si>
    <t>Point #5</t>
  </si>
  <si>
    <t>Point #6</t>
  </si>
  <si>
    <t>xc =</t>
  </si>
  <si>
    <t>yc =</t>
  </si>
  <si>
    <t>Rect. #1</t>
  </si>
  <si>
    <t>Data:</t>
  </si>
  <si>
    <t>Rect. #8</t>
  </si>
  <si>
    <t>Rect. #2</t>
  </si>
  <si>
    <t>Rect. #3</t>
  </si>
  <si>
    <t>Rect. #4</t>
  </si>
  <si>
    <t>Rect. #5</t>
  </si>
  <si>
    <t>Rect. #6</t>
  </si>
  <si>
    <t>Rect. #7</t>
  </si>
  <si>
    <t>Lx</t>
  </si>
  <si>
    <t>Ly</t>
  </si>
  <si>
    <t>xc</t>
  </si>
  <si>
    <t>yc</t>
  </si>
  <si>
    <t>As</t>
  </si>
  <si>
    <t>Ixs</t>
  </si>
  <si>
    <t>Iys</t>
  </si>
  <si>
    <t>Rectangular Shapes:</t>
  </si>
  <si>
    <t>Composite Section Properties:</t>
  </si>
  <si>
    <t>A =</t>
  </si>
  <si>
    <t>Ixyo</t>
  </si>
  <si>
    <r>
      <t>S</t>
    </r>
    <r>
      <rPr>
        <sz val="10"/>
        <color indexed="12"/>
        <rFont val="Arial"/>
        <family val="2"/>
      </rPr>
      <t xml:space="preserve"> Ixyo =</t>
    </r>
  </si>
  <si>
    <t>Ixy =</t>
  </si>
  <si>
    <t>rx =</t>
  </si>
  <si>
    <t>ry =</t>
  </si>
  <si>
    <t>No. of Known Shapes =</t>
  </si>
  <si>
    <t>Ix' =</t>
  </si>
  <si>
    <t>Iy' =</t>
  </si>
  <si>
    <t>Ixy' =</t>
  </si>
  <si>
    <t>rx' =</t>
  </si>
  <si>
    <t>ry' =</t>
  </si>
  <si>
    <t>Number of Circles =</t>
  </si>
  <si>
    <t>Length, Lx =</t>
  </si>
  <si>
    <t>Length, Ly =</t>
  </si>
  <si>
    <t>Dia., D =</t>
  </si>
  <si>
    <t>Number of Cylinders =</t>
  </si>
  <si>
    <t>O.D. =</t>
  </si>
  <si>
    <t>I.D. =</t>
  </si>
  <si>
    <t>Circular Shapes:</t>
  </si>
  <si>
    <t>Circle #1</t>
  </si>
  <si>
    <t>Circle #2</t>
  </si>
  <si>
    <t>Circle #3</t>
  </si>
  <si>
    <t>Circle #4</t>
  </si>
  <si>
    <t>Cylinder Shapes:</t>
  </si>
  <si>
    <t>Cylinder #1</t>
  </si>
  <si>
    <t>Cylinder #2</t>
  </si>
  <si>
    <t>Cylinder #3</t>
  </si>
  <si>
    <t>Cylinder #4</t>
  </si>
  <si>
    <t>Shape #1</t>
  </si>
  <si>
    <t>Shape #2</t>
  </si>
  <si>
    <t>Shape #3</t>
  </si>
  <si>
    <t>Shape #4</t>
  </si>
  <si>
    <t>Shape #5</t>
  </si>
  <si>
    <t>Shape #6</t>
  </si>
  <si>
    <t>Shape #7</t>
  </si>
  <si>
    <t>Shape #8</t>
  </si>
  <si>
    <r>
      <t>q</t>
    </r>
    <r>
      <rPr>
        <sz val="10"/>
        <color indexed="12"/>
        <rFont val="Arial"/>
        <family val="2"/>
      </rPr>
      <t xml:space="preserve"> =</t>
    </r>
  </si>
  <si>
    <t>D</t>
  </si>
  <si>
    <t>O.D.</t>
  </si>
  <si>
    <t>I.D.</t>
  </si>
  <si>
    <t>q =</t>
  </si>
  <si>
    <t>Centroidal Axes Properties:</t>
  </si>
  <si>
    <t>Principal Axes Properties:</t>
  </si>
  <si>
    <t>Centroid Location and Area:</t>
  </si>
  <si>
    <t>Shapes</t>
  </si>
  <si>
    <t>Points</t>
  </si>
  <si>
    <t>Shapes with Known Properties:</t>
  </si>
  <si>
    <t>Coordinates:</t>
  </si>
  <si>
    <t>Add? Y/N</t>
  </si>
  <si>
    <t>SECTION PROPERTIES ANALYSIS</t>
  </si>
  <si>
    <t>Point #7</t>
  </si>
  <si>
    <t>Point #8</t>
  </si>
  <si>
    <t>Point #9</t>
  </si>
  <si>
    <t>Point #10</t>
  </si>
  <si>
    <t>Y3</t>
  </si>
  <si>
    <t>X3</t>
  </si>
  <si>
    <t>A</t>
  </si>
  <si>
    <t>Point #11</t>
  </si>
  <si>
    <t>Point #12</t>
  </si>
  <si>
    <t>Point #13</t>
  </si>
  <si>
    <t>Point #14</t>
  </si>
  <si>
    <t>Point #15</t>
  </si>
  <si>
    <t>Point #16</t>
  </si>
  <si>
    <t>Point #17</t>
  </si>
  <si>
    <t>Point #18</t>
  </si>
  <si>
    <t>Point #19</t>
  </si>
  <si>
    <t>Point #20</t>
  </si>
  <si>
    <t>Point #21</t>
  </si>
  <si>
    <t>Point #22</t>
  </si>
  <si>
    <t>Point #23</t>
  </si>
  <si>
    <t>Point #24</t>
  </si>
  <si>
    <t>Point #25</t>
  </si>
  <si>
    <t>Point #26</t>
  </si>
  <si>
    <t>Point #27</t>
  </si>
  <si>
    <t>Point #28</t>
  </si>
  <si>
    <t>Point #29</t>
  </si>
  <si>
    <t>Point #30</t>
  </si>
  <si>
    <t>Point #31</t>
  </si>
  <si>
    <t>Point #32</t>
  </si>
  <si>
    <t>Point #33</t>
  </si>
  <si>
    <t>Point #34</t>
  </si>
  <si>
    <t>Point #35</t>
  </si>
  <si>
    <t>Point #36</t>
  </si>
  <si>
    <t>Point #37</t>
  </si>
  <si>
    <t>Point #38</t>
  </si>
  <si>
    <t>Point #39</t>
  </si>
  <si>
    <t>Point #40</t>
  </si>
  <si>
    <t>Point #41</t>
  </si>
  <si>
    <t>Point #42</t>
  </si>
  <si>
    <t>Point #43</t>
  </si>
  <si>
    <t>Point #44</t>
  </si>
  <si>
    <t>Point #45</t>
  </si>
  <si>
    <t>Point #46</t>
  </si>
  <si>
    <t>Point #47</t>
  </si>
  <si>
    <t>Point #48</t>
  </si>
  <si>
    <t>Point #49</t>
  </si>
  <si>
    <t>Point #50</t>
  </si>
  <si>
    <t>Point #51</t>
  </si>
  <si>
    <t>Two methods of input data are provided, either by adding of deleting "shapes" or by defining a polygon by a</t>
  </si>
  <si>
    <t>series of "points".  Specifically, the centroid location and total area are determined, as well as the centroidal and</t>
  </si>
  <si>
    <t xml:space="preserve">     shapes with known properties to be either added and/or deleted in order to model a particular section.  For </t>
  </si>
  <si>
    <t xml:space="preserve">     symmetric (Ixy=0), except for the special case where the entire section to be modeled is at least singularly </t>
  </si>
  <si>
    <t xml:space="preserve">     Negative coordinates ARE NOT acceptable.</t>
  </si>
  <si>
    <t xml:space="preserve">     symmetric.  For example, a "known" angle shape should be modeled as two rectangles, unless there is a </t>
  </si>
  <si>
    <t>1.  This program will calculate the centroid location, total cross-sectional area, moments of inertia, and radii of</t>
  </si>
  <si>
    <t>2.  Units are any consistent set of units the user desires.</t>
  </si>
  <si>
    <t xml:space="preserve">     gyration for the centroidal axes and the principal axes if applicable.  The value of the rotation angle between</t>
  </si>
  <si>
    <t xml:space="preserve">     the centroidal and principal axes is also calculated.</t>
  </si>
  <si>
    <t xml:space="preserve">     rectangles, circles, and cylinders, there is input for applicable dimensions as well as the location of the </t>
  </si>
  <si>
    <t xml:space="preserve">     self moments of inertia, and location of the centroid from the assumed origin axes. </t>
  </si>
  <si>
    <t xml:space="preserve">     centroid from the assumed origin axes.  For shapes with "known" properties, there is input for the self area,</t>
  </si>
  <si>
    <t xml:space="preserve">     "matching" angle to create overall symmetry about at least one axis.</t>
  </si>
  <si>
    <t xml:space="preserve">     each with its own set of X,Y coordinates (3 points are a minimum).  The number of points is the actual total</t>
  </si>
  <si>
    <t>Using up to 50 "Points" to Model Section</t>
  </si>
  <si>
    <t>Using "Shapes" to Model Section</t>
  </si>
  <si>
    <t>Section properties analysis using shapes to model section</t>
  </si>
  <si>
    <t>Section properties analysis using up to 50 points to model section</t>
  </si>
  <si>
    <t>Xo</t>
  </si>
  <si>
    <t>Yo</t>
  </si>
  <si>
    <t xml:space="preserve">     explanations of input or output items, equations used, data tables, etc.  (Note:  presence of a “comment box”</t>
  </si>
  <si>
    <t xml:space="preserve">3.  In the case of both calculation worksheets, the user should make sure to either clear the contents of all </t>
  </si>
  <si>
    <t>Sx(top) =</t>
  </si>
  <si>
    <t>Sx(bot) =</t>
  </si>
  <si>
    <t>Yc(top) =</t>
  </si>
  <si>
    <t>Yc(bot) =</t>
  </si>
  <si>
    <t xml:space="preserve">     section.  The overall height of the total section (in Y-direction) MUST BE correctly input as well.  </t>
  </si>
  <si>
    <t>Overall Height, Yt =</t>
  </si>
  <si>
    <t xml:space="preserve">     spreadsheet cells that are not used for input or those cell values should be input = 0.</t>
  </si>
  <si>
    <t xml:space="preserve">4.  Using the Shapes worksheet, the origin X-axis MUST BE located at the lowest (bottom) point of the total </t>
  </si>
  <si>
    <t>N</t>
  </si>
  <si>
    <t xml:space="preserve">     composite section properties calculations. (Note: cells A48, A49, B48, and B49 are "unlocked" so that the</t>
  </si>
  <si>
    <t xml:space="preserve">     resulting value of 'J' may be manually typed in for print out if desired.)</t>
  </si>
  <si>
    <t>No. of Rectangles =</t>
  </si>
  <si>
    <t xml:space="preserve">     the torsional constant, 'J', is displayed at the bottom of the worksheet (cells A51 and B51) under the</t>
  </si>
  <si>
    <t>Checker:</t>
  </si>
  <si>
    <t>Originator:</t>
  </si>
  <si>
    <t>Subject:</t>
  </si>
  <si>
    <t>Description, Assumptions and Limitations:</t>
  </si>
  <si>
    <t>1.  This section properties worksheet may be used for the purpose of calculating section properties of "built-up"</t>
  </si>
  <si>
    <t xml:space="preserve">    shapes, by either adding or deleting shapes.  Specifically, the centroid location and total area are </t>
  </si>
  <si>
    <t xml:space="preserve">     determined, as well as the centroidal and principal axes moments of inertia, radii of gyration, and rotation angle.</t>
  </si>
  <si>
    <t xml:space="preserve">3.  In using this worksheet, it is of utmost importance that user make sure to either clear the contents of all </t>
  </si>
  <si>
    <t xml:space="preserve">4.  In using this worksheet, the origin MUST BE located so that the entire section is in the positive quadrant. </t>
  </si>
  <si>
    <t>5.  In using this worksheet, the origin X-axis MUST BE located at the lowest (bottom) point of the total section.</t>
  </si>
  <si>
    <t xml:space="preserve">     The overall height of the total section (in Y-direction) MUST BE correctly input as well.  </t>
  </si>
  <si>
    <t xml:space="preserve">     with known properties to be either added and/or deleted in order to model a particular section.  For rectangles</t>
  </si>
  <si>
    <t xml:space="preserve">     circles, and cylinders, there is input for applicable dimensions as well as the location of the centroid from the</t>
  </si>
  <si>
    <t xml:space="preserve">     assumed origin axes.  For shapes with "known" properties, there is input for the self area, self moments of inertia,</t>
  </si>
  <si>
    <t xml:space="preserve">     and location of the centroid from the assumed origin axes. </t>
  </si>
  <si>
    <t xml:space="preserve">     except for the special case where the entire section to be modeled is at least singularly symmetric.  For example,</t>
  </si>
  <si>
    <t xml:space="preserve">     a "known" angle shape should be modeled as two rectangles, unless there is a "matching" angle to create overall</t>
  </si>
  <si>
    <t xml:space="preserve">     symmetry about at least one axis.</t>
  </si>
  <si>
    <t xml:space="preserve">     constant, 'J', is displayed just below the bottom of this worksheet (cells A52 and B52) under the composite section</t>
  </si>
  <si>
    <t xml:space="preserve">     properties calculations. (Note: cells A49 and B49 are "unlocked" so that the resulting value of 'J' may be manually</t>
  </si>
  <si>
    <t xml:space="preserve">     typed in for print out if desired.)</t>
  </si>
  <si>
    <t>1.  This section properties worksheet may be used for the purpose of calculating section properties of shapes by</t>
  </si>
  <si>
    <t xml:space="preserve">    definining a polygon.  Specifically, the centroid location and total area are determined, as well as the</t>
  </si>
  <si>
    <t xml:space="preserve">     centroidal and principal axes moments of inertia, radii of gyration, and rotation angle.</t>
  </si>
  <si>
    <t>5.  In using this worksheet, the modeled section can be any polygon defined by up to 50 connectable points, each</t>
  </si>
  <si>
    <t xml:space="preserve">     with its own set of X,Y coordinates (3 points are a minimum).  The number of points is the actual total number of</t>
  </si>
  <si>
    <t>STRESS ANALYSIS</t>
  </si>
  <si>
    <t>For Symmetric and Unsymmetric Sections</t>
  </si>
  <si>
    <t>Section Properties:</t>
  </si>
  <si>
    <t>in.^2</t>
  </si>
  <si>
    <t>in.^4</t>
  </si>
  <si>
    <t>Loadings:</t>
  </si>
  <si>
    <t>Axial Pz =</t>
  </si>
  <si>
    <t>kips</t>
  </si>
  <si>
    <t>Moment Mx =</t>
  </si>
  <si>
    <t>ft-kips</t>
  </si>
  <si>
    <t>Moment My =</t>
  </si>
  <si>
    <t>in. (from centroidal Y-axis)</t>
  </si>
  <si>
    <t>in. (from centroidal X-axis)</t>
  </si>
  <si>
    <r>
      <t>*Note:  General formula for stress (</t>
    </r>
    <r>
      <rPr>
        <sz val="10"/>
        <rFont val="Symbol"/>
        <family val="1"/>
      </rPr>
      <t>s</t>
    </r>
    <r>
      <rPr>
        <sz val="10"/>
        <rFont val="Arial"/>
        <family val="0"/>
      </rPr>
      <t>) at a designated point with coordinates of x,y is as follows:</t>
    </r>
  </si>
  <si>
    <t>Stress</t>
  </si>
  <si>
    <t>Stress analysis for symmetric and unsymmetric sections</t>
  </si>
  <si>
    <t>Plot Scale Factors</t>
  </si>
  <si>
    <t>X-axis</t>
  </si>
  <si>
    <t>Yaxis</t>
  </si>
  <si>
    <t>+X</t>
  </si>
  <si>
    <t>+Y</t>
  </si>
  <si>
    <t xml:space="preserve">           2</t>
  </si>
  <si>
    <t xml:space="preserve">           3</t>
  </si>
  <si>
    <t xml:space="preserve">  10</t>
  </si>
  <si>
    <t xml:space="preserve">               1   6</t>
  </si>
  <si>
    <t xml:space="preserve">  11        12   7        8</t>
  </si>
  <si>
    <t xml:space="preserve">       9</t>
  </si>
  <si>
    <t xml:space="preserve">                    5</t>
  </si>
  <si>
    <t xml:space="preserve">                    4</t>
  </si>
  <si>
    <t xml:space="preserve">     different points required to define the polygon.  While it is NOT required to redefine the start point to "define" the</t>
  </si>
  <si>
    <t xml:space="preserve">     polygon (as the program will automatically "close" the polygon after the end point has been defined), in some </t>
  </si>
  <si>
    <t xml:space="preserve">    cases it may be required to re-enter the coordinates of starting Point #1 directtly after the last defined</t>
  </si>
  <si>
    <t xml:space="preserve">     point coordinates, so that the plot of the section will appear "closed". </t>
  </si>
  <si>
    <t>6.  In using this worksheet, coordinates of each point are input, proceeding in a CLOCKWISE direction for (positive)</t>
  </si>
  <si>
    <t xml:space="preserve">     area to be added, and then in a COUNTER-CLOCKWISE direction for (negative) area to be deleted.</t>
  </si>
  <si>
    <t xml:space="preserve">    (See "Nomenclature" illustration for example.)</t>
  </si>
  <si>
    <t xml:space="preserve">     number of different points required to define the polygon.  While it is NOT required to redefine the start point to</t>
  </si>
  <si>
    <t xml:space="preserve">      "define" the polygon (as the program will automatically "close" the polygon after the end point has been</t>
  </si>
  <si>
    <t xml:space="preserve">    defined), in some cases it may be required to re-enter the coordinates of starting Point #1 directtly after </t>
  </si>
  <si>
    <t xml:space="preserve">     the last defined point coordinates, so that the plot of the section will appear "closed". </t>
  </si>
  <si>
    <t xml:space="preserve">     (positive) area to be added, and then in a COUNTER-CLOCKWISE direction for (negative) area to be deleted.</t>
  </si>
  <si>
    <t>ksi</t>
  </si>
  <si>
    <t>"SECTPROP" --- SECTION PROPERTIES ANALYSIS PROGRAM</t>
  </si>
  <si>
    <t>"SECTPROP" is a spreadsheet program written in MS-Excel for the purpose of calculating section properties.</t>
  </si>
  <si>
    <t>Nomenclature</t>
  </si>
  <si>
    <t>Xc(left) =</t>
  </si>
  <si>
    <t>Xc(right) =</t>
  </si>
  <si>
    <t>Overall Width, Xt =</t>
  </si>
  <si>
    <t>Sy(left) =</t>
  </si>
  <si>
    <t>7.  In using this worksheet, there is input for the number of rectangles, circles, cylinders, and symmetrical shapes</t>
  </si>
  <si>
    <t>8.  In using this worksheet, any "known" shapes that are input should usually be at least singularly symmetric (Ixy=0),</t>
  </si>
  <si>
    <t>9. In using this worksheet, when a total section is made up of ONLY rectangles, an approximate value of the torsional</t>
  </si>
  <si>
    <t>6.  In using this worksheet, the origin Y-axis MUST BE located at the left most point of the total section.</t>
  </si>
  <si>
    <t xml:space="preserve">     The overall width of the total section (in X-direction) MUST BE correctly input as well.  </t>
  </si>
  <si>
    <t xml:space="preserve">6.  Using the Shapes worksheet, there is input for the number of rectangles, circles, cylinders, and symmetrical </t>
  </si>
  <si>
    <t xml:space="preserve">7.  Using the Shapes worksheet, any "known" shapes that are input should usually be at least singularly </t>
  </si>
  <si>
    <t>8. Using the Shapes worksheet, when a total section is made up of ONLY rectangles, an approximate value of</t>
  </si>
  <si>
    <t>9.  Using the Points worksheet, the modeled section can be any polygon defined by up to 50 connectable points,</t>
  </si>
  <si>
    <t xml:space="preserve">10. Using the Points worksheet, coordinates of each point are input, proceeding in a CLOCKWISE direction for </t>
  </si>
  <si>
    <t xml:space="preserve">11. Using the Points worksheet, the origin MUST BE located so that the entire section is in the positive quadrant. </t>
  </si>
  <si>
    <t>12. This program contains numerous “comment boxes” which contain a wide variety of information including</t>
  </si>
  <si>
    <t>5.  In using the Shapes worksheet, the origin Y-axis MUST BE located at the left most point of the total section.</t>
  </si>
  <si>
    <t>(measured up from Global X-axis)</t>
  </si>
  <si>
    <t>(measured to right from Global Y-axis)</t>
  </si>
  <si>
    <t>Sy(right) =</t>
  </si>
  <si>
    <r>
      <t>s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</si>
  <si>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s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</si>
  <si>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s</t>
    </r>
    <r>
      <rPr>
        <sz val="8"/>
        <rFont val="Arial"/>
        <family val="2"/>
      </rPr>
      <t>3</t>
    </r>
    <r>
      <rPr>
        <sz val="10"/>
        <rFont val="Arial"/>
        <family val="0"/>
      </rPr>
      <t xml:space="preserve"> =</t>
    </r>
  </si>
  <si>
    <r>
      <t>s</t>
    </r>
    <r>
      <rPr>
        <sz val="8"/>
        <rFont val="Arial"/>
        <family val="2"/>
      </rPr>
      <t>4</t>
    </r>
    <r>
      <rPr>
        <sz val="10"/>
        <rFont val="Arial"/>
        <family val="0"/>
      </rPr>
      <t xml:space="preserve"> =</t>
    </r>
  </si>
  <si>
    <r>
      <t>s</t>
    </r>
    <r>
      <rPr>
        <sz val="8"/>
        <rFont val="Arial"/>
        <family val="2"/>
      </rPr>
      <t>5</t>
    </r>
    <r>
      <rPr>
        <sz val="10"/>
        <rFont val="Arial"/>
        <family val="0"/>
      </rPr>
      <t xml:space="preserve"> =</t>
    </r>
  </si>
  <si>
    <r>
      <t>s</t>
    </r>
    <r>
      <rPr>
        <sz val="8"/>
        <rFont val="Arial"/>
        <family val="2"/>
      </rPr>
      <t>6</t>
    </r>
    <r>
      <rPr>
        <sz val="10"/>
        <rFont val="Arial"/>
        <family val="0"/>
      </rPr>
      <t xml:space="preserve"> =</t>
    </r>
  </si>
  <si>
    <r>
      <t>s</t>
    </r>
    <r>
      <rPr>
        <sz val="10"/>
        <color indexed="12"/>
        <rFont val="Arial"/>
        <family val="2"/>
      </rPr>
      <t>1</t>
    </r>
    <r>
      <rPr>
        <sz val="10"/>
        <color indexed="12"/>
        <rFont val="Arial"/>
        <family val="2"/>
      </rPr>
      <t xml:space="preserve"> =</t>
    </r>
  </si>
  <si>
    <r>
      <t>s</t>
    </r>
    <r>
      <rPr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=</t>
    </r>
  </si>
  <si>
    <r>
      <t>s</t>
    </r>
    <r>
      <rPr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=</t>
    </r>
  </si>
  <si>
    <r>
      <t>s</t>
    </r>
    <r>
      <rPr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=</t>
    </r>
  </si>
  <si>
    <r>
      <t>s</t>
    </r>
    <r>
      <rPr>
        <sz val="10"/>
        <color indexed="12"/>
        <rFont val="Arial"/>
        <family val="2"/>
      </rPr>
      <t>5</t>
    </r>
    <r>
      <rPr>
        <sz val="10"/>
        <color indexed="12"/>
        <rFont val="Arial"/>
        <family val="2"/>
      </rPr>
      <t xml:space="preserve"> =</t>
    </r>
  </si>
  <si>
    <r>
      <t>s</t>
    </r>
    <r>
      <rPr>
        <sz val="10"/>
        <color indexed="12"/>
        <rFont val="Arial"/>
        <family val="2"/>
      </rPr>
      <t>6</t>
    </r>
    <r>
      <rPr>
        <sz val="10"/>
        <color indexed="12"/>
        <rFont val="Arial"/>
        <family val="2"/>
      </rPr>
      <t xml:space="preserve"> =</t>
    </r>
  </si>
  <si>
    <r>
      <t>Distance x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</si>
  <si>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Distance y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</si>
  <si>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Distance x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</si>
  <si>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Distance y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</si>
  <si>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Distance x</t>
    </r>
    <r>
      <rPr>
        <sz val="8"/>
        <rFont val="Arial"/>
        <family val="2"/>
      </rPr>
      <t>3</t>
    </r>
    <r>
      <rPr>
        <sz val="10"/>
        <rFont val="Arial"/>
        <family val="0"/>
      </rPr>
      <t xml:space="preserve"> =</t>
    </r>
  </si>
  <si>
    <r>
      <t>Distance y</t>
    </r>
    <r>
      <rPr>
        <sz val="8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</si>
  <si>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Distance x</t>
    </r>
    <r>
      <rPr>
        <sz val="8"/>
        <rFont val="Arial"/>
        <family val="2"/>
      </rPr>
      <t>4</t>
    </r>
    <r>
      <rPr>
        <sz val="10"/>
        <rFont val="Arial"/>
        <family val="0"/>
      </rPr>
      <t xml:space="preserve"> =</t>
    </r>
  </si>
  <si>
    <r>
      <t>Distance y</t>
    </r>
    <r>
      <rPr>
        <sz val="8"/>
        <rFont val="Arial"/>
        <family val="2"/>
      </rPr>
      <t>4</t>
    </r>
    <r>
      <rPr>
        <sz val="10"/>
        <rFont val="Arial"/>
        <family val="2"/>
      </rPr>
      <t xml:space="preserve"> =</t>
    </r>
  </si>
  <si>
    <r>
      <t>Distance x</t>
    </r>
    <r>
      <rPr>
        <sz val="8"/>
        <rFont val="Arial"/>
        <family val="2"/>
      </rPr>
      <t>5</t>
    </r>
    <r>
      <rPr>
        <sz val="10"/>
        <rFont val="Arial"/>
        <family val="0"/>
      </rPr>
      <t xml:space="preserve"> =</t>
    </r>
  </si>
  <si>
    <r>
      <t>Distance y</t>
    </r>
    <r>
      <rPr>
        <sz val="8"/>
        <rFont val="Arial"/>
        <family val="2"/>
      </rPr>
      <t>5</t>
    </r>
    <r>
      <rPr>
        <sz val="10"/>
        <rFont val="Arial"/>
        <family val="2"/>
      </rPr>
      <t xml:space="preserve"> =</t>
    </r>
  </si>
  <si>
    <r>
      <t>Distance x</t>
    </r>
    <r>
      <rPr>
        <sz val="8"/>
        <rFont val="Arial"/>
        <family val="2"/>
      </rPr>
      <t>6</t>
    </r>
    <r>
      <rPr>
        <sz val="10"/>
        <rFont val="Arial"/>
        <family val="0"/>
      </rPr>
      <t xml:space="preserve"> =</t>
    </r>
  </si>
  <si>
    <r>
      <t>Distance y</t>
    </r>
    <r>
      <rPr>
        <sz val="8"/>
        <rFont val="Arial"/>
        <family val="2"/>
      </rPr>
      <t>6</t>
    </r>
    <r>
      <rPr>
        <sz val="10"/>
        <rFont val="Arial"/>
        <family val="2"/>
      </rPr>
      <t xml:space="preserve"> =</t>
    </r>
  </si>
  <si>
    <t>Location of Points to Investigate in Section:</t>
  </si>
  <si>
    <t xml:space="preserve">            cells that are not used for input of coordinates of</t>
  </si>
  <si>
    <t xml:space="preserve">            points to be investigated in cross-section.</t>
  </si>
  <si>
    <r>
      <t xml:space="preserve">   </t>
    </r>
    <r>
      <rPr>
        <b/>
        <u val="single"/>
        <sz val="10"/>
        <color indexed="10"/>
        <rFont val="Arial"/>
        <family val="2"/>
      </rPr>
      <t>Note:</t>
    </r>
    <r>
      <rPr>
        <b/>
        <sz val="10"/>
        <color indexed="10"/>
        <rFont val="Arial"/>
        <family val="2"/>
      </rPr>
      <t xml:space="preserve"> The user should make sure to clear contents of all</t>
    </r>
  </si>
  <si>
    <t xml:space="preserve">            DO NOT use [Space Bar] to clear a cell.</t>
  </si>
  <si>
    <t>*Stress at Designated Points with Coordinates of x,y:</t>
  </si>
  <si>
    <t>Stress at Designated Points with Coordinates of x,y:</t>
  </si>
  <si>
    <t xml:space="preserve">principal axes moments of inertia, radii of gyration, and rotation angle.  With given section properties and </t>
  </si>
  <si>
    <t>loadings, the combined stress for up to six (6) specific points in the cross-section can be determined as well.</t>
  </si>
  <si>
    <t xml:space="preserve">              the points to be investigated are actually within </t>
  </si>
  <si>
    <t xml:space="preserve">              automatically do that error checking.</t>
  </si>
  <si>
    <r>
      <t>Caution:</t>
    </r>
    <r>
      <rPr>
        <b/>
        <sz val="10"/>
        <color indexed="10"/>
        <rFont val="Arial"/>
        <family val="2"/>
      </rPr>
      <t xml:space="preserve"> It is the user's responsibility to make certain that </t>
    </r>
  </si>
  <si>
    <t xml:space="preserve">              the given cross section.  The program DOES NOT </t>
  </si>
  <si>
    <r>
      <t>s</t>
    </r>
    <r>
      <rPr>
        <sz val="10"/>
        <color indexed="12"/>
        <rFont val="Arial"/>
        <family val="2"/>
      </rPr>
      <t>1</t>
    </r>
    <r>
      <rPr>
        <sz val="10"/>
        <color indexed="12"/>
        <rFont val="Arial"/>
        <family val="2"/>
      </rPr>
      <t xml:space="preserve"> = (-Pz/A)+(x1*(My*Ix-(-Mx)*Ixy)/(Ix*Iy-Ixy^2))+(y1*(-Mx*Iy-My*Ixy)/(Ix*Iy-Ixy^2))</t>
    </r>
  </si>
  <si>
    <r>
      <t>s</t>
    </r>
    <r>
      <rPr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= (-Pz/A)+(x2*(My*Ix-(-Mx)*Ixy)/(Ix*Iy-Ixy^2))+(y2*(-Mx*Iy-My*Ixy)/(Ix*Iy-Ixy^2))</t>
    </r>
  </si>
  <si>
    <r>
      <t>s</t>
    </r>
    <r>
      <rPr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= (-Pz/A)+(x3*(My*Ix-(-Mx)*Ixy)/(Ix*Iy-Ixy^2))+(y3*(-Mx*Iy-My*Ixy)/(Ix*Iy-Ixy^2))</t>
    </r>
  </si>
  <si>
    <r>
      <t>s</t>
    </r>
    <r>
      <rPr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= (-Pz/A)+(x4*(My*Ix-(-Mx)*Ixy)/(Ix*Iy-Ixy^2))+(y4*(-Mx*Iy-My*Ixy)/(Ix*Iy-Ixy^2))</t>
    </r>
  </si>
  <si>
    <r>
      <t>s</t>
    </r>
    <r>
      <rPr>
        <sz val="10"/>
        <color indexed="12"/>
        <rFont val="Arial"/>
        <family val="2"/>
      </rPr>
      <t>5</t>
    </r>
    <r>
      <rPr>
        <sz val="10"/>
        <color indexed="12"/>
        <rFont val="Arial"/>
        <family val="2"/>
      </rPr>
      <t xml:space="preserve"> = (-Pz/A)+(x5*(My*Ix-(-Mx)*Ixy)/(Ix*Iy-Ixy^2))+(y5*(-Mx*Iy-My*Ixy)/(Ix*Iy-Ixy^2))</t>
    </r>
  </si>
  <si>
    <r>
      <t>s</t>
    </r>
    <r>
      <rPr>
        <sz val="10"/>
        <color indexed="12"/>
        <rFont val="Arial"/>
        <family val="2"/>
      </rPr>
      <t>6</t>
    </r>
    <r>
      <rPr>
        <sz val="10"/>
        <color indexed="12"/>
        <rFont val="Arial"/>
        <family val="2"/>
      </rPr>
      <t xml:space="preserve"> = (-Pz/A)+(x6*(My*Ix-(-Mx)*Ixy)/(Ix*Iy-Ixy^2))+(y6*(-Mx*Iy-My*Ixy)/(Ix*Iy-Ixy^2))</t>
    </r>
  </si>
  <si>
    <t>Version 2.6</t>
  </si>
  <si>
    <r>
      <t>s</t>
    </r>
    <r>
      <rPr>
        <sz val="10"/>
        <rFont val="Arial"/>
        <family val="0"/>
      </rPr>
      <t xml:space="preserve"> = (-Pz/A)+(x*(My*Ix-(-Mx)*Ixy)/(Ix*Iy-Ixy^2))+(y*(-Mx*Iy-My*Ixy)/(Ix*Iy-Ixy^2))</t>
    </r>
  </si>
  <si>
    <t xml:space="preserve">      Axes Lengths Ratio:</t>
  </si>
  <si>
    <t>X/Y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</si>
</sst>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$&quot;#,##0\ ;\(&quot;$&quot;#,##0\)"/>
    <numFmt numFmtId="168" formatCode="0.0000000"/>
    <numFmt numFmtId="169" formatCode="0.00000000"/>
    <numFmt numFmtId="170" formatCode="0.000000"/>
    <numFmt numFmtId="171" formatCode="0.00000"/>
  </numFmts>
  <fonts count="8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12"/>
      <name val="Symbol"/>
      <family val="1"/>
    </font>
    <font>
      <sz val="10"/>
      <color indexed="8"/>
      <name val="Symbol"/>
      <family val="1"/>
    </font>
    <font>
      <sz val="10"/>
      <color indexed="10"/>
      <name val="Arial"/>
      <family val="2"/>
    </font>
    <font>
      <sz val="8"/>
      <name val="Symbol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24"/>
      <name val="Arial"/>
      <family val="2"/>
    </font>
    <font>
      <u val="single"/>
      <sz val="10"/>
      <color indexed="36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i/>
      <sz val="8"/>
      <color indexed="10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9"/>
      <color indexed="8"/>
      <name val="Arial"/>
      <family val="2"/>
    </font>
    <font>
      <sz val="10"/>
      <name val="Symbol"/>
      <family val="1"/>
    </font>
    <font>
      <u val="single"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i/>
      <u val="single"/>
      <sz val="10"/>
      <color indexed="10"/>
      <name val="Arial"/>
      <family val="2"/>
    </font>
    <font>
      <b/>
      <i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10"/>
      <name val="Tahoma"/>
      <family val="2"/>
    </font>
    <font>
      <b/>
      <u val="single"/>
      <sz val="10"/>
      <color indexed="10"/>
      <name val="Arial"/>
      <family val="2"/>
    </font>
    <font>
      <b/>
      <u val="single"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10"/>
      <name val="Symbol"/>
      <family val="1"/>
    </font>
    <font>
      <sz val="4.2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4" applyNumberFormat="0" applyFill="0" applyAlignment="0" applyProtection="0"/>
    <xf numFmtId="0" fontId="74" fillId="31" borderId="0" applyNumberFormat="0" applyBorder="0" applyAlignment="0" applyProtection="0"/>
    <xf numFmtId="0" fontId="0" fillId="32" borderId="5" applyNumberFormat="0" applyFont="0" applyAlignment="0" applyProtection="0"/>
    <xf numFmtId="0" fontId="75" fillId="27" borderId="6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7" applyNumberFormat="0" applyFont="0" applyFill="0" applyAlignment="0" applyProtection="0"/>
    <xf numFmtId="0" fontId="7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8" xfId="0" applyFont="1" applyFill="1" applyBorder="1" applyAlignment="1" applyProtection="1">
      <alignment/>
      <protection/>
    </xf>
    <xf numFmtId="0" fontId="0" fillId="33" borderId="8" xfId="0" applyFill="1" applyBorder="1" applyAlignment="1" applyProtection="1">
      <alignment horizontal="right"/>
      <protection/>
    </xf>
    <xf numFmtId="0" fontId="0" fillId="33" borderId="9" xfId="0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right"/>
      <protection hidden="1"/>
    </xf>
    <xf numFmtId="49" fontId="7" fillId="33" borderId="11" xfId="0" applyNumberFormat="1" applyFont="1" applyFill="1" applyBorder="1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/>
      <protection locked="0"/>
    </xf>
    <xf numFmtId="49" fontId="4" fillId="33" borderId="12" xfId="0" applyNumberFormat="1" applyFont="1" applyFill="1" applyBorder="1" applyAlignment="1" applyProtection="1">
      <alignment/>
      <protection locked="0"/>
    </xf>
    <xf numFmtId="49" fontId="4" fillId="33" borderId="13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0" fillId="33" borderId="0" xfId="0" applyFont="1" applyFill="1" applyAlignment="1" applyProtection="1">
      <alignment horizontal="centerContinuous"/>
      <protection hidden="1"/>
    </xf>
    <xf numFmtId="164" fontId="4" fillId="33" borderId="0" xfId="0" applyNumberFormat="1" applyFont="1" applyFill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29" fillId="33" borderId="0" xfId="0" applyFont="1" applyFill="1" applyAlignment="1" applyProtection="1">
      <alignment/>
      <protection hidden="1"/>
    </xf>
    <xf numFmtId="165" fontId="4" fillId="33" borderId="0" xfId="0" applyNumberFormat="1" applyFont="1" applyFill="1" applyBorder="1" applyAlignment="1" applyProtection="1">
      <alignment horizontal="center"/>
      <protection hidden="1"/>
    </xf>
    <xf numFmtId="165" fontId="4" fillId="33" borderId="0" xfId="0" applyNumberFormat="1" applyFont="1" applyFill="1" applyAlignment="1" applyProtection="1">
      <alignment horizontal="center"/>
      <protection hidden="1"/>
    </xf>
    <xf numFmtId="0" fontId="0" fillId="33" borderId="8" xfId="0" applyFill="1" applyBorder="1" applyAlignment="1" applyProtection="1">
      <alignment horizontal="right"/>
      <protection hidden="1"/>
    </xf>
    <xf numFmtId="0" fontId="30" fillId="33" borderId="0" xfId="0" applyFont="1" applyFill="1" applyAlignment="1" applyProtection="1">
      <alignment/>
      <protection hidden="1"/>
    </xf>
    <xf numFmtId="0" fontId="3" fillId="33" borderId="8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0" fillId="33" borderId="8" xfId="0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31" fillId="33" borderId="0" xfId="0" applyFont="1" applyFill="1" applyBorder="1" applyAlignment="1" applyProtection="1">
      <alignment horizontal="right"/>
      <protection hidden="1"/>
    </xf>
    <xf numFmtId="0" fontId="2" fillId="33" borderId="8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0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Continuous"/>
      <protection hidden="1"/>
    </xf>
    <xf numFmtId="0" fontId="20" fillId="33" borderId="0" xfId="0" applyFont="1" applyFill="1" applyAlignment="1" applyProtection="1">
      <alignment horizontal="left"/>
      <protection hidden="1"/>
    </xf>
    <xf numFmtId="164" fontId="4" fillId="33" borderId="0" xfId="0" applyNumberFormat="1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Continuous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164" fontId="4" fillId="33" borderId="0" xfId="0" applyNumberFormat="1" applyFont="1" applyFill="1" applyBorder="1" applyAlignment="1" applyProtection="1">
      <alignment horizontal="center"/>
      <protection hidden="1"/>
    </xf>
    <xf numFmtId="164" fontId="4" fillId="33" borderId="0" xfId="0" applyNumberFormat="1" applyFont="1" applyFill="1" applyAlignment="1" applyProtection="1">
      <alignment horizontal="center"/>
      <protection hidden="1"/>
    </xf>
    <xf numFmtId="165" fontId="4" fillId="33" borderId="0" xfId="0" applyNumberFormat="1" applyFont="1" applyFill="1" applyBorder="1" applyAlignment="1" applyProtection="1">
      <alignment horizontal="center"/>
      <protection hidden="1"/>
    </xf>
    <xf numFmtId="165" fontId="4" fillId="33" borderId="14" xfId="0" applyNumberFormat="1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0" fillId="33" borderId="8" xfId="0" applyFont="1" applyFill="1" applyBorder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65" fontId="4" fillId="33" borderId="0" xfId="0" applyNumberFormat="1" applyFont="1" applyFill="1" applyBorder="1" applyAlignment="1" applyProtection="1">
      <alignment/>
      <protection hidden="1"/>
    </xf>
    <xf numFmtId="165" fontId="4" fillId="33" borderId="14" xfId="0" applyNumberFormat="1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right"/>
      <protection hidden="1"/>
    </xf>
    <xf numFmtId="2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right"/>
      <protection hidden="1"/>
    </xf>
    <xf numFmtId="164" fontId="4" fillId="33" borderId="0" xfId="0" applyNumberFormat="1" applyFont="1" applyFill="1" applyAlignment="1" applyProtection="1">
      <alignment horizontal="left"/>
      <protection hidden="1"/>
    </xf>
    <xf numFmtId="0" fontId="3" fillId="33" borderId="8" xfId="0" applyFont="1" applyFill="1" applyBorder="1" applyAlignment="1" applyProtection="1">
      <alignment horizontal="left"/>
      <protection hidden="1"/>
    </xf>
    <xf numFmtId="2" fontId="4" fillId="33" borderId="0" xfId="0" applyNumberFormat="1" applyFont="1" applyFill="1" applyBorder="1" applyAlignment="1" applyProtection="1">
      <alignment horizontal="center"/>
      <protection hidden="1"/>
    </xf>
    <xf numFmtId="0" fontId="0" fillId="33" borderId="8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centerContinuous"/>
      <protection hidden="1"/>
    </xf>
    <xf numFmtId="0" fontId="23" fillId="33" borderId="8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165" fontId="5" fillId="33" borderId="0" xfId="0" applyNumberFormat="1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/>
      <protection hidden="1"/>
    </xf>
    <xf numFmtId="2" fontId="4" fillId="33" borderId="0" xfId="0" applyNumberFormat="1" applyFont="1" applyFill="1" applyAlignment="1" applyProtection="1">
      <alignment horizontal="left"/>
      <protection hidden="1"/>
    </xf>
    <xf numFmtId="0" fontId="4" fillId="33" borderId="0" xfId="0" applyFont="1" applyFill="1" applyAlignment="1" applyProtection="1">
      <alignment/>
      <protection hidden="1"/>
    </xf>
    <xf numFmtId="2" fontId="4" fillId="33" borderId="0" xfId="0" applyNumberFormat="1" applyFont="1" applyFill="1" applyAlignment="1" applyProtection="1">
      <alignment horizontal="center"/>
      <protection hidden="1"/>
    </xf>
    <xf numFmtId="0" fontId="5" fillId="33" borderId="8" xfId="0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right"/>
      <protection hidden="1"/>
    </xf>
    <xf numFmtId="164" fontId="4" fillId="33" borderId="14" xfId="0" applyNumberFormat="1" applyFont="1" applyFill="1" applyBorder="1" applyAlignment="1" applyProtection="1">
      <alignment horizontal="center"/>
      <protection hidden="1"/>
    </xf>
    <xf numFmtId="164" fontId="4" fillId="33" borderId="0" xfId="0" applyNumberFormat="1" applyFont="1" applyFill="1" applyBorder="1" applyAlignment="1" applyProtection="1">
      <alignment horizontal="left"/>
      <protection hidden="1"/>
    </xf>
    <xf numFmtId="165" fontId="12" fillId="33" borderId="0" xfId="0" applyNumberFormat="1" applyFont="1" applyFill="1" applyBorder="1" applyAlignment="1" applyProtection="1">
      <alignment horizontal="right"/>
      <protection hidden="1"/>
    </xf>
    <xf numFmtId="165" fontId="11" fillId="33" borderId="0" xfId="0" applyNumberFormat="1" applyFont="1" applyFill="1" applyBorder="1" applyAlignment="1" applyProtection="1">
      <alignment horizontal="right"/>
      <protection hidden="1"/>
    </xf>
    <xf numFmtId="164" fontId="5" fillId="33" borderId="8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left"/>
      <protection hidden="1"/>
    </xf>
    <xf numFmtId="165" fontId="4" fillId="33" borderId="0" xfId="0" applyNumberFormat="1" applyFont="1" applyFill="1" applyBorder="1" applyAlignment="1" applyProtection="1">
      <alignment horizontal="right"/>
      <protection hidden="1"/>
    </xf>
    <xf numFmtId="2" fontId="4" fillId="33" borderId="0" xfId="0" applyNumberFormat="1" applyFont="1" applyFill="1" applyBorder="1" applyAlignment="1" applyProtection="1">
      <alignment horizontal="left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164" fontId="5" fillId="33" borderId="0" xfId="0" applyNumberFormat="1" applyFont="1" applyFill="1" applyBorder="1" applyAlignment="1" applyProtection="1">
      <alignment horizontal="right"/>
      <protection hidden="1"/>
    </xf>
    <xf numFmtId="164" fontId="4" fillId="33" borderId="0" xfId="0" applyNumberFormat="1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164" fontId="4" fillId="33" borderId="0" xfId="0" applyNumberFormat="1" applyFont="1" applyFill="1" applyBorder="1" applyAlignment="1" applyProtection="1">
      <alignment horizontal="right"/>
      <protection hidden="1"/>
    </xf>
    <xf numFmtId="2" fontId="4" fillId="33" borderId="0" xfId="0" applyNumberFormat="1" applyFont="1" applyFill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/>
      <protection hidden="1"/>
    </xf>
    <xf numFmtId="164" fontId="5" fillId="33" borderId="0" xfId="0" applyNumberFormat="1" applyFont="1" applyFill="1" applyBorder="1" applyAlignment="1" applyProtection="1">
      <alignment horizontal="left"/>
      <protection hidden="1"/>
    </xf>
    <xf numFmtId="2" fontId="5" fillId="33" borderId="0" xfId="0" applyNumberFormat="1" applyFont="1" applyFill="1" applyBorder="1" applyAlignment="1" applyProtection="1">
      <alignment horizontal="left"/>
      <protection hidden="1"/>
    </xf>
    <xf numFmtId="164" fontId="0" fillId="33" borderId="0" xfId="0" applyNumberFormat="1" applyFill="1" applyBorder="1" applyAlignment="1" applyProtection="1">
      <alignment horizontal="center"/>
      <protection hidden="1"/>
    </xf>
    <xf numFmtId="14" fontId="0" fillId="33" borderId="0" xfId="0" applyNumberFormat="1" applyFill="1" applyBorder="1" applyAlignment="1" applyProtection="1">
      <alignment horizontal="center"/>
      <protection hidden="1"/>
    </xf>
    <xf numFmtId="18" fontId="0" fillId="33" borderId="0" xfId="0" applyNumberForma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Continuous"/>
      <protection hidden="1"/>
    </xf>
    <xf numFmtId="0" fontId="0" fillId="35" borderId="19" xfId="0" applyFill="1" applyBorder="1" applyAlignment="1" applyProtection="1">
      <alignment horizontal="centerContinuous"/>
      <protection hidden="1"/>
    </xf>
    <xf numFmtId="0" fontId="2" fillId="35" borderId="19" xfId="0" applyFont="1" applyFill="1" applyBorder="1" applyAlignment="1" applyProtection="1">
      <alignment horizontal="centerContinuous"/>
      <protection hidden="1"/>
    </xf>
    <xf numFmtId="0" fontId="1" fillId="35" borderId="8" xfId="0" applyFont="1" applyFill="1" applyBorder="1" applyAlignment="1" applyProtection="1">
      <alignment horizontal="centerContinuous"/>
      <protection hidden="1"/>
    </xf>
    <xf numFmtId="0" fontId="2" fillId="35" borderId="0" xfId="0" applyFont="1" applyFill="1" applyBorder="1" applyAlignment="1" applyProtection="1">
      <alignment horizontal="centerContinuous"/>
      <protection hidden="1"/>
    </xf>
    <xf numFmtId="0" fontId="1" fillId="35" borderId="0" xfId="0" applyFont="1" applyFill="1" applyBorder="1" applyAlignment="1" applyProtection="1">
      <alignment horizontal="centerContinuous"/>
      <protection hidden="1"/>
    </xf>
    <xf numFmtId="0" fontId="0" fillId="35" borderId="0" xfId="0" applyFill="1" applyBorder="1" applyAlignment="1" applyProtection="1">
      <alignment horizontal="centerContinuous"/>
      <protection hidden="1"/>
    </xf>
    <xf numFmtId="0" fontId="13" fillId="35" borderId="8" xfId="0" applyFont="1" applyFill="1" applyBorder="1" applyAlignment="1" applyProtection="1">
      <alignment horizontal="centerContinuous"/>
      <protection hidden="1"/>
    </xf>
    <xf numFmtId="0" fontId="13" fillId="33" borderId="0" xfId="0" applyFont="1" applyFill="1" applyBorder="1" applyAlignment="1" applyProtection="1">
      <alignment/>
      <protection hidden="1"/>
    </xf>
    <xf numFmtId="1" fontId="4" fillId="33" borderId="0" xfId="0" applyNumberFormat="1" applyFont="1" applyFill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2" fontId="4" fillId="33" borderId="14" xfId="0" applyNumberFormat="1" applyFont="1" applyFill="1" applyBorder="1" applyAlignment="1" applyProtection="1">
      <alignment horizontal="center"/>
      <protection hidden="1"/>
    </xf>
    <xf numFmtId="165" fontId="5" fillId="33" borderId="8" xfId="0" applyNumberFormat="1" applyFont="1" applyFill="1" applyBorder="1" applyAlignment="1" applyProtection="1">
      <alignment horizontal="right"/>
      <protection hidden="1"/>
    </xf>
    <xf numFmtId="164" fontId="4" fillId="33" borderId="0" xfId="0" applyNumberFormat="1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 horizontal="centerContinuous"/>
      <protection hidden="1"/>
    </xf>
    <xf numFmtId="0" fontId="28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5" borderId="14" xfId="0" applyFont="1" applyFill="1" applyBorder="1" applyAlignment="1" applyProtection="1">
      <alignment horizontal="centerContinuous"/>
      <protection hidden="1"/>
    </xf>
    <xf numFmtId="0" fontId="32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Continuous"/>
      <protection hidden="1"/>
    </xf>
    <xf numFmtId="0" fontId="1" fillId="35" borderId="16" xfId="0" applyFont="1" applyFill="1" applyBorder="1" applyAlignment="1" applyProtection="1">
      <alignment horizontal="centerContinuous"/>
      <protection hidden="1"/>
    </xf>
    <xf numFmtId="0" fontId="1" fillId="35" borderId="17" xfId="0" applyFont="1" applyFill="1" applyBorder="1" applyAlignment="1" applyProtection="1">
      <alignment horizontal="centerContinuous"/>
      <protection hidden="1"/>
    </xf>
    <xf numFmtId="0" fontId="4" fillId="33" borderId="0" xfId="0" applyFont="1" applyFill="1" applyAlignment="1" applyProtection="1">
      <alignment horizontal="center"/>
      <protection locked="0"/>
    </xf>
    <xf numFmtId="2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29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0" fillId="33" borderId="18" xfId="0" applyFill="1" applyBorder="1" applyAlignment="1" applyProtection="1">
      <alignment horizontal="right"/>
      <protection hidden="1"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33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/>
    </xf>
    <xf numFmtId="0" fontId="5" fillId="33" borderId="8" xfId="0" applyFont="1" applyFill="1" applyBorder="1" applyAlignment="1" applyProtection="1">
      <alignment/>
      <protection hidden="1"/>
    </xf>
    <xf numFmtId="0" fontId="4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Continuous"/>
      <protection hidden="1"/>
    </xf>
    <xf numFmtId="0" fontId="11" fillId="33" borderId="0" xfId="0" applyFont="1" applyFill="1" applyAlignment="1" applyProtection="1">
      <alignment horizontal="right"/>
      <protection locked="0"/>
    </xf>
    <xf numFmtId="0" fontId="11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/>
      <protection hidden="1"/>
    </xf>
    <xf numFmtId="0" fontId="3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 applyProtection="1">
      <alignment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0" fillId="33" borderId="8" xfId="0" applyFont="1" applyFill="1" applyBorder="1" applyAlignment="1" applyProtection="1">
      <alignment horizontal="right"/>
      <protection hidden="1"/>
    </xf>
    <xf numFmtId="2" fontId="4" fillId="33" borderId="0" xfId="0" applyNumberFormat="1" applyFont="1" applyFill="1" applyAlignment="1" applyProtection="1">
      <alignment horizontal="center"/>
      <protection locked="0"/>
    </xf>
    <xf numFmtId="2" fontId="4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hidden="1"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29" fillId="33" borderId="0" xfId="0" applyNumberFormat="1" applyFont="1" applyFill="1" applyBorder="1" applyAlignment="1" applyProtection="1">
      <alignment horizontal="left"/>
      <protection locked="0"/>
    </xf>
    <xf numFmtId="2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left"/>
      <protection locked="0"/>
    </xf>
    <xf numFmtId="2" fontId="5" fillId="33" borderId="0" xfId="0" applyNumberFormat="1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164" fontId="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right"/>
      <protection hidden="1"/>
    </xf>
    <xf numFmtId="0" fontId="35" fillId="33" borderId="8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2" fontId="5" fillId="33" borderId="0" xfId="0" applyNumberFormat="1" applyFont="1" applyFill="1" applyBorder="1" applyAlignment="1" applyProtection="1">
      <alignment/>
      <protection hidden="1"/>
    </xf>
    <xf numFmtId="164" fontId="5" fillId="33" borderId="0" xfId="0" applyNumberFormat="1" applyFont="1" applyFill="1" applyBorder="1" applyAlignment="1" applyProtection="1">
      <alignment/>
      <protection hidden="1"/>
    </xf>
    <xf numFmtId="165" fontId="5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centerContinuous"/>
      <protection hidden="1"/>
    </xf>
    <xf numFmtId="2" fontId="4" fillId="33" borderId="0" xfId="0" applyNumberFormat="1" applyFont="1" applyFill="1" applyAlignment="1" applyProtection="1">
      <alignment horizontal="right"/>
      <protection locked="0"/>
    </xf>
    <xf numFmtId="0" fontId="5" fillId="33" borderId="14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14" fontId="5" fillId="33" borderId="0" xfId="0" applyNumberFormat="1" applyFont="1" applyFill="1" applyBorder="1" applyAlignment="1" applyProtection="1">
      <alignment horizontal="center"/>
      <protection hidden="1"/>
    </xf>
    <xf numFmtId="0" fontId="36" fillId="33" borderId="0" xfId="0" applyFont="1" applyFill="1" applyBorder="1" applyAlignment="1" applyProtection="1">
      <alignment/>
      <protection hidden="1"/>
    </xf>
    <xf numFmtId="18" fontId="5" fillId="33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164" fontId="12" fillId="33" borderId="0" xfId="0" applyNumberFormat="1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164" fontId="10" fillId="33" borderId="0" xfId="0" applyNumberFormat="1" applyFont="1" applyFill="1" applyAlignment="1" applyProtection="1">
      <alignment horizontal="left"/>
      <protection locked="0"/>
    </xf>
    <xf numFmtId="2" fontId="4" fillId="33" borderId="0" xfId="0" applyNumberFormat="1" applyFont="1" applyFill="1" applyAlignment="1" applyProtection="1" quotePrefix="1">
      <alignment horizontal="center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2" fontId="13" fillId="33" borderId="0" xfId="0" applyNumberFormat="1" applyFont="1" applyFill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horizontal="left"/>
      <protection hidden="1"/>
    </xf>
    <xf numFmtId="165" fontId="4" fillId="33" borderId="0" xfId="0" applyNumberFormat="1" applyFont="1" applyFill="1" applyAlignment="1" applyProtection="1">
      <alignment horizontal="left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hidden="1"/>
    </xf>
    <xf numFmtId="2" fontId="4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left"/>
      <protection hidden="1"/>
    </xf>
    <xf numFmtId="2" fontId="5" fillId="33" borderId="0" xfId="0" applyNumberFormat="1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hidden="1"/>
    </xf>
    <xf numFmtId="164" fontId="23" fillId="33" borderId="0" xfId="0" applyNumberFormat="1" applyFont="1" applyFill="1" applyBorder="1" applyAlignment="1" applyProtection="1">
      <alignment horizontal="left"/>
      <protection hidden="1"/>
    </xf>
    <xf numFmtId="2" fontId="4" fillId="33" borderId="0" xfId="0" applyNumberFormat="1" applyFont="1" applyFill="1" applyBorder="1" applyAlignment="1" applyProtection="1" quotePrefix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165" fontId="4" fillId="33" borderId="0" xfId="0" applyNumberFormat="1" applyFont="1" applyFill="1" applyBorder="1" applyAlignment="1" applyProtection="1">
      <alignment horizontal="left"/>
      <protection hidden="1"/>
    </xf>
    <xf numFmtId="0" fontId="37" fillId="33" borderId="0" xfId="0" applyFont="1" applyFill="1" applyBorder="1" applyAlignment="1" applyProtection="1">
      <alignment horizontal="centerContinuous"/>
      <protection hidden="1"/>
    </xf>
    <xf numFmtId="0" fontId="5" fillId="33" borderId="0" xfId="0" applyFont="1" applyFill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5" fillId="33" borderId="9" xfId="0" applyFont="1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/>
    </xf>
    <xf numFmtId="0" fontId="0" fillId="33" borderId="9" xfId="0" applyFill="1" applyBorder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Continuous"/>
      <protection hidden="1"/>
    </xf>
    <xf numFmtId="0" fontId="16" fillId="33" borderId="0" xfId="0" applyFont="1" applyFill="1" applyAlignment="1" applyProtection="1">
      <alignment horizontal="centerContinuous"/>
      <protection hidden="1"/>
    </xf>
    <xf numFmtId="0" fontId="3" fillId="33" borderId="0" xfId="0" applyFont="1" applyFill="1" applyAlignment="1" applyProtection="1">
      <alignment/>
      <protection hidden="1"/>
    </xf>
    <xf numFmtId="0" fontId="16" fillId="33" borderId="0" xfId="0" applyFont="1" applyFill="1" applyAlignment="1" applyProtection="1">
      <alignment/>
      <protection hidden="1"/>
    </xf>
    <xf numFmtId="0" fontId="2" fillId="33" borderId="13" xfId="0" applyFont="1" applyFill="1" applyBorder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 horizontal="centerContinuous"/>
      <protection hidden="1"/>
    </xf>
    <xf numFmtId="0" fontId="2" fillId="33" borderId="11" xfId="0" applyFont="1" applyFill="1" applyBorder="1" applyAlignment="1" applyProtection="1">
      <alignment horizontal="centerContinuous"/>
      <protection hidden="1"/>
    </xf>
    <xf numFmtId="0" fontId="19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 horizontal="centerContinuous"/>
      <protection hidden="1"/>
    </xf>
    <xf numFmtId="0" fontId="16" fillId="33" borderId="0" xfId="0" applyFont="1" applyFill="1" applyAlignment="1" applyProtection="1">
      <alignment horizontal="center"/>
      <protection hidden="1"/>
    </xf>
    <xf numFmtId="0" fontId="16" fillId="33" borderId="0" xfId="0" applyFont="1" applyFill="1" applyAlignment="1" applyProtection="1">
      <alignment horizontal="right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17" fillId="33" borderId="0" xfId="0" applyFont="1" applyFill="1" applyAlignment="1" applyProtection="1">
      <alignment horizontal="left"/>
      <protection hidden="1"/>
    </xf>
    <xf numFmtId="0" fontId="17" fillId="33" borderId="0" xfId="0" applyFont="1" applyFill="1" applyAlignment="1" applyProtection="1">
      <alignment horizontal="center"/>
      <protection hidden="1"/>
    </xf>
    <xf numFmtId="0" fontId="16" fillId="33" borderId="0" xfId="0" applyFont="1" applyFill="1" applyAlignment="1" applyProtection="1">
      <alignment horizontal="left"/>
      <protection hidden="1"/>
    </xf>
    <xf numFmtId="10" fontId="16" fillId="33" borderId="0" xfId="0" applyNumberFormat="1" applyFont="1" applyFill="1" applyAlignment="1" applyProtection="1" quotePrefix="1">
      <alignment horizontal="center"/>
      <protection hidden="1"/>
    </xf>
    <xf numFmtId="0" fontId="0" fillId="35" borderId="14" xfId="0" applyFill="1" applyBorder="1" applyAlignment="1" applyProtection="1">
      <alignment horizontal="centerContinuous"/>
      <protection hidden="1"/>
    </xf>
    <xf numFmtId="0" fontId="13" fillId="35" borderId="15" xfId="0" applyFont="1" applyFill="1" applyBorder="1" applyAlignment="1" applyProtection="1">
      <alignment horizontal="centerContinuous"/>
      <protection hidden="1"/>
    </xf>
    <xf numFmtId="0" fontId="2" fillId="35" borderId="16" xfId="0" applyFont="1" applyFill="1" applyBorder="1" applyAlignment="1" applyProtection="1">
      <alignment horizontal="centerContinuous"/>
      <protection hidden="1"/>
    </xf>
    <xf numFmtId="0" fontId="0" fillId="35" borderId="16" xfId="0" applyFill="1" applyBorder="1" applyAlignment="1" applyProtection="1">
      <alignment horizontal="centerContinuous"/>
      <protection hidden="1"/>
    </xf>
    <xf numFmtId="0" fontId="0" fillId="35" borderId="17" xfId="0" applyFill="1" applyBorder="1" applyAlignment="1" applyProtection="1">
      <alignment horizontal="centerContinuous"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 quotePrefix="1">
      <alignment horizontal="left"/>
      <protection hidden="1"/>
    </xf>
    <xf numFmtId="0" fontId="0" fillId="33" borderId="0" xfId="0" applyFill="1" applyAlignment="1" applyProtection="1">
      <alignment/>
      <protection hidden="1"/>
    </xf>
    <xf numFmtId="0" fontId="37" fillId="33" borderId="0" xfId="0" applyFont="1" applyFill="1" applyAlignment="1" applyProtection="1">
      <alignment/>
      <protection hidden="1"/>
    </xf>
    <xf numFmtId="0" fontId="28" fillId="33" borderId="0" xfId="0" applyFont="1" applyFill="1" applyBorder="1" applyAlignment="1" applyProtection="1" quotePrefix="1">
      <alignment horizontal="left"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28" fillId="33" borderId="14" xfId="0" applyFont="1" applyFill="1" applyBorder="1" applyAlignment="1" applyProtection="1" quotePrefix="1">
      <alignment/>
      <protection hidden="1"/>
    </xf>
    <xf numFmtId="0" fontId="28" fillId="33" borderId="14" xfId="0" applyFont="1" applyFill="1" applyBorder="1" applyAlignment="1" applyProtection="1" quotePrefix="1">
      <alignment horizontal="left"/>
      <protection hidden="1"/>
    </xf>
    <xf numFmtId="0" fontId="28" fillId="33" borderId="14" xfId="0" applyFont="1" applyFill="1" applyBorder="1" applyAlignment="1" applyProtection="1">
      <alignment horizontal="left"/>
      <protection hidden="1"/>
    </xf>
    <xf numFmtId="0" fontId="38" fillId="33" borderId="14" xfId="0" applyFont="1" applyFill="1" applyBorder="1" applyAlignment="1" applyProtection="1" quotePrefix="1">
      <alignment horizontal="right"/>
      <protection hidden="1"/>
    </xf>
    <xf numFmtId="0" fontId="37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164" fontId="29" fillId="33" borderId="14" xfId="0" applyNumberFormat="1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165" fontId="4" fillId="34" borderId="21" xfId="0" applyNumberFormat="1" applyFont="1" applyFill="1" applyBorder="1" applyAlignment="1" applyProtection="1">
      <alignment horizontal="center"/>
      <protection locked="0"/>
    </xf>
    <xf numFmtId="2" fontId="4" fillId="34" borderId="22" xfId="0" applyNumberFormat="1" applyFont="1" applyFill="1" applyBorder="1" applyAlignment="1" applyProtection="1">
      <alignment horizontal="center"/>
      <protection locked="0"/>
    </xf>
    <xf numFmtId="165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164" fontId="4" fillId="33" borderId="21" xfId="0" applyNumberFormat="1" applyFont="1" applyFill="1" applyBorder="1" applyAlignment="1" applyProtection="1">
      <alignment horizontal="center"/>
      <protection hidden="1"/>
    </xf>
    <xf numFmtId="164" fontId="4" fillId="33" borderId="22" xfId="0" applyNumberFormat="1" applyFont="1" applyFill="1" applyBorder="1" applyAlignment="1" applyProtection="1">
      <alignment horizontal="center"/>
      <protection hidden="1"/>
    </xf>
    <xf numFmtId="164" fontId="4" fillId="33" borderId="23" xfId="0" applyNumberFormat="1" applyFont="1" applyFill="1" applyBorder="1" applyAlignment="1" applyProtection="1">
      <alignment horizontal="center"/>
      <protection hidden="1"/>
    </xf>
    <xf numFmtId="2" fontId="4" fillId="33" borderId="21" xfId="0" applyNumberFormat="1" applyFont="1" applyFill="1" applyBorder="1" applyAlignment="1" applyProtection="1">
      <alignment horizontal="center"/>
      <protection hidden="1"/>
    </xf>
    <xf numFmtId="2" fontId="4" fillId="33" borderId="22" xfId="0" applyNumberFormat="1" applyFont="1" applyFill="1" applyBorder="1" applyAlignment="1" applyProtection="1">
      <alignment horizontal="center"/>
      <protection hidden="1"/>
    </xf>
    <xf numFmtId="2" fontId="4" fillId="33" borderId="22" xfId="0" applyNumberFormat="1" applyFont="1" applyFill="1" applyBorder="1" applyAlignment="1" applyProtection="1">
      <alignment horizontal="center"/>
      <protection hidden="1"/>
    </xf>
    <xf numFmtId="164" fontId="4" fillId="33" borderId="22" xfId="0" applyNumberFormat="1" applyFont="1" applyFill="1" applyBorder="1" applyAlignment="1" applyProtection="1">
      <alignment horizontal="center"/>
      <protection hidden="1"/>
    </xf>
    <xf numFmtId="164" fontId="4" fillId="34" borderId="24" xfId="0" applyNumberFormat="1" applyFont="1" applyFill="1" applyBorder="1" applyAlignment="1" applyProtection="1">
      <alignment horizontal="center"/>
      <protection locked="0"/>
    </xf>
    <xf numFmtId="164" fontId="4" fillId="34" borderId="25" xfId="0" applyNumberFormat="1" applyFont="1" applyFill="1" applyBorder="1" applyAlignment="1" applyProtection="1">
      <alignment horizontal="center"/>
      <protection locked="0"/>
    </xf>
    <xf numFmtId="164" fontId="4" fillId="34" borderId="26" xfId="0" applyNumberFormat="1" applyFont="1" applyFill="1" applyBorder="1" applyAlignment="1" applyProtection="1">
      <alignment horizontal="center"/>
      <protection locked="0"/>
    </xf>
    <xf numFmtId="164" fontId="4" fillId="34" borderId="21" xfId="0" applyNumberFormat="1" applyFont="1" applyFill="1" applyBorder="1" applyAlignment="1" applyProtection="1">
      <alignment horizontal="center"/>
      <protection locked="0"/>
    </xf>
    <xf numFmtId="164" fontId="4" fillId="34" borderId="22" xfId="0" applyNumberFormat="1" applyFont="1" applyFill="1" applyBorder="1" applyAlignment="1" applyProtection="1">
      <alignment horizontal="center"/>
      <protection locked="0"/>
    </xf>
    <xf numFmtId="164" fontId="4" fillId="34" borderId="23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5" fillId="33" borderId="14" xfId="0" applyFont="1" applyFill="1" applyBorder="1" applyAlignment="1" applyProtection="1">
      <alignment/>
      <protection locked="0"/>
    </xf>
    <xf numFmtId="165" fontId="4" fillId="34" borderId="23" xfId="0" applyNumberFormat="1" applyFont="1" applyFill="1" applyBorder="1" applyAlignment="1" applyProtection="1">
      <alignment horizontal="center"/>
      <protection locked="0"/>
    </xf>
    <xf numFmtId="2" fontId="4" fillId="34" borderId="21" xfId="0" applyNumberFormat="1" applyFont="1" applyFill="1" applyBorder="1" applyAlignment="1" applyProtection="1">
      <alignment horizontal="center"/>
      <protection locked="0"/>
    </xf>
    <xf numFmtId="2" fontId="4" fillId="34" borderId="23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Continuous"/>
      <protection hidden="1"/>
    </xf>
    <xf numFmtId="0" fontId="16" fillId="0" borderId="19" xfId="0" applyFont="1" applyFill="1" applyBorder="1" applyAlignment="1" applyProtection="1">
      <alignment horizontal="centerContinuous"/>
      <protection hidden="1"/>
    </xf>
    <xf numFmtId="0" fontId="16" fillId="0" borderId="20" xfId="0" applyFont="1" applyFill="1" applyBorder="1" applyAlignment="1" applyProtection="1">
      <alignment horizontal="centerContinuous"/>
      <protection hidden="1"/>
    </xf>
    <xf numFmtId="0" fontId="16" fillId="0" borderId="8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6" fillId="0" borderId="14" xfId="0" applyFont="1" applyFill="1" applyBorder="1" applyAlignment="1" applyProtection="1">
      <alignment horizontal="centerContinuous"/>
      <protection hidden="1"/>
    </xf>
    <xf numFmtId="0" fontId="16" fillId="0" borderId="15" xfId="0" applyFont="1" applyFill="1" applyBorder="1" applyAlignment="1" applyProtection="1">
      <alignment horizontal="centerContinuous"/>
      <protection hidden="1"/>
    </xf>
    <xf numFmtId="0" fontId="16" fillId="0" borderId="16" xfId="0" applyFont="1" applyFill="1" applyBorder="1" applyAlignment="1" applyProtection="1">
      <alignment horizontal="centerContinuous"/>
      <protection hidden="1"/>
    </xf>
    <xf numFmtId="0" fontId="16" fillId="0" borderId="17" xfId="0" applyFont="1" applyFill="1" applyBorder="1" applyAlignment="1" applyProtection="1">
      <alignment horizontal="centerContinuous"/>
      <protection hidden="1"/>
    </xf>
    <xf numFmtId="164" fontId="4" fillId="33" borderId="0" xfId="0" applyNumberFormat="1" applyFont="1" applyFill="1" applyBorder="1" applyAlignment="1" applyProtection="1">
      <alignment horizontal="left"/>
      <protection locked="0"/>
    </xf>
    <xf numFmtId="0" fontId="0" fillId="33" borderId="8" xfId="0" applyFont="1" applyFill="1" applyBorder="1" applyAlignment="1" applyProtection="1">
      <alignment horizontal="left"/>
      <protection locked="0"/>
    </xf>
    <xf numFmtId="0" fontId="5" fillId="33" borderId="8" xfId="0" applyFont="1" applyFill="1" applyBorder="1" applyAlignment="1" applyProtection="1">
      <alignment horizontal="left"/>
      <protection locked="0"/>
    </xf>
    <xf numFmtId="2" fontId="5" fillId="33" borderId="0" xfId="0" applyNumberFormat="1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hidden="1"/>
    </xf>
    <xf numFmtId="0" fontId="0" fillId="33" borderId="8" xfId="0" applyFill="1" applyBorder="1" applyAlignment="1" applyProtection="1">
      <alignment horizontal="left"/>
      <protection hidden="1"/>
    </xf>
    <xf numFmtId="0" fontId="35" fillId="33" borderId="8" xfId="0" applyFont="1" applyFill="1" applyBorder="1" applyAlignment="1" applyProtection="1">
      <alignment horizontal="left"/>
      <protection hidden="1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 hidden="1"/>
    </xf>
    <xf numFmtId="0" fontId="28" fillId="0" borderId="1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left"/>
      <protection hidden="1"/>
    </xf>
    <xf numFmtId="0" fontId="28" fillId="33" borderId="0" xfId="0" applyFont="1" applyFill="1" applyBorder="1" applyAlignment="1" applyProtection="1" quotePrefix="1">
      <alignment/>
      <protection hidden="1"/>
    </xf>
    <xf numFmtId="0" fontId="37" fillId="33" borderId="0" xfId="0" applyFont="1" applyFill="1" applyBorder="1" applyAlignment="1" applyProtection="1">
      <alignment/>
      <protection hidden="1"/>
    </xf>
    <xf numFmtId="14" fontId="4" fillId="33" borderId="20" xfId="0" applyNumberFormat="1" applyFont="1" applyFill="1" applyBorder="1" applyAlignment="1" applyProtection="1">
      <alignment horizontal="center"/>
      <protection locked="0"/>
    </xf>
    <xf numFmtId="18" fontId="4" fillId="33" borderId="14" xfId="0" applyNumberFormat="1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center"/>
      <protection hidden="1"/>
    </xf>
    <xf numFmtId="14" fontId="0" fillId="33" borderId="20" xfId="0" applyNumberFormat="1" applyFill="1" applyBorder="1" applyAlignment="1" applyProtection="1">
      <alignment horizontal="center"/>
      <protection hidden="1"/>
    </xf>
    <xf numFmtId="18" fontId="0" fillId="33" borderId="14" xfId="0" applyNumberForma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locked="0"/>
    </xf>
    <xf numFmtId="164" fontId="4" fillId="33" borderId="27" xfId="0" applyNumberFormat="1" applyFont="1" applyFill="1" applyBorder="1" applyAlignment="1" applyProtection="1">
      <alignment horizontal="center"/>
      <protection hidden="1"/>
    </xf>
    <xf numFmtId="164" fontId="4" fillId="33" borderId="0" xfId="0" applyNumberFormat="1" applyFont="1" applyFill="1" applyAlignment="1" applyProtection="1">
      <alignment horizontal="left"/>
      <protection hidden="1"/>
    </xf>
    <xf numFmtId="2" fontId="4" fillId="33" borderId="0" xfId="0" applyNumberFormat="1" applyFont="1" applyFill="1" applyAlignment="1" applyProtection="1">
      <alignment horizontal="left"/>
      <protection hidden="1"/>
    </xf>
    <xf numFmtId="0" fontId="23" fillId="33" borderId="0" xfId="0" applyFont="1" applyFill="1" applyBorder="1" applyAlignment="1" applyProtection="1">
      <alignment horizontal="centerContinuous"/>
      <protection hidden="1"/>
    </xf>
    <xf numFmtId="0" fontId="23" fillId="33" borderId="14" xfId="0" applyFont="1" applyFill="1" applyBorder="1" applyAlignment="1" applyProtection="1">
      <alignment horizontal="centerContinuous"/>
      <protection hidden="1"/>
    </xf>
    <xf numFmtId="0" fontId="41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horizontal="right"/>
      <protection hidden="1"/>
    </xf>
    <xf numFmtId="0" fontId="4" fillId="33" borderId="14" xfId="0" applyFont="1" applyFill="1" applyBorder="1" applyAlignment="1" applyProtection="1">
      <alignment/>
      <protection hidden="1"/>
    </xf>
    <xf numFmtId="164" fontId="4" fillId="34" borderId="25" xfId="0" applyNumberFormat="1" applyFont="1" applyFill="1" applyBorder="1" applyAlignment="1" applyProtection="1">
      <alignment horizontal="center"/>
      <protection locked="0"/>
    </xf>
    <xf numFmtId="164" fontId="4" fillId="34" borderId="24" xfId="0" applyNumberFormat="1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right"/>
      <protection hidden="1"/>
    </xf>
    <xf numFmtId="2" fontId="4" fillId="33" borderId="23" xfId="0" applyNumberFormat="1" applyFont="1" applyFill="1" applyBorder="1" applyAlignment="1" applyProtection="1">
      <alignment horizontal="center"/>
      <protection hidden="1"/>
    </xf>
    <xf numFmtId="0" fontId="0" fillId="33" borderId="8" xfId="0" applyFill="1" applyBorder="1" applyAlignment="1" applyProtection="1">
      <alignment/>
      <protection locked="0"/>
    </xf>
    <xf numFmtId="0" fontId="1" fillId="33" borderId="8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/>
      <protection locked="0"/>
    </xf>
    <xf numFmtId="164" fontId="5" fillId="33" borderId="16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64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/>
      <protection locked="0"/>
    </xf>
    <xf numFmtId="164" fontId="1" fillId="33" borderId="19" xfId="0" applyNumberFormat="1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33" borderId="8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 applyProtection="1">
      <alignment/>
      <protection locked="0"/>
    </xf>
    <xf numFmtId="49" fontId="4" fillId="33" borderId="17" xfId="0" applyNumberFormat="1" applyFont="1" applyFill="1" applyBorder="1" applyAlignment="1" applyProtection="1">
      <alignment/>
      <protection locked="0"/>
    </xf>
    <xf numFmtId="49" fontId="4" fillId="33" borderId="15" xfId="0" applyNumberFormat="1" applyFont="1" applyFill="1" applyBorder="1" applyAlignment="1" applyProtection="1">
      <alignment horizontal="left"/>
      <protection locked="0"/>
    </xf>
    <xf numFmtId="49" fontId="7" fillId="33" borderId="16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3" fillId="33" borderId="16" xfId="0" applyFont="1" applyFill="1" applyBorder="1" applyAlignment="1" applyProtection="1">
      <alignment/>
      <protection locked="0"/>
    </xf>
    <xf numFmtId="164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 horizontal="centerContinuous"/>
      <protection hidden="1"/>
    </xf>
    <xf numFmtId="0" fontId="4" fillId="36" borderId="12" xfId="0" applyFont="1" applyFill="1" applyBorder="1" applyAlignment="1" applyProtection="1">
      <alignment horizontal="centerContinuous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5" fillId="36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right"/>
      <protection hidden="1"/>
    </xf>
    <xf numFmtId="164" fontId="78" fillId="37" borderId="10" xfId="0" applyNumberFormat="1" applyFont="1" applyFill="1" applyBorder="1" applyAlignment="1" applyProtection="1">
      <alignment horizontal="center"/>
      <protection locked="0"/>
    </xf>
    <xf numFmtId="164" fontId="4" fillId="36" borderId="10" xfId="0" applyNumberFormat="1" applyFont="1" applyFill="1" applyBorder="1" applyAlignment="1" applyProtection="1">
      <alignment horizont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 PLOT</a:t>
            </a:r>
          </a:p>
        </c:rich>
      </c:tx>
      <c:layout>
        <c:manualLayout>
          <c:xMode val="factor"/>
          <c:yMode val="factor"/>
          <c:x val="0.009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275"/>
          <c:w val="0.910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v>Point Coordinates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(Points!$B$12:$B$36,Points!$E$12:$E$36)</c:f>
              <c:numCache/>
            </c:numRef>
          </c:xVal>
          <c:yVal>
            <c:numRef>
              <c:f>(Points!$C$12:$C$36,Points!$F$12:$F$36)</c:f>
              <c:numCache/>
            </c:numRef>
          </c:yVal>
          <c:smooth val="0"/>
        </c:ser>
        <c:ser>
          <c:idx val="1"/>
          <c:order val="1"/>
          <c:tx>
            <c:v>Centroid of Section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Points!$B$42</c:f>
              <c:numCache/>
            </c:numRef>
          </c:xVal>
          <c:yVal>
            <c:numRef>
              <c:f>Points!$B$43</c:f>
              <c:numCache/>
            </c:numRef>
          </c:yVal>
          <c:smooth val="0"/>
        </c:ser>
        <c:ser>
          <c:idx val="2"/>
          <c:order val="2"/>
          <c:tx>
            <c:v>Plot Scale Factors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Points!$AE$4</c:f>
              <c:numCache/>
            </c:numRef>
          </c:xVal>
          <c:yVal>
            <c:numRef>
              <c:f>Points!$AF$4</c:f>
              <c:numCache/>
            </c:numRef>
          </c:yVal>
          <c:smooth val="0"/>
        </c:ser>
        <c:axId val="2071328"/>
        <c:axId val="18641953"/>
      </c:scatterChart>
      <c:val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- AXIS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crossBetween val="midCat"/>
        <c:dispUnits/>
        <c:majorUnit val="1"/>
        <c:minorUnit val="1"/>
      </c:val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- AXIS</a:t>
                </a:r>
              </a:p>
            </c:rich>
          </c:tx>
          <c:layout>
            <c:manualLayout>
              <c:xMode val="factor"/>
              <c:yMode val="factor"/>
              <c:x val="0.008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29</xdr:row>
      <xdr:rowOff>47625</xdr:rowOff>
    </xdr:from>
    <xdr:to>
      <xdr:col>8</xdr:col>
      <xdr:colOff>742950</xdr:colOff>
      <xdr:row>40</xdr:row>
      <xdr:rowOff>47625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rcRect l="43316" t="21247" r="23158" b="23367"/>
        <a:stretch>
          <a:fillRect/>
        </a:stretch>
      </xdr:blipFill>
      <xdr:spPr>
        <a:xfrm>
          <a:off x="4143375" y="4781550"/>
          <a:ext cx="1857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2" name="Line 52"/>
        <xdr:cNvSpPr>
          <a:spLocks/>
        </xdr:cNvSpPr>
      </xdr:nvSpPr>
      <xdr:spPr>
        <a:xfrm>
          <a:off x="3829050" y="5219700"/>
          <a:ext cx="1314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32</xdr:row>
      <xdr:rowOff>0</xdr:rowOff>
    </xdr:from>
    <xdr:to>
      <xdr:col>5</xdr:col>
      <xdr:colOff>571500</xdr:colOff>
      <xdr:row>39</xdr:row>
      <xdr:rowOff>123825</xdr:rowOff>
    </xdr:to>
    <xdr:sp>
      <xdr:nvSpPr>
        <xdr:cNvPr id="3" name="Line 53"/>
        <xdr:cNvSpPr>
          <a:spLocks/>
        </xdr:cNvSpPr>
      </xdr:nvSpPr>
      <xdr:spPr>
        <a:xfrm>
          <a:off x="3943350" y="5219700"/>
          <a:ext cx="0" cy="125730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29</xdr:row>
      <xdr:rowOff>95250</xdr:rowOff>
    </xdr:from>
    <xdr:to>
      <xdr:col>8</xdr:col>
      <xdr:colOff>228600</xdr:colOff>
      <xdr:row>38</xdr:row>
      <xdr:rowOff>114300</xdr:rowOff>
    </xdr:to>
    <xdr:sp>
      <xdr:nvSpPr>
        <xdr:cNvPr id="4" name="Line 56"/>
        <xdr:cNvSpPr>
          <a:spLocks/>
        </xdr:cNvSpPr>
      </xdr:nvSpPr>
      <xdr:spPr>
        <a:xfrm flipV="1">
          <a:off x="5486400" y="4829175"/>
          <a:ext cx="0" cy="1476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30</xdr:row>
      <xdr:rowOff>38100</xdr:rowOff>
    </xdr:from>
    <xdr:to>
      <xdr:col>8</xdr:col>
      <xdr:colOff>228600</xdr:colOff>
      <xdr:row>30</xdr:row>
      <xdr:rowOff>38100</xdr:rowOff>
    </xdr:to>
    <xdr:sp>
      <xdr:nvSpPr>
        <xdr:cNvPr id="5" name="Line 57"/>
        <xdr:cNvSpPr>
          <a:spLocks/>
        </xdr:cNvSpPr>
      </xdr:nvSpPr>
      <xdr:spPr>
        <a:xfrm flipV="1">
          <a:off x="4133850" y="4933950"/>
          <a:ext cx="1352550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400050</xdr:colOff>
      <xdr:row>35</xdr:row>
      <xdr:rowOff>38100</xdr:rowOff>
    </xdr:from>
    <xdr:ext cx="200025" cy="190500"/>
    <xdr:sp>
      <xdr:nvSpPr>
        <xdr:cNvPr id="6" name="Text Box 58"/>
        <xdr:cNvSpPr txBox="1">
          <a:spLocks noChangeArrowheads="1"/>
        </xdr:cNvSpPr>
      </xdr:nvSpPr>
      <xdr:spPr>
        <a:xfrm>
          <a:off x="3771900" y="57435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</a:t>
          </a:r>
        </a:p>
      </xdr:txBody>
    </xdr:sp>
    <xdr:clientData/>
  </xdr:oneCellAnchor>
  <xdr:oneCellAnchor>
    <xdr:from>
      <xdr:col>7</xdr:col>
      <xdr:colOff>152400</xdr:colOff>
      <xdr:row>29</xdr:row>
      <xdr:rowOff>47625</xdr:rowOff>
    </xdr:from>
    <xdr:ext cx="200025" cy="190500"/>
    <xdr:sp>
      <xdr:nvSpPr>
        <xdr:cNvPr id="7" name="Text Box 59"/>
        <xdr:cNvSpPr txBox="1">
          <a:spLocks noChangeArrowheads="1"/>
        </xdr:cNvSpPr>
      </xdr:nvSpPr>
      <xdr:spPr>
        <a:xfrm>
          <a:off x="4743450" y="47815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Xt</a:t>
          </a:r>
        </a:p>
      </xdr:txBody>
    </xdr:sp>
    <xdr:clientData/>
  </xdr:oneCellAnchor>
  <xdr:twoCellAnchor>
    <xdr:from>
      <xdr:col>6</xdr:col>
      <xdr:colOff>161925</xdr:colOff>
      <xdr:row>28</xdr:row>
      <xdr:rowOff>133350</xdr:rowOff>
    </xdr:from>
    <xdr:to>
      <xdr:col>6</xdr:col>
      <xdr:colOff>161925</xdr:colOff>
      <xdr:row>39</xdr:row>
      <xdr:rowOff>133350</xdr:rowOff>
    </xdr:to>
    <xdr:sp>
      <xdr:nvSpPr>
        <xdr:cNvPr id="8" name="Line 63"/>
        <xdr:cNvSpPr>
          <a:spLocks/>
        </xdr:cNvSpPr>
      </xdr:nvSpPr>
      <xdr:spPr>
        <a:xfrm flipV="1">
          <a:off x="4143375" y="4705350"/>
          <a:ext cx="0" cy="1781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47625</xdr:colOff>
      <xdr:row>27</xdr:row>
      <xdr:rowOff>152400</xdr:rowOff>
    </xdr:from>
    <xdr:ext cx="200025" cy="190500"/>
    <xdr:sp>
      <xdr:nvSpPr>
        <xdr:cNvPr id="9" name="Text Box 64"/>
        <xdr:cNvSpPr txBox="1">
          <a:spLocks noChangeArrowheads="1"/>
        </xdr:cNvSpPr>
      </xdr:nvSpPr>
      <xdr:spPr>
        <a:xfrm>
          <a:off x="4029075" y="4562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+Y</a:t>
          </a:r>
        </a:p>
      </xdr:txBody>
    </xdr:sp>
    <xdr:clientData/>
  </xdr:oneCellAnchor>
  <xdr:twoCellAnchor>
    <xdr:from>
      <xdr:col>5</xdr:col>
      <xdr:colOff>447675</xdr:colOff>
      <xdr:row>39</xdr:row>
      <xdr:rowOff>133350</xdr:rowOff>
    </xdr:from>
    <xdr:to>
      <xdr:col>6</xdr:col>
      <xdr:colOff>114300</xdr:colOff>
      <xdr:row>39</xdr:row>
      <xdr:rowOff>133350</xdr:rowOff>
    </xdr:to>
    <xdr:sp>
      <xdr:nvSpPr>
        <xdr:cNvPr id="10" name="Line 65"/>
        <xdr:cNvSpPr>
          <a:spLocks/>
        </xdr:cNvSpPr>
      </xdr:nvSpPr>
      <xdr:spPr>
        <a:xfrm flipH="1">
          <a:off x="3819525" y="6486525"/>
          <a:ext cx="276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38</xdr:row>
      <xdr:rowOff>104775</xdr:rowOff>
    </xdr:from>
    <xdr:to>
      <xdr:col>8</xdr:col>
      <xdr:colOff>714375</xdr:colOff>
      <xdr:row>40</xdr:row>
      <xdr:rowOff>19050</xdr:rowOff>
    </xdr:to>
    <xdr:sp>
      <xdr:nvSpPr>
        <xdr:cNvPr id="11" name="Rectangle 67"/>
        <xdr:cNvSpPr>
          <a:spLocks/>
        </xdr:cNvSpPr>
      </xdr:nvSpPr>
      <xdr:spPr>
        <a:xfrm>
          <a:off x="5495925" y="6296025"/>
          <a:ext cx="476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39</xdr:row>
      <xdr:rowOff>133350</xdr:rowOff>
    </xdr:from>
    <xdr:to>
      <xdr:col>8</xdr:col>
      <xdr:colOff>476250</xdr:colOff>
      <xdr:row>39</xdr:row>
      <xdr:rowOff>133350</xdr:rowOff>
    </xdr:to>
    <xdr:sp>
      <xdr:nvSpPr>
        <xdr:cNvPr id="12" name="Line 68"/>
        <xdr:cNvSpPr>
          <a:spLocks/>
        </xdr:cNvSpPr>
      </xdr:nvSpPr>
      <xdr:spPr>
        <a:xfrm>
          <a:off x="4143375" y="6486525"/>
          <a:ext cx="1590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485775</xdr:colOff>
      <xdr:row>39</xdr:row>
      <xdr:rowOff>47625</xdr:rowOff>
    </xdr:from>
    <xdr:ext cx="200025" cy="190500"/>
    <xdr:sp>
      <xdr:nvSpPr>
        <xdr:cNvPr id="13" name="Text Box 69"/>
        <xdr:cNvSpPr txBox="1">
          <a:spLocks noChangeArrowheads="1"/>
        </xdr:cNvSpPr>
      </xdr:nvSpPr>
      <xdr:spPr>
        <a:xfrm>
          <a:off x="5743575" y="6400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+X</a:t>
          </a:r>
        </a:p>
      </xdr:txBody>
    </xdr:sp>
    <xdr:clientData/>
  </xdr:oneCellAnchor>
  <xdr:twoCellAnchor>
    <xdr:from>
      <xdr:col>6</xdr:col>
      <xdr:colOff>0</xdr:colOff>
      <xdr:row>39</xdr:row>
      <xdr:rowOff>133350</xdr:rowOff>
    </xdr:from>
    <xdr:to>
      <xdr:col>6</xdr:col>
      <xdr:colOff>161925</xdr:colOff>
      <xdr:row>40</xdr:row>
      <xdr:rowOff>133350</xdr:rowOff>
    </xdr:to>
    <xdr:sp>
      <xdr:nvSpPr>
        <xdr:cNvPr id="14" name="Line 70"/>
        <xdr:cNvSpPr>
          <a:spLocks/>
        </xdr:cNvSpPr>
      </xdr:nvSpPr>
      <xdr:spPr>
        <a:xfrm flipH="1">
          <a:off x="3981450" y="6486525"/>
          <a:ext cx="161925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447675</xdr:colOff>
      <xdr:row>40</xdr:row>
      <xdr:rowOff>66675</xdr:rowOff>
    </xdr:from>
    <xdr:ext cx="200025" cy="190500"/>
    <xdr:sp>
      <xdr:nvSpPr>
        <xdr:cNvPr id="15" name="Text Box 71"/>
        <xdr:cNvSpPr txBox="1">
          <a:spLocks noChangeArrowheads="1"/>
        </xdr:cNvSpPr>
      </xdr:nvSpPr>
      <xdr:spPr>
        <a:xfrm>
          <a:off x="3819525" y="658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+Z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9525</xdr:rowOff>
    </xdr:from>
    <xdr:to>
      <xdr:col>8</xdr:col>
      <xdr:colOff>809625</xdr:colOff>
      <xdr:row>25</xdr:row>
      <xdr:rowOff>133350</xdr:rowOff>
    </xdr:to>
    <xdr:graphicFrame>
      <xdr:nvGraphicFramePr>
        <xdr:cNvPr id="1" name="Chart 20"/>
        <xdr:cNvGraphicFramePr/>
      </xdr:nvGraphicFramePr>
      <xdr:xfrm>
        <a:off x="3952875" y="1343025"/>
        <a:ext cx="20764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27</xdr:row>
      <xdr:rowOff>47625</xdr:rowOff>
    </xdr:from>
    <xdr:to>
      <xdr:col>7</xdr:col>
      <xdr:colOff>57150</xdr:colOff>
      <xdr:row>35</xdr:row>
      <xdr:rowOff>123825</xdr:rowOff>
    </xdr:to>
    <xdr:sp>
      <xdr:nvSpPr>
        <xdr:cNvPr id="2" name="Rectangle 22"/>
        <xdr:cNvSpPr>
          <a:spLocks/>
        </xdr:cNvSpPr>
      </xdr:nvSpPr>
      <xdr:spPr>
        <a:xfrm>
          <a:off x="4381500" y="4457700"/>
          <a:ext cx="228600" cy="1371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27</xdr:row>
      <xdr:rowOff>47625</xdr:rowOff>
    </xdr:from>
    <xdr:to>
      <xdr:col>8</xdr:col>
      <xdr:colOff>533400</xdr:colOff>
      <xdr:row>35</xdr:row>
      <xdr:rowOff>123825</xdr:rowOff>
    </xdr:to>
    <xdr:sp>
      <xdr:nvSpPr>
        <xdr:cNvPr id="3" name="Rectangle 23"/>
        <xdr:cNvSpPr>
          <a:spLocks/>
        </xdr:cNvSpPr>
      </xdr:nvSpPr>
      <xdr:spPr>
        <a:xfrm>
          <a:off x="5524500" y="4457700"/>
          <a:ext cx="228600" cy="1371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27</xdr:row>
      <xdr:rowOff>47625</xdr:rowOff>
    </xdr:from>
    <xdr:to>
      <xdr:col>8</xdr:col>
      <xdr:colOff>533400</xdr:colOff>
      <xdr:row>28</xdr:row>
      <xdr:rowOff>114300</xdr:rowOff>
    </xdr:to>
    <xdr:sp>
      <xdr:nvSpPr>
        <xdr:cNvPr id="4" name="Rectangle 24"/>
        <xdr:cNvSpPr>
          <a:spLocks/>
        </xdr:cNvSpPr>
      </xdr:nvSpPr>
      <xdr:spPr>
        <a:xfrm>
          <a:off x="4381500" y="4457700"/>
          <a:ext cx="13716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34</xdr:row>
      <xdr:rowOff>57150</xdr:rowOff>
    </xdr:from>
    <xdr:to>
      <xdr:col>8</xdr:col>
      <xdr:colOff>533400</xdr:colOff>
      <xdr:row>35</xdr:row>
      <xdr:rowOff>123825</xdr:rowOff>
    </xdr:to>
    <xdr:sp>
      <xdr:nvSpPr>
        <xdr:cNvPr id="5" name="Rectangle 25"/>
        <xdr:cNvSpPr>
          <a:spLocks/>
        </xdr:cNvSpPr>
      </xdr:nvSpPr>
      <xdr:spPr>
        <a:xfrm>
          <a:off x="4381500" y="5600700"/>
          <a:ext cx="13716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34</xdr:row>
      <xdr:rowOff>57150</xdr:rowOff>
    </xdr:from>
    <xdr:to>
      <xdr:col>7</xdr:col>
      <xdr:colOff>542925</xdr:colOff>
      <xdr:row>35</xdr:row>
      <xdr:rowOff>123825</xdr:rowOff>
    </xdr:to>
    <xdr:sp>
      <xdr:nvSpPr>
        <xdr:cNvPr id="6" name="Line 26"/>
        <xdr:cNvSpPr>
          <a:spLocks/>
        </xdr:cNvSpPr>
      </xdr:nvSpPr>
      <xdr:spPr>
        <a:xfrm>
          <a:off x="5095875" y="5600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28</xdr:row>
      <xdr:rowOff>114300</xdr:rowOff>
    </xdr:from>
    <xdr:to>
      <xdr:col>7</xdr:col>
      <xdr:colOff>47625</xdr:colOff>
      <xdr:row>28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391025" y="4686300"/>
          <a:ext cx="209550" cy="0"/>
        </a:xfrm>
        <a:prstGeom prst="line">
          <a:avLst/>
        </a:prstGeom>
        <a:noFill/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28</xdr:row>
      <xdr:rowOff>114300</xdr:rowOff>
    </xdr:from>
    <xdr:to>
      <xdr:col>8</xdr:col>
      <xdr:colOff>523875</xdr:colOff>
      <xdr:row>28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5534025" y="4686300"/>
          <a:ext cx="209550" cy="0"/>
        </a:xfrm>
        <a:prstGeom prst="line">
          <a:avLst/>
        </a:prstGeom>
        <a:noFill/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34</xdr:row>
      <xdr:rowOff>57150</xdr:rowOff>
    </xdr:from>
    <xdr:to>
      <xdr:col>7</xdr:col>
      <xdr:colOff>47625</xdr:colOff>
      <xdr:row>34</xdr:row>
      <xdr:rowOff>57150</xdr:rowOff>
    </xdr:to>
    <xdr:sp>
      <xdr:nvSpPr>
        <xdr:cNvPr id="9" name="Line 29"/>
        <xdr:cNvSpPr>
          <a:spLocks/>
        </xdr:cNvSpPr>
      </xdr:nvSpPr>
      <xdr:spPr>
        <a:xfrm>
          <a:off x="4391025" y="5600700"/>
          <a:ext cx="209550" cy="0"/>
        </a:xfrm>
        <a:prstGeom prst="line">
          <a:avLst/>
        </a:prstGeom>
        <a:noFill/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34</xdr:row>
      <xdr:rowOff>57150</xdr:rowOff>
    </xdr:from>
    <xdr:to>
      <xdr:col>8</xdr:col>
      <xdr:colOff>523875</xdr:colOff>
      <xdr:row>34</xdr:row>
      <xdr:rowOff>57150</xdr:rowOff>
    </xdr:to>
    <xdr:sp>
      <xdr:nvSpPr>
        <xdr:cNvPr id="10" name="Line 30"/>
        <xdr:cNvSpPr>
          <a:spLocks/>
        </xdr:cNvSpPr>
      </xdr:nvSpPr>
      <xdr:spPr>
        <a:xfrm>
          <a:off x="5534025" y="5600700"/>
          <a:ext cx="209550" cy="0"/>
        </a:xfrm>
        <a:prstGeom prst="line">
          <a:avLst/>
        </a:prstGeom>
        <a:noFill/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142875</xdr:rowOff>
    </xdr:from>
    <xdr:to>
      <xdr:col>6</xdr:col>
      <xdr:colOff>228600</xdr:colOff>
      <xdr:row>37</xdr:row>
      <xdr:rowOff>28575</xdr:rowOff>
    </xdr:to>
    <xdr:sp>
      <xdr:nvSpPr>
        <xdr:cNvPr id="11" name="Line 31"/>
        <xdr:cNvSpPr>
          <a:spLocks/>
        </xdr:cNvSpPr>
      </xdr:nvSpPr>
      <xdr:spPr>
        <a:xfrm flipV="1">
          <a:off x="4171950" y="422910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28575</xdr:rowOff>
    </xdr:from>
    <xdr:to>
      <xdr:col>8</xdr:col>
      <xdr:colOff>685800</xdr:colOff>
      <xdr:row>37</xdr:row>
      <xdr:rowOff>28575</xdr:rowOff>
    </xdr:to>
    <xdr:sp>
      <xdr:nvSpPr>
        <xdr:cNvPr id="12" name="Line 32"/>
        <xdr:cNvSpPr>
          <a:spLocks/>
        </xdr:cNvSpPr>
      </xdr:nvSpPr>
      <xdr:spPr>
        <a:xfrm>
          <a:off x="4171950" y="60579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38100</xdr:rowOff>
    </xdr:from>
    <xdr:to>
      <xdr:col>7</xdr:col>
      <xdr:colOff>323850</xdr:colOff>
      <xdr:row>36</xdr:row>
      <xdr:rowOff>38100</xdr:rowOff>
    </xdr:to>
    <xdr:sp>
      <xdr:nvSpPr>
        <xdr:cNvPr id="13" name="Line 33"/>
        <xdr:cNvSpPr>
          <a:spLocks/>
        </xdr:cNvSpPr>
      </xdr:nvSpPr>
      <xdr:spPr>
        <a:xfrm flipH="1">
          <a:off x="4600575" y="5905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30</xdr:row>
      <xdr:rowOff>104775</xdr:rowOff>
    </xdr:from>
    <xdr:to>
      <xdr:col>6</xdr:col>
      <xdr:colOff>361950</xdr:colOff>
      <xdr:row>32</xdr:row>
      <xdr:rowOff>57150</xdr:rowOff>
    </xdr:to>
    <xdr:sp>
      <xdr:nvSpPr>
        <xdr:cNvPr id="14" name="Line 34"/>
        <xdr:cNvSpPr>
          <a:spLocks/>
        </xdr:cNvSpPr>
      </xdr:nvSpPr>
      <xdr:spPr>
        <a:xfrm flipV="1">
          <a:off x="4305300" y="5000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26</xdr:row>
      <xdr:rowOff>95250</xdr:rowOff>
    </xdr:from>
    <xdr:to>
      <xdr:col>8</xdr:col>
      <xdr:colOff>28575</xdr:colOff>
      <xdr:row>26</xdr:row>
      <xdr:rowOff>95250</xdr:rowOff>
    </xdr:to>
    <xdr:sp>
      <xdr:nvSpPr>
        <xdr:cNvPr id="15" name="Line 35"/>
        <xdr:cNvSpPr>
          <a:spLocks/>
        </xdr:cNvSpPr>
      </xdr:nvSpPr>
      <xdr:spPr>
        <a:xfrm>
          <a:off x="4914900" y="4343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30</xdr:row>
      <xdr:rowOff>133350</xdr:rowOff>
    </xdr:from>
    <xdr:to>
      <xdr:col>8</xdr:col>
      <xdr:colOff>600075</xdr:colOff>
      <xdr:row>32</xdr:row>
      <xdr:rowOff>85725</xdr:rowOff>
    </xdr:to>
    <xdr:sp>
      <xdr:nvSpPr>
        <xdr:cNvPr id="16" name="Line 36"/>
        <xdr:cNvSpPr>
          <a:spLocks/>
        </xdr:cNvSpPr>
      </xdr:nvSpPr>
      <xdr:spPr>
        <a:xfrm>
          <a:off x="5819775" y="5029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36</xdr:row>
      <xdr:rowOff>38100</xdr:rowOff>
    </xdr:from>
    <xdr:to>
      <xdr:col>8</xdr:col>
      <xdr:colOff>371475</xdr:colOff>
      <xdr:row>36</xdr:row>
      <xdr:rowOff>38100</xdr:rowOff>
    </xdr:to>
    <xdr:sp>
      <xdr:nvSpPr>
        <xdr:cNvPr id="17" name="Line 37"/>
        <xdr:cNvSpPr>
          <a:spLocks/>
        </xdr:cNvSpPr>
      </xdr:nvSpPr>
      <xdr:spPr>
        <a:xfrm flipH="1">
          <a:off x="5314950" y="5905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34</xdr:row>
      <xdr:rowOff>104775</xdr:rowOff>
    </xdr:from>
    <xdr:to>
      <xdr:col>7</xdr:col>
      <xdr:colOff>600075</xdr:colOff>
      <xdr:row>35</xdr:row>
      <xdr:rowOff>76200</xdr:rowOff>
    </xdr:to>
    <xdr:sp>
      <xdr:nvSpPr>
        <xdr:cNvPr id="18" name="Line 38"/>
        <xdr:cNvSpPr>
          <a:spLocks/>
        </xdr:cNvSpPr>
      </xdr:nvSpPr>
      <xdr:spPr>
        <a:xfrm flipV="1">
          <a:off x="5153025" y="5648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95250</xdr:rowOff>
    </xdr:from>
    <xdr:to>
      <xdr:col>8</xdr:col>
      <xdr:colOff>190500</xdr:colOff>
      <xdr:row>33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5229225" y="5476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142875</xdr:rowOff>
    </xdr:from>
    <xdr:to>
      <xdr:col>8</xdr:col>
      <xdr:colOff>247650</xdr:colOff>
      <xdr:row>32</xdr:row>
      <xdr:rowOff>0</xdr:rowOff>
    </xdr:to>
    <xdr:sp>
      <xdr:nvSpPr>
        <xdr:cNvPr id="20" name="Line 40"/>
        <xdr:cNvSpPr>
          <a:spLocks/>
        </xdr:cNvSpPr>
      </xdr:nvSpPr>
      <xdr:spPr>
        <a:xfrm flipV="1">
          <a:off x="5467350" y="5038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29</xdr:row>
      <xdr:rowOff>28575</xdr:rowOff>
    </xdr:from>
    <xdr:to>
      <xdr:col>7</xdr:col>
      <xdr:colOff>638175</xdr:colOff>
      <xdr:row>29</xdr:row>
      <xdr:rowOff>28575</xdr:rowOff>
    </xdr:to>
    <xdr:sp>
      <xdr:nvSpPr>
        <xdr:cNvPr id="21" name="Line 41"/>
        <xdr:cNvSpPr>
          <a:spLocks/>
        </xdr:cNvSpPr>
      </xdr:nvSpPr>
      <xdr:spPr>
        <a:xfrm flipH="1">
          <a:off x="4953000" y="4762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30</xdr:row>
      <xdr:rowOff>152400</xdr:rowOff>
    </xdr:from>
    <xdr:to>
      <xdr:col>7</xdr:col>
      <xdr:colOff>133350</xdr:colOff>
      <xdr:row>32</xdr:row>
      <xdr:rowOff>9525</xdr:rowOff>
    </xdr:to>
    <xdr:sp>
      <xdr:nvSpPr>
        <xdr:cNvPr id="22" name="Line 42"/>
        <xdr:cNvSpPr>
          <a:spLocks/>
        </xdr:cNvSpPr>
      </xdr:nvSpPr>
      <xdr:spPr>
        <a:xfrm>
          <a:off x="4686300" y="504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33</xdr:row>
      <xdr:rowOff>104775</xdr:rowOff>
    </xdr:from>
    <xdr:to>
      <xdr:col>7</xdr:col>
      <xdr:colOff>400050</xdr:colOff>
      <xdr:row>33</xdr:row>
      <xdr:rowOff>104775</xdr:rowOff>
    </xdr:to>
    <xdr:sp>
      <xdr:nvSpPr>
        <xdr:cNvPr id="23" name="Line 43"/>
        <xdr:cNvSpPr>
          <a:spLocks/>
        </xdr:cNvSpPr>
      </xdr:nvSpPr>
      <xdr:spPr>
        <a:xfrm>
          <a:off x="4772025" y="5486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24</xdr:row>
      <xdr:rowOff>66675</xdr:rowOff>
    </xdr:from>
    <xdr:to>
      <xdr:col>8</xdr:col>
      <xdr:colOff>514350</xdr:colOff>
      <xdr:row>24</xdr:row>
      <xdr:rowOff>66675</xdr:rowOff>
    </xdr:to>
    <xdr:sp>
      <xdr:nvSpPr>
        <xdr:cNvPr id="24" name="Line 44"/>
        <xdr:cNvSpPr>
          <a:spLocks/>
        </xdr:cNvSpPr>
      </xdr:nvSpPr>
      <xdr:spPr>
        <a:xfrm>
          <a:off x="5372100" y="3990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95250</xdr:rowOff>
    </xdr:from>
    <xdr:to>
      <xdr:col>6</xdr:col>
      <xdr:colOff>95250</xdr:colOff>
      <xdr:row>15</xdr:row>
      <xdr:rowOff>133350</xdr:rowOff>
    </xdr:to>
    <xdr:sp>
      <xdr:nvSpPr>
        <xdr:cNvPr id="25" name="Line 45"/>
        <xdr:cNvSpPr>
          <a:spLocks/>
        </xdr:cNvSpPr>
      </xdr:nvSpPr>
      <xdr:spPr>
        <a:xfrm flipV="1">
          <a:off x="4038600" y="2238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28575</xdr:rowOff>
    </xdr:from>
    <xdr:to>
      <xdr:col>8</xdr:col>
      <xdr:colOff>781050</xdr:colOff>
      <xdr:row>44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3390900" y="1524000"/>
          <a:ext cx="2590800" cy="5810250"/>
          <a:chOff x="356" y="160"/>
          <a:chExt cx="272" cy="61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42005" t="28187" r="44921" b="21379"/>
          <a:stretch>
            <a:fillRect/>
          </a:stretch>
        </xdr:blipFill>
        <xdr:spPr>
          <a:xfrm>
            <a:off x="356" y="160"/>
            <a:ext cx="272" cy="6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"/>
          <xdr:cNvSpPr>
            <a:spLocks/>
          </xdr:cNvSpPr>
        </xdr:nvSpPr>
        <xdr:spPr>
          <a:xfrm>
            <a:off x="495" y="257"/>
            <a:ext cx="8" cy="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502" y="255"/>
            <a:ext cx="0" cy="5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19</xdr:row>
      <xdr:rowOff>0</xdr:rowOff>
    </xdr:from>
    <xdr:to>
      <xdr:col>33</xdr:col>
      <xdr:colOff>0</xdr:colOff>
      <xdr:row>23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6619875" y="3114675"/>
          <a:ext cx="3657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33</xdr:col>
      <xdr:colOff>0</xdr:colOff>
      <xdr:row>29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6619875" y="4086225"/>
          <a:ext cx="3657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9.140625" style="20" customWidth="1"/>
    <col min="10" max="10" width="5.7109375" style="20" customWidth="1"/>
    <col min="11" max="16384" width="9.140625" style="20" customWidth="1"/>
  </cols>
  <sheetData>
    <row r="1" spans="1:10" ht="15.75">
      <c r="A1" s="229" t="s">
        <v>263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30"/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31" t="s">
        <v>8</v>
      </c>
    </row>
    <row r="4" spans="1:10" ht="12.75">
      <c r="A4" s="232"/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2.75">
      <c r="A5" s="232" t="s">
        <v>264</v>
      </c>
      <c r="B5" s="232"/>
      <c r="C5" s="232"/>
      <c r="D5" s="232"/>
      <c r="E5" s="232"/>
      <c r="F5" s="232"/>
      <c r="G5" s="232"/>
      <c r="H5" s="232"/>
      <c r="I5" s="232"/>
      <c r="J5" s="232"/>
    </row>
    <row r="6" spans="1:10" ht="12.75">
      <c r="A6" s="232" t="s">
        <v>159</v>
      </c>
      <c r="B6" s="232"/>
      <c r="C6" s="232"/>
      <c r="D6" s="232"/>
      <c r="E6" s="232"/>
      <c r="F6" s="232"/>
      <c r="G6" s="232"/>
      <c r="H6" s="232"/>
      <c r="I6" s="232"/>
      <c r="J6" s="232"/>
    </row>
    <row r="7" spans="1:10" ht="12.75">
      <c r="A7" s="232" t="s">
        <v>160</v>
      </c>
      <c r="B7" s="232"/>
      <c r="C7" s="232"/>
      <c r="D7" s="232"/>
      <c r="E7" s="232"/>
      <c r="F7" s="232"/>
      <c r="G7" s="232"/>
      <c r="H7" s="232"/>
      <c r="I7" s="232"/>
      <c r="J7" s="232"/>
    </row>
    <row r="8" spans="1:10" ht="12.75">
      <c r="A8" s="232" t="s">
        <v>317</v>
      </c>
      <c r="B8" s="232"/>
      <c r="C8" s="232"/>
      <c r="D8" s="232"/>
      <c r="E8" s="232"/>
      <c r="F8" s="232"/>
      <c r="G8" s="232"/>
      <c r="H8" s="232"/>
      <c r="I8" s="232"/>
      <c r="J8" s="232"/>
    </row>
    <row r="9" spans="1:10" ht="12.75">
      <c r="A9" s="232" t="s">
        <v>318</v>
      </c>
      <c r="B9" s="232"/>
      <c r="C9" s="232"/>
      <c r="D9" s="232"/>
      <c r="E9" s="232"/>
      <c r="F9" s="232"/>
      <c r="G9" s="232"/>
      <c r="H9" s="232"/>
      <c r="I9" s="232"/>
      <c r="J9" s="232"/>
    </row>
    <row r="10" spans="1:10" ht="12.75">
      <c r="A10" s="232"/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>
      <c r="A11" s="232" t="s">
        <v>35</v>
      </c>
      <c r="B11" s="232"/>
      <c r="C11" s="232"/>
      <c r="D11" s="232"/>
      <c r="E11" s="232"/>
      <c r="F11" s="232"/>
      <c r="G11" s="232"/>
      <c r="H11" s="232"/>
      <c r="I11" s="232"/>
      <c r="J11" s="232"/>
    </row>
    <row r="12" spans="1:10" ht="12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0" ht="12.75">
      <c r="A13" s="233" t="s">
        <v>13</v>
      </c>
      <c r="B13" s="234"/>
      <c r="C13" s="235"/>
      <c r="D13" s="236" t="s">
        <v>14</v>
      </c>
      <c r="E13" s="234"/>
      <c r="F13" s="234"/>
      <c r="G13" s="234"/>
      <c r="H13" s="234"/>
      <c r="I13" s="234"/>
      <c r="J13" s="235"/>
    </row>
    <row r="14" spans="1:10" ht="12.75">
      <c r="A14" s="294" t="s">
        <v>15</v>
      </c>
      <c r="B14" s="295"/>
      <c r="C14" s="296"/>
      <c r="D14" s="295" t="s">
        <v>12</v>
      </c>
      <c r="E14" s="295"/>
      <c r="F14" s="295"/>
      <c r="G14" s="295"/>
      <c r="H14" s="295"/>
      <c r="I14" s="295"/>
      <c r="J14" s="296"/>
    </row>
    <row r="15" spans="1:10" ht="12.75">
      <c r="A15" s="297" t="s">
        <v>105</v>
      </c>
      <c r="B15" s="298"/>
      <c r="C15" s="299"/>
      <c r="D15" s="298" t="s">
        <v>176</v>
      </c>
      <c r="E15" s="298"/>
      <c r="F15" s="298"/>
      <c r="G15" s="298"/>
      <c r="H15" s="298"/>
      <c r="I15" s="298"/>
      <c r="J15" s="299"/>
    </row>
    <row r="16" spans="1:10" ht="12.75">
      <c r="A16" s="297" t="s">
        <v>106</v>
      </c>
      <c r="B16" s="298"/>
      <c r="C16" s="299"/>
      <c r="D16" s="298" t="s">
        <v>177</v>
      </c>
      <c r="E16" s="298"/>
      <c r="F16" s="298"/>
      <c r="G16" s="298"/>
      <c r="H16" s="298"/>
      <c r="I16" s="298"/>
      <c r="J16" s="299"/>
    </row>
    <row r="17" spans="1:10" ht="12.75">
      <c r="A17" s="300" t="s">
        <v>235</v>
      </c>
      <c r="B17" s="301"/>
      <c r="C17" s="302"/>
      <c r="D17" s="301" t="s">
        <v>236</v>
      </c>
      <c r="E17" s="301"/>
      <c r="F17" s="301"/>
      <c r="G17" s="301"/>
      <c r="H17" s="301"/>
      <c r="I17" s="301"/>
      <c r="J17" s="302"/>
    </row>
    <row r="18" spans="1:10" ht="12.75">
      <c r="A18" s="232"/>
      <c r="B18" s="232"/>
      <c r="C18" s="232"/>
      <c r="D18" s="232"/>
      <c r="E18" s="232"/>
      <c r="F18" s="232"/>
      <c r="G18" s="232"/>
      <c r="H18" s="232"/>
      <c r="I18" s="232"/>
      <c r="J18" s="232"/>
    </row>
    <row r="19" spans="1:10" ht="12.75">
      <c r="A19" s="231" t="s">
        <v>9</v>
      </c>
      <c r="B19" s="232"/>
      <c r="C19" s="232"/>
      <c r="D19" s="232"/>
      <c r="E19" s="232"/>
      <c r="F19" s="232"/>
      <c r="G19" s="232"/>
      <c r="H19" s="232"/>
      <c r="I19" s="232"/>
      <c r="J19" s="232"/>
    </row>
    <row r="20" spans="1:10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</row>
    <row r="21" spans="1:10" ht="12.75">
      <c r="A21" s="232" t="s">
        <v>165</v>
      </c>
      <c r="B21" s="232"/>
      <c r="C21" s="232"/>
      <c r="D21" s="232"/>
      <c r="E21" s="232"/>
      <c r="F21" s="232"/>
      <c r="G21" s="232"/>
      <c r="H21" s="232"/>
      <c r="I21" s="232"/>
      <c r="J21" s="232"/>
    </row>
    <row r="22" spans="1:10" ht="12.75">
      <c r="A22" s="232" t="s">
        <v>167</v>
      </c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ht="12.7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</row>
    <row r="24" ht="12.75">
      <c r="A24" s="232" t="s">
        <v>166</v>
      </c>
    </row>
    <row r="25" spans="1:10" ht="12.75">
      <c r="A25" s="237" t="s">
        <v>181</v>
      </c>
      <c r="B25" s="232"/>
      <c r="C25" s="232"/>
      <c r="D25" s="232"/>
      <c r="E25" s="232"/>
      <c r="F25" s="232"/>
      <c r="G25" s="232"/>
      <c r="H25" s="232"/>
      <c r="I25" s="232"/>
      <c r="J25" s="232"/>
    </row>
    <row r="26" spans="1:10" ht="12.75">
      <c r="A26" s="237" t="s">
        <v>188</v>
      </c>
      <c r="B26" s="232"/>
      <c r="C26" s="232"/>
      <c r="D26" s="232"/>
      <c r="E26" s="232"/>
      <c r="F26" s="232"/>
      <c r="G26" s="232"/>
      <c r="H26" s="232"/>
      <c r="I26" s="232"/>
      <c r="J26" s="232"/>
    </row>
    <row r="27" spans="1:10" ht="12.75">
      <c r="A27" s="50" t="s">
        <v>189</v>
      </c>
      <c r="J27" s="232"/>
    </row>
    <row r="28" spans="1:10" ht="12.75">
      <c r="A28" s="48" t="s">
        <v>186</v>
      </c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0" ht="12.75">
      <c r="A29" s="50" t="s">
        <v>282</v>
      </c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48" t="s">
        <v>274</v>
      </c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 t="s">
        <v>275</v>
      </c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 t="s">
        <v>161</v>
      </c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 t="s">
        <v>169</v>
      </c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 t="s">
        <v>171</v>
      </c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 t="s">
        <v>170</v>
      </c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 t="s">
        <v>276</v>
      </c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 t="s">
        <v>162</v>
      </c>
      <c r="J37" s="232"/>
    </row>
    <row r="38" ht="12.75">
      <c r="A38" s="232" t="s">
        <v>164</v>
      </c>
    </row>
    <row r="39" spans="1:9" ht="12.75">
      <c r="A39" s="232" t="s">
        <v>172</v>
      </c>
      <c r="B39" s="232"/>
      <c r="C39" s="232"/>
      <c r="D39" s="232"/>
      <c r="E39" s="232"/>
      <c r="F39" s="232"/>
      <c r="G39" s="232"/>
      <c r="H39" s="232"/>
      <c r="I39" s="232"/>
    </row>
    <row r="40" ht="12.75">
      <c r="A40" s="232" t="s">
        <v>277</v>
      </c>
    </row>
    <row r="41" ht="12.75">
      <c r="A41" s="232" t="s">
        <v>194</v>
      </c>
    </row>
    <row r="42" ht="12.75">
      <c r="A42" s="232" t="s">
        <v>191</v>
      </c>
    </row>
    <row r="43" ht="12.75">
      <c r="A43" s="232" t="s">
        <v>192</v>
      </c>
    </row>
    <row r="44" ht="12.75">
      <c r="A44" s="237" t="s">
        <v>278</v>
      </c>
    </row>
    <row r="45" spans="1:10" ht="12.75">
      <c r="A45" s="232" t="s">
        <v>173</v>
      </c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7" t="s">
        <v>257</v>
      </c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7" t="s">
        <v>258</v>
      </c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65" t="s">
        <v>259</v>
      </c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7" t="s">
        <v>260</v>
      </c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7" t="s">
        <v>279</v>
      </c>
      <c r="B50" s="232"/>
      <c r="C50" s="232"/>
      <c r="D50" s="232"/>
      <c r="E50" s="232"/>
      <c r="F50" s="232"/>
      <c r="G50" s="232"/>
      <c r="H50" s="232"/>
      <c r="I50" s="232"/>
      <c r="J50" s="232"/>
    </row>
    <row r="51" ht="12.75">
      <c r="A51" s="237" t="s">
        <v>261</v>
      </c>
    </row>
    <row r="52" spans="1:10" ht="12.75">
      <c r="A52" s="265" t="s">
        <v>256</v>
      </c>
      <c r="B52" s="232"/>
      <c r="C52" s="232"/>
      <c r="D52" s="232"/>
      <c r="E52" s="232"/>
      <c r="F52" s="232"/>
      <c r="G52" s="232"/>
      <c r="H52" s="232"/>
      <c r="I52" s="232"/>
      <c r="J52" s="232"/>
    </row>
    <row r="53" ht="12.75">
      <c r="A53" s="232" t="s">
        <v>280</v>
      </c>
    </row>
    <row r="54" spans="1:10" ht="12.75">
      <c r="A54" s="232" t="s">
        <v>163</v>
      </c>
      <c r="B54" s="232"/>
      <c r="C54" s="232"/>
      <c r="D54" s="232"/>
      <c r="E54" s="232"/>
      <c r="F54" s="232"/>
      <c r="G54" s="232"/>
      <c r="H54" s="232"/>
      <c r="I54" s="232"/>
      <c r="J54" s="232"/>
    </row>
    <row r="55" spans="1:10" ht="12.75">
      <c r="A55" s="232" t="s">
        <v>281</v>
      </c>
      <c r="B55" s="232"/>
      <c r="C55" s="232"/>
      <c r="D55" s="232"/>
      <c r="E55" s="232"/>
      <c r="F55" s="232"/>
      <c r="G55" s="232"/>
      <c r="H55" s="232"/>
      <c r="I55" s="232"/>
      <c r="J55" s="232"/>
    </row>
    <row r="56" spans="1:10" ht="12.75">
      <c r="A56" s="232" t="s">
        <v>180</v>
      </c>
      <c r="B56" s="232"/>
      <c r="C56" s="232"/>
      <c r="D56" s="232"/>
      <c r="E56" s="232"/>
      <c r="F56" s="232"/>
      <c r="G56" s="232"/>
      <c r="H56" s="232"/>
      <c r="I56" s="232"/>
      <c r="J56" s="232"/>
    </row>
    <row r="57" spans="1:10" ht="12.75">
      <c r="A57" s="232" t="s">
        <v>10</v>
      </c>
      <c r="B57" s="232"/>
      <c r="C57" s="232"/>
      <c r="D57" s="232"/>
      <c r="E57" s="232"/>
      <c r="F57" s="232"/>
      <c r="G57" s="232"/>
      <c r="H57" s="232"/>
      <c r="I57" s="232"/>
      <c r="J57" s="232"/>
    </row>
    <row r="58" spans="1:10" ht="12.75">
      <c r="A58" s="232" t="s">
        <v>11</v>
      </c>
      <c r="B58" s="232"/>
      <c r="C58" s="232"/>
      <c r="D58" s="232"/>
      <c r="E58" s="232"/>
      <c r="F58" s="232"/>
      <c r="G58" s="232"/>
      <c r="H58" s="232"/>
      <c r="I58" s="232"/>
      <c r="J58" s="232"/>
    </row>
    <row r="59" spans="1:10" ht="12.75">
      <c r="A59" s="232"/>
      <c r="B59" s="232"/>
      <c r="C59" s="232"/>
      <c r="D59" s="238"/>
      <c r="E59" s="230"/>
      <c r="F59" s="230"/>
      <c r="G59" s="230"/>
      <c r="H59" s="232"/>
      <c r="I59" s="232"/>
      <c r="J59" s="232"/>
    </row>
    <row r="60" spans="2:10" ht="12.75">
      <c r="B60" s="232"/>
      <c r="C60" s="232"/>
      <c r="D60" s="230"/>
      <c r="E60" s="230"/>
      <c r="F60" s="230"/>
      <c r="G60" s="230"/>
      <c r="H60" s="232"/>
      <c r="I60" s="232"/>
      <c r="J60" s="232"/>
    </row>
    <row r="61" spans="2:10" ht="12.75">
      <c r="B61" s="232"/>
      <c r="C61" s="232"/>
      <c r="D61" s="239"/>
      <c r="E61" s="239"/>
      <c r="F61" s="239"/>
      <c r="G61" s="239"/>
      <c r="H61" s="232"/>
      <c r="I61" s="232"/>
      <c r="J61" s="232"/>
    </row>
    <row r="62" spans="1:10" ht="12.75">
      <c r="A62" s="232"/>
      <c r="B62" s="232"/>
      <c r="C62" s="240"/>
      <c r="D62" s="241"/>
      <c r="E62" s="241"/>
      <c r="F62" s="241"/>
      <c r="G62" s="241"/>
      <c r="H62" s="232"/>
      <c r="I62" s="232"/>
      <c r="J62" s="232"/>
    </row>
    <row r="63" spans="1:10" ht="12.75">
      <c r="A63" s="232"/>
      <c r="B63" s="232"/>
      <c r="C63" s="240"/>
      <c r="D63" s="241"/>
      <c r="E63" s="241"/>
      <c r="F63" s="241"/>
      <c r="G63" s="241"/>
      <c r="H63" s="232"/>
      <c r="I63" s="232"/>
      <c r="J63" s="232"/>
    </row>
    <row r="64" spans="2:10" ht="12.75">
      <c r="B64" s="232"/>
      <c r="C64" s="240"/>
      <c r="D64" s="241"/>
      <c r="E64" s="241"/>
      <c r="F64" s="241"/>
      <c r="G64" s="241"/>
      <c r="H64" s="232"/>
      <c r="I64" s="232"/>
      <c r="J64" s="232"/>
    </row>
    <row r="65" spans="2:10" ht="12.75">
      <c r="B65" s="232"/>
      <c r="C65" s="240"/>
      <c r="D65" s="241"/>
      <c r="E65" s="241"/>
      <c r="F65" s="241"/>
      <c r="G65" s="241"/>
      <c r="H65" s="232"/>
      <c r="I65" s="232"/>
      <c r="J65" s="232"/>
    </row>
    <row r="66" spans="2:10" ht="12.75">
      <c r="B66" s="232"/>
      <c r="C66" s="240"/>
      <c r="D66" s="241"/>
      <c r="E66" s="241"/>
      <c r="F66" s="241"/>
      <c r="G66" s="241"/>
      <c r="H66" s="232"/>
      <c r="I66" s="232"/>
      <c r="J66" s="232"/>
    </row>
    <row r="67" spans="2:10" ht="12.75">
      <c r="B67" s="232"/>
      <c r="C67" s="240"/>
      <c r="D67" s="241"/>
      <c r="E67" s="241"/>
      <c r="F67" s="241"/>
      <c r="G67" s="241"/>
      <c r="H67" s="232"/>
      <c r="I67" s="232"/>
      <c r="J67" s="232"/>
    </row>
    <row r="68" spans="1:10" ht="12.75">
      <c r="A68" s="232"/>
      <c r="B68" s="232"/>
      <c r="C68" s="240"/>
      <c r="D68" s="241"/>
      <c r="E68" s="241"/>
      <c r="F68" s="241"/>
      <c r="G68" s="241"/>
      <c r="H68" s="232"/>
      <c r="I68" s="232"/>
      <c r="J68" s="232"/>
    </row>
    <row r="69" spans="1:10" ht="12.75">
      <c r="A69" s="232"/>
      <c r="B69" s="232"/>
      <c r="C69" s="240"/>
      <c r="D69" s="241"/>
      <c r="E69" s="241"/>
      <c r="F69" s="241"/>
      <c r="G69" s="241"/>
      <c r="H69" s="232"/>
      <c r="I69" s="232"/>
      <c r="J69" s="232"/>
    </row>
    <row r="70" spans="1:10" ht="12.75">
      <c r="A70" s="232"/>
      <c r="B70" s="232"/>
      <c r="C70" s="240"/>
      <c r="D70" s="241"/>
      <c r="E70" s="241"/>
      <c r="F70" s="241"/>
      <c r="G70" s="241"/>
      <c r="H70" s="232"/>
      <c r="I70" s="232"/>
      <c r="J70" s="232"/>
    </row>
    <row r="71" spans="1:10" ht="12.75">
      <c r="A71" s="232"/>
      <c r="B71" s="232"/>
      <c r="C71" s="240"/>
      <c r="D71" s="241"/>
      <c r="E71" s="241"/>
      <c r="F71" s="241"/>
      <c r="G71" s="241"/>
      <c r="H71" s="232"/>
      <c r="I71" s="232"/>
      <c r="J71" s="232"/>
    </row>
    <row r="72" spans="1:10" ht="12.75">
      <c r="A72" s="232"/>
      <c r="B72" s="232"/>
      <c r="C72" s="240"/>
      <c r="D72" s="241"/>
      <c r="E72" s="241"/>
      <c r="F72" s="241"/>
      <c r="G72" s="241"/>
      <c r="H72" s="232"/>
      <c r="I72" s="232"/>
      <c r="J72" s="232"/>
    </row>
    <row r="73" spans="1:10" ht="12.75">
      <c r="A73" s="232"/>
      <c r="B73" s="232"/>
      <c r="C73" s="240"/>
      <c r="D73" s="241"/>
      <c r="E73" s="241"/>
      <c r="F73" s="241"/>
      <c r="G73" s="241"/>
      <c r="H73" s="232"/>
      <c r="I73" s="232"/>
      <c r="J73" s="232"/>
    </row>
    <row r="74" spans="1:10" ht="12.75">
      <c r="A74" s="232"/>
      <c r="B74" s="232"/>
      <c r="C74" s="240"/>
      <c r="D74" s="241"/>
      <c r="E74" s="241"/>
      <c r="F74" s="241"/>
      <c r="G74" s="241"/>
      <c r="H74" s="232"/>
      <c r="I74" s="232"/>
      <c r="J74" s="232"/>
    </row>
    <row r="75" spans="1:10" ht="12.75">
      <c r="A75" s="232"/>
      <c r="B75" s="232"/>
      <c r="C75" s="240"/>
      <c r="D75" s="241"/>
      <c r="E75" s="241"/>
      <c r="F75" s="241"/>
      <c r="G75" s="241"/>
      <c r="H75" s="232"/>
      <c r="I75" s="232"/>
      <c r="J75" s="232"/>
    </row>
    <row r="76" spans="1:10" ht="12.75">
      <c r="A76" s="232"/>
      <c r="B76" s="232"/>
      <c r="C76" s="240"/>
      <c r="D76" s="241"/>
      <c r="E76" s="241"/>
      <c r="F76" s="241"/>
      <c r="G76" s="241"/>
      <c r="H76" s="232"/>
      <c r="I76" s="232"/>
      <c r="J76" s="232"/>
    </row>
    <row r="77" spans="1:10" ht="12.75">
      <c r="A77" s="232"/>
      <c r="B77" s="232"/>
      <c r="C77" s="240"/>
      <c r="D77" s="241"/>
      <c r="E77" s="241"/>
      <c r="F77" s="241"/>
      <c r="G77" s="241"/>
      <c r="H77" s="232"/>
      <c r="I77" s="232"/>
      <c r="J77" s="232"/>
    </row>
    <row r="78" spans="1:10" ht="12.75">
      <c r="A78" s="232"/>
      <c r="B78" s="232"/>
      <c r="C78" s="232"/>
      <c r="D78" s="232"/>
      <c r="E78" s="232"/>
      <c r="F78" s="232"/>
      <c r="G78" s="232"/>
      <c r="H78" s="232"/>
      <c r="I78" s="232"/>
      <c r="J78" s="232"/>
    </row>
    <row r="79" spans="1:10" ht="12.75">
      <c r="A79" s="232"/>
      <c r="B79" s="232"/>
      <c r="C79" s="232"/>
      <c r="D79" s="232"/>
      <c r="E79" s="232"/>
      <c r="F79" s="232"/>
      <c r="G79" s="232"/>
      <c r="H79" s="232"/>
      <c r="I79" s="232"/>
      <c r="J79" s="232"/>
    </row>
    <row r="80" spans="1:10" ht="12.75">
      <c r="A80" s="232"/>
      <c r="B80" s="232"/>
      <c r="C80" s="232"/>
      <c r="D80" s="232"/>
      <c r="E80" s="232"/>
      <c r="F80" s="232"/>
      <c r="G80" s="232"/>
      <c r="H80" s="232"/>
      <c r="I80" s="232"/>
      <c r="J80" s="232"/>
    </row>
    <row r="81" spans="1:10" ht="12.75">
      <c r="A81" s="232"/>
      <c r="B81" s="232"/>
      <c r="C81" s="238"/>
      <c r="D81" s="230"/>
      <c r="E81" s="230"/>
      <c r="F81" s="242"/>
      <c r="G81" s="230"/>
      <c r="H81" s="230"/>
      <c r="I81" s="243"/>
      <c r="J81" s="232"/>
    </row>
    <row r="82" spans="1:10" ht="12.75">
      <c r="A82" s="232"/>
      <c r="B82" s="232"/>
      <c r="C82" s="240"/>
      <c r="D82" s="239"/>
      <c r="E82" s="244"/>
      <c r="F82" s="240"/>
      <c r="G82" s="239"/>
      <c r="H82" s="244"/>
      <c r="I82" s="245"/>
      <c r="J82" s="232"/>
    </row>
    <row r="83" spans="1:10" ht="12.75">
      <c r="A83" s="232"/>
      <c r="B83" s="232"/>
      <c r="C83" s="240"/>
      <c r="D83" s="239"/>
      <c r="E83" s="244"/>
      <c r="F83" s="240"/>
      <c r="G83" s="239"/>
      <c r="H83" s="244"/>
      <c r="I83" s="245"/>
      <c r="J83" s="232"/>
    </row>
    <row r="84" spans="1:10" ht="12.75">
      <c r="A84" s="232"/>
      <c r="B84" s="232"/>
      <c r="C84" s="240"/>
      <c r="D84" s="239"/>
      <c r="E84" s="244"/>
      <c r="F84" s="240"/>
      <c r="G84" s="239"/>
      <c r="H84" s="244"/>
      <c r="I84" s="245"/>
      <c r="J84" s="232"/>
    </row>
    <row r="85" spans="1:10" ht="12.75">
      <c r="A85" s="232"/>
      <c r="B85" s="232"/>
      <c r="C85" s="232"/>
      <c r="D85" s="232"/>
      <c r="E85" s="232"/>
      <c r="F85" s="232"/>
      <c r="G85" s="232"/>
      <c r="H85" s="232"/>
      <c r="I85" s="232"/>
      <c r="J85" s="232"/>
    </row>
    <row r="86" spans="1:10" ht="12.75">
      <c r="A86" s="232"/>
      <c r="B86" s="232"/>
      <c r="C86" s="232"/>
      <c r="D86" s="232"/>
      <c r="E86" s="232"/>
      <c r="F86" s="232"/>
      <c r="G86" s="232"/>
      <c r="H86" s="232"/>
      <c r="I86" s="232"/>
      <c r="J86" s="232"/>
    </row>
    <row r="87" spans="1:10" ht="12.75">
      <c r="A87" s="232"/>
      <c r="B87" s="232"/>
      <c r="C87" s="232"/>
      <c r="D87" s="232"/>
      <c r="E87" s="232"/>
      <c r="F87" s="232"/>
      <c r="G87" s="232"/>
      <c r="H87" s="232"/>
      <c r="I87" s="232"/>
      <c r="J87" s="232"/>
    </row>
    <row r="88" spans="1:10" ht="12.75">
      <c r="A88" s="232"/>
      <c r="B88" s="232"/>
      <c r="C88" s="232"/>
      <c r="D88" s="232"/>
      <c r="E88" s="232"/>
      <c r="F88" s="232"/>
      <c r="G88" s="232"/>
      <c r="H88" s="232"/>
      <c r="I88" s="232"/>
      <c r="J88" s="232"/>
    </row>
    <row r="89" spans="1:10" ht="12.75">
      <c r="A89" s="232"/>
      <c r="B89" s="232"/>
      <c r="C89" s="232"/>
      <c r="D89" s="232"/>
      <c r="E89" s="232"/>
      <c r="F89" s="232"/>
      <c r="G89" s="232"/>
      <c r="H89" s="232"/>
      <c r="I89" s="232"/>
      <c r="J89" s="232"/>
    </row>
    <row r="90" spans="1:10" ht="12.75">
      <c r="A90" s="232"/>
      <c r="B90" s="232"/>
      <c r="C90" s="232"/>
      <c r="D90" s="232"/>
      <c r="E90" s="232"/>
      <c r="F90" s="232"/>
      <c r="G90" s="232"/>
      <c r="H90" s="232"/>
      <c r="I90" s="232"/>
      <c r="J90" s="232"/>
    </row>
    <row r="91" spans="1:10" ht="12.75">
      <c r="A91" s="232"/>
      <c r="B91" s="232"/>
      <c r="C91" s="232"/>
      <c r="D91" s="232"/>
      <c r="E91" s="232"/>
      <c r="F91" s="232"/>
      <c r="G91" s="232"/>
      <c r="H91" s="232"/>
      <c r="I91" s="232"/>
      <c r="J91" s="232"/>
    </row>
    <row r="92" spans="1:10" ht="12.75">
      <c r="A92" s="232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2.75">
      <c r="A93" s="232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2.75">
      <c r="A94" s="232"/>
      <c r="B94" s="232"/>
      <c r="C94" s="232"/>
      <c r="D94" s="232"/>
      <c r="E94" s="232"/>
      <c r="F94" s="232"/>
      <c r="G94" s="232"/>
      <c r="H94" s="232"/>
      <c r="I94" s="232"/>
      <c r="J94" s="232"/>
    </row>
    <row r="95" spans="1:10" ht="12.75">
      <c r="A95" s="232"/>
      <c r="B95" s="232"/>
      <c r="C95" s="232"/>
      <c r="D95" s="232"/>
      <c r="E95" s="232"/>
      <c r="F95" s="232"/>
      <c r="G95" s="232"/>
      <c r="H95" s="232"/>
      <c r="I95" s="232"/>
      <c r="J95" s="232"/>
    </row>
    <row r="96" spans="1:10" ht="12.75">
      <c r="A96" s="232"/>
      <c r="B96" s="232"/>
      <c r="C96" s="232"/>
      <c r="D96" s="232"/>
      <c r="E96" s="232"/>
      <c r="F96" s="232"/>
      <c r="G96" s="232"/>
      <c r="H96" s="232"/>
      <c r="I96" s="232"/>
      <c r="J96" s="232"/>
    </row>
    <row r="97" spans="1:10" ht="12.75">
      <c r="A97" s="232"/>
      <c r="B97" s="232"/>
      <c r="C97" s="232"/>
      <c r="D97" s="232"/>
      <c r="E97" s="232"/>
      <c r="F97" s="232"/>
      <c r="G97" s="232"/>
      <c r="H97" s="232"/>
      <c r="I97" s="232"/>
      <c r="J97" s="232"/>
    </row>
    <row r="98" spans="1:10" ht="12.75">
      <c r="A98" s="232"/>
      <c r="B98" s="232"/>
      <c r="C98" s="232"/>
      <c r="D98" s="232"/>
      <c r="E98" s="232"/>
      <c r="F98" s="232"/>
      <c r="G98" s="232"/>
      <c r="H98" s="232"/>
      <c r="I98" s="232"/>
      <c r="J98" s="232"/>
    </row>
    <row r="99" spans="1:10" ht="12.75">
      <c r="A99" s="232"/>
      <c r="B99" s="232"/>
      <c r="C99" s="232"/>
      <c r="D99" s="232"/>
      <c r="E99" s="232"/>
      <c r="F99" s="232"/>
      <c r="G99" s="232"/>
      <c r="H99" s="232"/>
      <c r="I99" s="232"/>
      <c r="J99" s="232"/>
    </row>
    <row r="100" spans="1:10" ht="12.7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</row>
  </sheetData>
  <sheetProtection sheet="1" objects="1" scenarios="1"/>
  <printOptions/>
  <pageMargins left="1" right="0.5" top="1" bottom="1" header="0.5" footer="0.5"/>
  <pageSetup horizontalDpi="600" verticalDpi="600" orientation="portrait" r:id="rId1"/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20" customWidth="1"/>
    <col min="2" max="2" width="10.00390625" style="20" customWidth="1"/>
    <col min="3" max="3" width="9.421875" style="20" customWidth="1"/>
    <col min="4" max="4" width="9.57421875" style="20" customWidth="1"/>
    <col min="5" max="5" width="10.00390625" style="20" bestFit="1" customWidth="1"/>
    <col min="6" max="7" width="9.140625" style="20" customWidth="1"/>
    <col min="8" max="8" width="10.00390625" style="20" bestFit="1" customWidth="1"/>
    <col min="9" max="9" width="12.140625" style="20" customWidth="1"/>
    <col min="10" max="13" width="8.8515625" style="20" hidden="1" customWidth="1"/>
    <col min="14" max="14" width="9.7109375" style="20" hidden="1" customWidth="1"/>
    <col min="15" max="15" width="10.00390625" style="20" hidden="1" customWidth="1"/>
    <col min="16" max="17" width="8.8515625" style="20" hidden="1" customWidth="1"/>
    <col min="18" max="18" width="10.00390625" style="20" hidden="1" customWidth="1"/>
    <col min="19" max="26" width="8.8515625" style="20" hidden="1" customWidth="1"/>
    <col min="27" max="27" width="9.57421875" style="22" bestFit="1" customWidth="1"/>
    <col min="28" max="28" width="9.140625" style="23" customWidth="1"/>
    <col min="29" max="36" width="9.140625" style="22" customWidth="1"/>
    <col min="37" max="16384" width="9.140625" style="1" customWidth="1"/>
  </cols>
  <sheetData>
    <row r="1" spans="1:27" ht="15.75">
      <c r="A1" s="107" t="s">
        <v>110</v>
      </c>
      <c r="B1" s="108"/>
      <c r="C1" s="109"/>
      <c r="D1" s="109"/>
      <c r="E1" s="109"/>
      <c r="F1" s="109"/>
      <c r="G1" s="108"/>
      <c r="H1" s="108"/>
      <c r="I1" s="121"/>
      <c r="J1" s="18"/>
      <c r="K1" s="19"/>
      <c r="M1" s="21" t="s">
        <v>4</v>
      </c>
      <c r="P1" s="21"/>
      <c r="AA1" s="315" t="s">
        <v>329</v>
      </c>
    </row>
    <row r="2" spans="1:11" ht="12.75">
      <c r="A2" s="110" t="s">
        <v>175</v>
      </c>
      <c r="B2" s="111"/>
      <c r="C2" s="112"/>
      <c r="D2" s="111"/>
      <c r="E2" s="111"/>
      <c r="F2" s="111"/>
      <c r="G2" s="113"/>
      <c r="H2" s="113"/>
      <c r="I2" s="246"/>
      <c r="J2" s="18"/>
      <c r="K2" s="24"/>
    </row>
    <row r="3" spans="1:26" ht="12.75">
      <c r="A3" s="247"/>
      <c r="B3" s="248"/>
      <c r="C3" s="248"/>
      <c r="D3" s="248"/>
      <c r="E3" s="248"/>
      <c r="F3" s="248"/>
      <c r="G3" s="249"/>
      <c r="H3" s="249"/>
      <c r="I3" s="250"/>
      <c r="J3" s="18"/>
      <c r="K3" s="23">
        <v>0</v>
      </c>
      <c r="M3" s="25" t="s">
        <v>107</v>
      </c>
      <c r="N3" s="25"/>
      <c r="O3" s="26"/>
      <c r="U3" s="27"/>
      <c r="V3" s="26"/>
      <c r="Y3" s="27"/>
      <c r="Z3" s="28"/>
    </row>
    <row r="4" spans="1:27" ht="12.75">
      <c r="A4" s="355" t="s">
        <v>2</v>
      </c>
      <c r="B4" s="14"/>
      <c r="C4" s="11"/>
      <c r="D4" s="11"/>
      <c r="E4" s="11"/>
      <c r="F4" s="324" t="s">
        <v>197</v>
      </c>
      <c r="G4" s="16"/>
      <c r="H4" s="12"/>
      <c r="I4" s="13"/>
      <c r="J4" s="29"/>
      <c r="K4" s="23">
        <v>1</v>
      </c>
      <c r="M4" s="30" t="s">
        <v>43</v>
      </c>
      <c r="N4" s="31"/>
      <c r="O4" s="31"/>
      <c r="P4" s="23" t="s">
        <v>53</v>
      </c>
      <c r="Q4" s="23" t="s">
        <v>54</v>
      </c>
      <c r="R4" s="23" t="s">
        <v>55</v>
      </c>
      <c r="S4" s="23" t="s">
        <v>56</v>
      </c>
      <c r="T4" s="23" t="s">
        <v>57</v>
      </c>
      <c r="U4" s="32" t="s">
        <v>21</v>
      </c>
      <c r="V4" s="32" t="s">
        <v>22</v>
      </c>
      <c r="W4" s="32" t="s">
        <v>23</v>
      </c>
      <c r="X4" s="32" t="s">
        <v>24</v>
      </c>
      <c r="Y4" s="32" t="s">
        <v>61</v>
      </c>
      <c r="Z4" s="28"/>
      <c r="AA4" s="33" t="s">
        <v>198</v>
      </c>
    </row>
    <row r="5" spans="1:26" ht="12.75">
      <c r="A5" s="4" t="s">
        <v>3</v>
      </c>
      <c r="B5" s="14"/>
      <c r="C5" s="11"/>
      <c r="D5" s="12"/>
      <c r="E5" s="13"/>
      <c r="F5" s="226" t="s">
        <v>196</v>
      </c>
      <c r="G5" s="316"/>
      <c r="H5" s="10" t="s">
        <v>195</v>
      </c>
      <c r="I5" s="316"/>
      <c r="J5" s="29"/>
      <c r="K5" s="23">
        <v>2</v>
      </c>
      <c r="M5" s="30" t="s">
        <v>89</v>
      </c>
      <c r="N5" s="34"/>
      <c r="O5" s="34"/>
      <c r="P5" s="34">
        <f>IF($C$12&gt;=1,$B$17,"")</f>
        <v>4.04</v>
      </c>
      <c r="Q5" s="34">
        <f>IF($C$12&gt;=1,$B$18,"")</f>
        <v>6.595</v>
      </c>
      <c r="R5" s="35">
        <f>IF($C$12&gt;=1,IF($B$19="Y",$B$14,-$B$14),"")</f>
        <v>14.7</v>
      </c>
      <c r="S5" s="35">
        <f>IF($C$12&gt;=1,IF($B$19="Y",$B$15,-$B$15),"")</f>
        <v>394</v>
      </c>
      <c r="T5" s="35">
        <f>IF($C$12&gt;=1,IF($B$19="Y",$B$16,-$B$16),"")</f>
        <v>56.3</v>
      </c>
      <c r="U5" s="35">
        <f>IF($C$12&gt;=1,$R5*$P5,"")</f>
        <v>59.388</v>
      </c>
      <c r="V5" s="35">
        <f>IF($C$12&gt;=1,$R5*$Q5,"")</f>
        <v>96.94649999999999</v>
      </c>
      <c r="W5" s="28">
        <f>IF($C$12&gt;=1,$S5+$R5*$Q5^2,"")</f>
        <v>1033.3621675</v>
      </c>
      <c r="X5" s="28">
        <f>IF($C$12&gt;=1,$T5+$R5*$P5^2,"")</f>
        <v>296.22751999999997</v>
      </c>
      <c r="Y5" s="28">
        <f>IF($C$12&gt;=1,$R5*$P5*$Q5,"")</f>
        <v>391.66386</v>
      </c>
      <c r="Z5" s="28"/>
    </row>
    <row r="6" spans="1:27" ht="12.75">
      <c r="A6" s="3"/>
      <c r="B6" s="9"/>
      <c r="C6" s="9"/>
      <c r="D6" s="9"/>
      <c r="E6" s="9"/>
      <c r="F6" s="9"/>
      <c r="G6" s="9"/>
      <c r="H6" s="8"/>
      <c r="I6" s="321"/>
      <c r="J6" s="18"/>
      <c r="K6" s="23">
        <v>3</v>
      </c>
      <c r="M6" s="30" t="s">
        <v>90</v>
      </c>
      <c r="N6" s="34"/>
      <c r="O6" s="34"/>
      <c r="P6" s="34">
        <f>IF($C$12&gt;=2,$C$17,"")</f>
      </c>
      <c r="Q6" s="34">
        <f>IF($C$12&gt;=2,$C$18,"")</f>
      </c>
      <c r="R6" s="35">
        <f>IF($C$12&gt;=2,IF($C$19="Y",$C$14,-$C$14),"")</f>
      </c>
      <c r="S6" s="35">
        <f>IF($C$12&gt;=2,IF($C$19="Y",$C$15,-$C$15),"")</f>
      </c>
      <c r="T6" s="35">
        <f>IF($C$12&gt;=2,IF($C$19="Y",$C$16,-$C$16),"")</f>
      </c>
      <c r="U6" s="35">
        <f>IF($C$12&gt;=2,$R6*$P6,"")</f>
      </c>
      <c r="V6" s="35">
        <f>IF($C$12&gt;=2,$R6*$Q6,"")</f>
      </c>
      <c r="W6" s="28">
        <f>IF($C$12&gt;=2,$S6+$R6*$Q6^2,"")</f>
      </c>
      <c r="X6" s="28">
        <f>IF($C$12&gt;=2,$T6+$R6*$P6^2,"")</f>
      </c>
      <c r="Y6" s="28">
        <f>IF($C$12&gt;=2,$R6*$P6*$Q6,"")</f>
      </c>
      <c r="Z6" s="28"/>
      <c r="AA6" s="37" t="s">
        <v>199</v>
      </c>
    </row>
    <row r="7" spans="1:27" ht="12.75">
      <c r="A7" s="2" t="s">
        <v>1</v>
      </c>
      <c r="B7" s="9"/>
      <c r="C7" s="9"/>
      <c r="D7" s="9"/>
      <c r="E7" s="9"/>
      <c r="F7" s="9"/>
      <c r="G7" s="9"/>
      <c r="H7" s="8"/>
      <c r="I7" s="322"/>
      <c r="J7" s="18"/>
      <c r="K7" s="23">
        <v>4</v>
      </c>
      <c r="M7" s="30" t="s">
        <v>91</v>
      </c>
      <c r="N7" s="34"/>
      <c r="O7" s="34"/>
      <c r="P7" s="34">
        <f>IF($C$12&gt;=3,$D$17,"")</f>
      </c>
      <c r="Q7" s="34">
        <f>IF($C$12&gt;=3,$D$18,"")</f>
      </c>
      <c r="R7" s="35">
        <f>IF($C$12&gt;=3,IF($D$19="Y",$D$14,-$D$14),"")</f>
      </c>
      <c r="S7" s="35">
        <f>IF($C$12&gt;=3,IF($D$19="Y",$D$15,-$D$15),"")</f>
      </c>
      <c r="T7" s="35">
        <f>IF($C$12&gt;=3,IF($D$19="Y",$D$16,-$D$16),"")</f>
      </c>
      <c r="U7" s="35">
        <f>IF($C$12&gt;=3,$R7*$P7,"")</f>
      </c>
      <c r="V7" s="35">
        <f>IF($C$12&gt;=3,$R7*$Q7,"")</f>
      </c>
      <c r="W7" s="28">
        <f>IF($C$12&gt;=3,$S7+$R7*$Q7^2,"")</f>
      </c>
      <c r="X7" s="28">
        <f>IF($C$12&gt;=3,$T7+$R7*$P7^2,"")</f>
      </c>
      <c r="Y7" s="28">
        <f>IF($C$12&gt;=3,$R7*$P7*$Q7,"")</f>
      </c>
      <c r="Z7" s="28"/>
      <c r="AA7" s="22" t="s">
        <v>200</v>
      </c>
    </row>
    <row r="8" spans="1:27" ht="12.75">
      <c r="A8" s="40"/>
      <c r="B8" s="9"/>
      <c r="C8" s="9"/>
      <c r="D8" s="9"/>
      <c r="E8" s="9"/>
      <c r="F8" s="9"/>
      <c r="G8" s="9"/>
      <c r="H8" s="9"/>
      <c r="I8" s="327"/>
      <c r="J8" s="18"/>
      <c r="K8" s="23">
        <v>5</v>
      </c>
      <c r="M8" s="30" t="s">
        <v>92</v>
      </c>
      <c r="N8" s="34"/>
      <c r="O8" s="34"/>
      <c r="P8" s="34">
        <f>IF($C$12&gt;=4,$E$17,"")</f>
      </c>
      <c r="Q8" s="34">
        <f>IF($C$12&gt;=4,$E$18,"")</f>
      </c>
      <c r="R8" s="35">
        <f>IF($C$12&gt;=4,IF($E$19="Y",$E$14,-$E$14),"")</f>
      </c>
      <c r="S8" s="35">
        <f>IF($C$12&gt;=4,IF($E$19="Y",$E$15,-$E$15),"")</f>
      </c>
      <c r="T8" s="35">
        <f>IF($C$12&gt;=4,IF($E$19="Y",$E$16,-$E$16),"")</f>
      </c>
      <c r="U8" s="35">
        <f>IF($C$12&gt;=4,$R8*$P8,"")</f>
      </c>
      <c r="V8" s="35">
        <f>IF($C$12&gt;=4,$R8*$Q8,"")</f>
      </c>
      <c r="W8" s="28">
        <f>IF($C$12&gt;=4,$S8+$R8*$Q8^2,"")</f>
      </c>
      <c r="X8" s="28">
        <f>IF($C$12&gt;=4,$T8+$R8*$P8^2,"")</f>
      </c>
      <c r="Y8" s="28">
        <f>IF($C$12&gt;=4,$R8*$P8*$Q8,"")</f>
      </c>
      <c r="Z8" s="28"/>
      <c r="AA8" s="37" t="s">
        <v>201</v>
      </c>
    </row>
    <row r="9" spans="1:27" ht="12.75">
      <c r="A9" s="40"/>
      <c r="B9" s="41" t="s">
        <v>187</v>
      </c>
      <c r="C9" s="266">
        <v>13.19</v>
      </c>
      <c r="D9" s="333" t="s">
        <v>283</v>
      </c>
      <c r="E9" s="29"/>
      <c r="F9" s="29"/>
      <c r="G9" s="334"/>
      <c r="H9" s="24"/>
      <c r="I9" s="59"/>
      <c r="J9" s="18"/>
      <c r="K9" s="23">
        <v>6</v>
      </c>
      <c r="M9" s="30" t="s">
        <v>93</v>
      </c>
      <c r="N9" s="34"/>
      <c r="O9" s="34"/>
      <c r="P9" s="34">
        <f>IF($C$12&gt;=5,$F$17,"")</f>
      </c>
      <c r="Q9" s="34">
        <f>IF($C$12&gt;=5,$F$18,"")</f>
      </c>
      <c r="R9" s="35">
        <f>IF($C$12&gt;=5,IF($F$19="Y",$F$14,-$F$14),"")</f>
      </c>
      <c r="S9" s="35">
        <f>IF($C$12&gt;=5,IF($F$19="Y",$F$15,-$F$15),"")</f>
      </c>
      <c r="T9" s="35">
        <f>IF($C$12&gt;=5,IF($F$19="Y",$F$16,-$F$16),"")</f>
      </c>
      <c r="U9" s="35">
        <f>IF($C$12&gt;=5,$R9*$P9,"")</f>
      </c>
      <c r="V9" s="35">
        <f>IF($C$12&gt;=5,$R9*$Q9,"")</f>
      </c>
      <c r="W9" s="28">
        <f>IF($C$12&gt;=5,$S9+$R9*$Q9^2,"")</f>
      </c>
      <c r="X9" s="28">
        <f>IF($C$12&gt;=5,$T9+$R9*$P9^2,"")</f>
      </c>
      <c r="Y9" s="28">
        <f>IF($C$12&gt;=5,$R9*$P9*$Q9,"")</f>
      </c>
      <c r="Z9" s="28"/>
      <c r="AA9" s="37" t="s">
        <v>166</v>
      </c>
    </row>
    <row r="10" spans="1:27" ht="12.75">
      <c r="A10" s="40"/>
      <c r="B10" s="41" t="s">
        <v>268</v>
      </c>
      <c r="C10" s="291">
        <v>8.08</v>
      </c>
      <c r="D10" s="333" t="s">
        <v>284</v>
      </c>
      <c r="E10" s="29"/>
      <c r="F10" s="29"/>
      <c r="G10" s="29"/>
      <c r="H10" s="29"/>
      <c r="I10" s="335"/>
      <c r="K10" s="23">
        <v>7</v>
      </c>
      <c r="M10" s="30" t="s">
        <v>94</v>
      </c>
      <c r="N10" s="34"/>
      <c r="O10" s="34"/>
      <c r="P10" s="34">
        <f>IF($C$12&gt;=6,$G$17,"")</f>
      </c>
      <c r="Q10" s="34">
        <f>IF($C$12&gt;=6,$G$18,"")</f>
      </c>
      <c r="R10" s="35">
        <f>IF($C$12&gt;=6,IF($G$19="Y",$G$14,-$G$14),"")</f>
      </c>
      <c r="S10" s="35">
        <f>IF($C$12&gt;=6,IF($G$19="Y",$G$15,-$G$15),"")</f>
      </c>
      <c r="T10" s="35">
        <f>IF($C$12&gt;=6,IF($G$19="Y",$G$16,-$G$16),"")</f>
      </c>
      <c r="U10" s="35">
        <f>IF($C$12&gt;=6,$R10*$P10,"")</f>
      </c>
      <c r="V10" s="35">
        <f>IF($C$12&gt;=6,$R10*$Q10,"")</f>
      </c>
      <c r="W10" s="28">
        <f>IF($C$12&gt;=6,$S10+$R10*$Q10^2,"")</f>
      </c>
      <c r="X10" s="28">
        <f>IF($C$12&gt;=6,$T10+$R10*$P10^2,"")</f>
      </c>
      <c r="Y10" s="28">
        <f>IF($C$12&gt;=6,$R10*$P10*$Q10,"")</f>
      </c>
      <c r="Z10" s="28"/>
      <c r="AA10" s="48" t="s">
        <v>202</v>
      </c>
    </row>
    <row r="11" spans="1:27" ht="12.75">
      <c r="A11" s="40"/>
      <c r="B11" s="18"/>
      <c r="C11" s="18"/>
      <c r="D11" s="29"/>
      <c r="E11" s="29"/>
      <c r="F11" s="29"/>
      <c r="G11" s="29"/>
      <c r="H11" s="29"/>
      <c r="I11" s="335"/>
      <c r="K11" s="23">
        <v>8</v>
      </c>
      <c r="M11" s="30" t="s">
        <v>95</v>
      </c>
      <c r="N11" s="34"/>
      <c r="O11" s="34"/>
      <c r="P11" s="34">
        <f>IF($C$12&gt;=7,$H$17,"")</f>
      </c>
      <c r="Q11" s="34">
        <f>IF($C$12&gt;=7,$H$18,"")</f>
      </c>
      <c r="R11" s="35">
        <f>IF($C$12&gt;=7,IF($H$19="Y",$H$14,-$H$14),"")</f>
      </c>
      <c r="S11" s="35">
        <f>IF($C$12&gt;=7,IF($H$19="Y",$H$15,-$H$15),"")</f>
      </c>
      <c r="T11" s="35">
        <f>IF($C$12&gt;=7,IF($H$19="Y",$H$16,-$H$16),"")</f>
      </c>
      <c r="U11" s="35">
        <f>IF($C$12&gt;=7,$R11*$P11,"")</f>
      </c>
      <c r="V11" s="35">
        <f>IF($C$12&gt;=7,$R11*$Q11,"")</f>
      </c>
      <c r="W11" s="28">
        <f>IF($C$12&gt;=7,$S11+$R11*$Q11^2,"")</f>
      </c>
      <c r="X11" s="28">
        <f>IF($C$12&gt;=7,$T11+$R11*$P11^2,"")</f>
      </c>
      <c r="Y11" s="28">
        <f>IF($C$12&gt;=7,$R11*$P11*$Q11,"")</f>
      </c>
      <c r="Z11" s="28"/>
      <c r="AA11" s="48" t="s">
        <v>188</v>
      </c>
    </row>
    <row r="12" spans="1:27" ht="12.75">
      <c r="A12" s="40"/>
      <c r="B12" s="43" t="s">
        <v>66</v>
      </c>
      <c r="C12" s="6">
        <v>1</v>
      </c>
      <c r="D12" s="219"/>
      <c r="E12" s="29"/>
      <c r="F12" s="29"/>
      <c r="G12" s="29"/>
      <c r="H12" s="29"/>
      <c r="I12" s="335"/>
      <c r="K12" s="23" t="s">
        <v>20</v>
      </c>
      <c r="M12" s="30" t="s">
        <v>96</v>
      </c>
      <c r="N12" s="34"/>
      <c r="O12" s="34"/>
      <c r="P12" s="34">
        <f>IF($C$12&gt;=8,$I$17,"")</f>
      </c>
      <c r="Q12" s="34">
        <f>IF($C$12&gt;=8,$I$18,"")</f>
      </c>
      <c r="R12" s="35">
        <f>IF($C$12&gt;=8,IF($I$19="Y",$I$14,-$I$14),"")</f>
      </c>
      <c r="S12" s="35">
        <f>IF($C$12&gt;=8,IF($I$19="Y",$I$15,-$I$15),"")</f>
      </c>
      <c r="T12" s="35">
        <f>IF($C$12&gt;=8,IF($I$19="Y",$I$16,-$I$16),"")</f>
      </c>
      <c r="U12" s="35">
        <f>IF($C$12&gt;=8,$R12*$P12,"")</f>
      </c>
      <c r="V12" s="35">
        <f>IF($C$12&gt;=8,$R12*$Q12,"")</f>
      </c>
      <c r="W12" s="28">
        <f>IF($C$12&gt;=8,$S12+$R12*$Q12^2,"")</f>
      </c>
      <c r="X12" s="28">
        <f>IF($C$12&gt;=8,$T12+$R12*$P12^2,"")</f>
      </c>
      <c r="Y12" s="28">
        <f>IF($C$12&gt;=8,$R12*$P12*$Q12,"")</f>
      </c>
      <c r="Z12" s="28"/>
      <c r="AA12" s="48" t="s">
        <v>203</v>
      </c>
    </row>
    <row r="13" spans="1:27" ht="12.75">
      <c r="A13" s="36" t="s">
        <v>43</v>
      </c>
      <c r="B13" s="47" t="str">
        <f>IF($C$12&gt;=1,"Shape #1","")</f>
        <v>Shape #1</v>
      </c>
      <c r="C13" s="47">
        <f>IF($C$12&gt;=2,"Shape #2","")</f>
      </c>
      <c r="D13" s="47">
        <f>IF($C$12&gt;=3,"Shape #3","")</f>
      </c>
      <c r="E13" s="47">
        <f>IF($C$12&gt;=4,"Shape #4","")</f>
      </c>
      <c r="F13" s="47">
        <f>IF($C$12&gt;=5,"Shape #5","")</f>
      </c>
      <c r="G13" s="47">
        <f>IF($C$12&gt;=6,"Shape #6","")</f>
      </c>
      <c r="H13" s="47">
        <f>IF($C$12&gt;=7,"Shape #7","")</f>
      </c>
      <c r="I13" s="54">
        <f>IF($C$12=8,"Shape #8","")</f>
      </c>
      <c r="K13" s="23" t="s">
        <v>190</v>
      </c>
      <c r="AA13" s="48" t="s">
        <v>163</v>
      </c>
    </row>
    <row r="14" spans="1:27" ht="12.75">
      <c r="A14" s="36" t="s">
        <v>60</v>
      </c>
      <c r="B14" s="266">
        <v>14.7</v>
      </c>
      <c r="C14" s="266"/>
      <c r="D14" s="266"/>
      <c r="E14" s="266"/>
      <c r="F14" s="266"/>
      <c r="G14" s="266"/>
      <c r="H14" s="266"/>
      <c r="I14" s="266"/>
      <c r="M14" s="25" t="s">
        <v>58</v>
      </c>
      <c r="N14" s="25"/>
      <c r="O14" s="26"/>
      <c r="U14" s="27"/>
      <c r="V14" s="26"/>
      <c r="Y14" s="27"/>
      <c r="Z14" s="49"/>
      <c r="AA14" s="50" t="s">
        <v>204</v>
      </c>
    </row>
    <row r="15" spans="1:27" ht="12.75">
      <c r="A15" s="36" t="s">
        <v>29</v>
      </c>
      <c r="B15" s="267">
        <v>394</v>
      </c>
      <c r="C15" s="267"/>
      <c r="D15" s="267"/>
      <c r="E15" s="267"/>
      <c r="F15" s="267"/>
      <c r="G15" s="267"/>
      <c r="H15" s="267"/>
      <c r="I15" s="267"/>
      <c r="M15" s="30" t="s">
        <v>43</v>
      </c>
      <c r="N15" s="31" t="s">
        <v>51</v>
      </c>
      <c r="O15" s="31" t="s">
        <v>52</v>
      </c>
      <c r="P15" s="23" t="s">
        <v>53</v>
      </c>
      <c r="Q15" s="23" t="s">
        <v>54</v>
      </c>
      <c r="R15" s="23" t="s">
        <v>55</v>
      </c>
      <c r="S15" s="23" t="s">
        <v>56</v>
      </c>
      <c r="T15" s="23" t="s">
        <v>57</v>
      </c>
      <c r="U15" s="32" t="s">
        <v>21</v>
      </c>
      <c r="V15" s="32" t="s">
        <v>22</v>
      </c>
      <c r="W15" s="32" t="s">
        <v>23</v>
      </c>
      <c r="X15" s="32" t="s">
        <v>24</v>
      </c>
      <c r="Y15" s="32" t="s">
        <v>61</v>
      </c>
      <c r="Z15" s="51">
        <f>IF($C$12=0,IF($C$29=0,IF($C$36=0,"J",""),""),"")</f>
      </c>
      <c r="AA15" s="48" t="s">
        <v>205</v>
      </c>
    </row>
    <row r="16" spans="1:27" ht="12.75">
      <c r="A16" s="36" t="s">
        <v>30</v>
      </c>
      <c r="B16" s="267">
        <v>56.3</v>
      </c>
      <c r="C16" s="267"/>
      <c r="D16" s="267"/>
      <c r="E16" s="267"/>
      <c r="F16" s="267"/>
      <c r="G16" s="267"/>
      <c r="H16" s="267"/>
      <c r="I16" s="267"/>
      <c r="M16" s="30" t="s">
        <v>42</v>
      </c>
      <c r="N16" s="34">
        <f>IF($C$21&gt;=1,$B$23,"")</f>
        <v>7</v>
      </c>
      <c r="O16" s="34">
        <f>IF($C$21&gt;=1,$B$24,"")</f>
        <v>0.5</v>
      </c>
      <c r="P16" s="34">
        <f>IF($C$21&gt;=1,$B$25,"")</f>
        <v>4.04</v>
      </c>
      <c r="Q16" s="34">
        <f>IF($C$21&gt;=1,$B$26,"")</f>
        <v>0.25</v>
      </c>
      <c r="R16" s="35">
        <f>IF($C$21&gt;=1,IF($B$27="Y",$N16*$O16,-($N16*$O16)),"")</f>
        <v>3.5</v>
      </c>
      <c r="S16" s="35">
        <f>IF($C$21&gt;=1,IF($B$27="Y",$N16*$O16^3/12,-($N16*$O16^3/12)),"")</f>
        <v>0.07291666666666667</v>
      </c>
      <c r="T16" s="35">
        <f>IF($C$21&gt;=1,IF($B$27="Y",$O16*$N16^3/12,-($O16*$N16^3/12)),"")</f>
        <v>14.291666666666666</v>
      </c>
      <c r="U16" s="35">
        <f>IF($C$21&gt;=1,$R16*$P16,"")</f>
        <v>14.14</v>
      </c>
      <c r="V16" s="35">
        <f>IF($C$21&gt;=1,$R16*$Q16,"")</f>
        <v>0.875</v>
      </c>
      <c r="W16" s="28">
        <f>IF($C$21&gt;=1,$S16+$R16*$Q16^2,"")</f>
        <v>0.2916666666666667</v>
      </c>
      <c r="X16" s="28">
        <f>IF($C$21&gt;=1,$T16+$R16*$P16^2,"")</f>
        <v>71.41726666666666</v>
      </c>
      <c r="Y16" s="28">
        <f>IF($C$21&gt;=1,$R16*$P16*$Q16,"")</f>
        <v>3.535</v>
      </c>
      <c r="Z16" s="51">
        <f>IF($C$12=0,IF($C$29=0,IF($C$36=0,IF($C$21&gt;=1,IF($O16&gt;=$N16,$O16*$N16^3/3,$N16*$O16^3/3),""),""),""),"")</f>
      </c>
      <c r="AA16" s="50" t="s">
        <v>273</v>
      </c>
    </row>
    <row r="17" spans="1:27" ht="12.75">
      <c r="A17" s="36" t="s">
        <v>40</v>
      </c>
      <c r="B17" s="268">
        <v>4.04</v>
      </c>
      <c r="C17" s="268"/>
      <c r="D17" s="268"/>
      <c r="E17" s="268"/>
      <c r="F17" s="268"/>
      <c r="G17" s="268"/>
      <c r="H17" s="268"/>
      <c r="I17" s="268"/>
      <c r="M17" s="30" t="s">
        <v>45</v>
      </c>
      <c r="N17" s="34">
        <f>IF($C$21&gt;=2,$C$23,"")</f>
        <v>7</v>
      </c>
      <c r="O17" s="34">
        <f>IF($C$21&gt;=2,$C$24,"")</f>
        <v>0.5</v>
      </c>
      <c r="P17" s="34">
        <f>IF($C$21&gt;=2,$C$25,"")</f>
        <v>4.04</v>
      </c>
      <c r="Q17" s="34">
        <f>IF($C$21&gt;=2,$C$26,"")</f>
        <v>12.94</v>
      </c>
      <c r="R17" s="35">
        <f>IF($C$21&gt;=2,IF($C$27="Y",$N17*$O17,-($N17*$O17)),"")</f>
        <v>3.5</v>
      </c>
      <c r="S17" s="35">
        <f>IF($C$21&gt;=2,IF($C$27="Y",$N17*$O17^3/12,-($N17*$O17^3/12)),"")</f>
        <v>0.07291666666666667</v>
      </c>
      <c r="T17" s="35">
        <f>IF($C$21&gt;=2,IF($C$27="Y",$O17*$N17^3/12,-($O17*$N17^3/12)),"")</f>
        <v>14.291666666666666</v>
      </c>
      <c r="U17" s="35">
        <f>IF($C$21&gt;=2,$R17*$P17,"")</f>
        <v>14.14</v>
      </c>
      <c r="V17" s="35">
        <f>IF($C$21&gt;=2,$R17*$Q17,"")</f>
        <v>45.29</v>
      </c>
      <c r="W17" s="28">
        <f>IF($C$21&gt;=2,$S17+$R17*$Q17^2,"")</f>
        <v>586.1255166666665</v>
      </c>
      <c r="X17" s="28">
        <f>IF($C$21&gt;=2,$T17+$R17*$P17^2,"")</f>
        <v>71.41726666666666</v>
      </c>
      <c r="Y17" s="28">
        <f>IF($C$21&gt;=2,$R17*$P17*$Q17,"")</f>
        <v>182.9716</v>
      </c>
      <c r="Z17" s="51">
        <f>IF($C$12=0,IF($C$29=0,IF($C$36=0,IF($C$21&gt;=2,IF($O17&gt;=$N17,$O17*$N17^3/3,$N17*$O17^3/3),""),""),""),"")</f>
      </c>
      <c r="AA17" s="48" t="s">
        <v>274</v>
      </c>
    </row>
    <row r="18" spans="1:27" ht="12.75">
      <c r="A18" s="36" t="s">
        <v>41</v>
      </c>
      <c r="B18" s="268">
        <v>6.595</v>
      </c>
      <c r="C18" s="268"/>
      <c r="D18" s="268"/>
      <c r="E18" s="268"/>
      <c r="F18" s="268"/>
      <c r="G18" s="268"/>
      <c r="H18" s="268"/>
      <c r="I18" s="268"/>
      <c r="M18" s="30" t="s">
        <v>46</v>
      </c>
      <c r="N18" s="34">
        <f>IF($C$21&gt;=3,$D$23,"")</f>
      </c>
      <c r="O18" s="34">
        <f>IF($C$21&gt;=3,$D$24,"")</f>
      </c>
      <c r="P18" s="34">
        <f>IF($C$21&gt;=3,$D$25,"")</f>
      </c>
      <c r="Q18" s="34">
        <f>IF($C$21&gt;=3,$D$26,"")</f>
      </c>
      <c r="R18" s="35">
        <f>IF($C$21&gt;=3,IF($D$27="Y",$N18*$O18,-($N18*$O18)),"")</f>
      </c>
      <c r="S18" s="35">
        <f>IF($C$21&gt;=3,IF($D$27="Y",$N18*$O18^3/12,-($N18*$O18^3/12)),"")</f>
      </c>
      <c r="T18" s="35">
        <f>IF($C$21&gt;=3,IF($D$27="Y",$O18*$N18^3/12,-($O18*$N18^3/12)),"")</f>
      </c>
      <c r="U18" s="35">
        <f>IF($C$21&gt;=3,$R18*$P18,"")</f>
      </c>
      <c r="V18" s="35">
        <f>IF($C$21&gt;=3,$R18*$Q18,"")</f>
      </c>
      <c r="W18" s="28">
        <f>IF($C$21&gt;=3,$S18+$R18*$Q18^2,"")</f>
      </c>
      <c r="X18" s="28">
        <f>IF($C$21&gt;=3,$T18+$R18*$P18^2,"")</f>
      </c>
      <c r="Y18" s="28">
        <f>IF($C$21&gt;=3,$R18*$P18*$Q18,"")</f>
      </c>
      <c r="Z18" s="51">
        <f>IF($C$12=0,IF($C$29=0,IF($C$36=0,IF($C$21&gt;=3,IF($O18&gt;=$N18,$O18*$N18^3/3,$N18*$O18^3/3),""),""),""),"")</f>
      </c>
      <c r="AA18" s="37" t="s">
        <v>270</v>
      </c>
    </row>
    <row r="19" spans="1:27" ht="12.75">
      <c r="A19" s="36" t="s">
        <v>109</v>
      </c>
      <c r="B19" s="269" t="s">
        <v>20</v>
      </c>
      <c r="C19" s="269"/>
      <c r="D19" s="269"/>
      <c r="E19" s="269"/>
      <c r="F19" s="269"/>
      <c r="G19" s="269"/>
      <c r="H19" s="269"/>
      <c r="I19" s="269"/>
      <c r="M19" s="30" t="s">
        <v>47</v>
      </c>
      <c r="N19" s="34">
        <f>IF($C$21&gt;=4,$E$23,"")</f>
      </c>
      <c r="O19" s="34">
        <f>IF($C$21&gt;=4,$E$24,"")</f>
      </c>
      <c r="P19" s="34">
        <f>IF($C$21&gt;=4,$E$25,"")</f>
      </c>
      <c r="Q19" s="34">
        <f>IF($C$21&gt;=4,$E$26,"")</f>
      </c>
      <c r="R19" s="35">
        <f>IF($C$21&gt;=4,IF($E$27="Y",$N19*$O19,-($N19*$O19)),"")</f>
      </c>
      <c r="S19" s="35">
        <f>IF($C$21&gt;=4,IF($E$27="Y",$N19*$O19^3/12,-($N19*$O19^3/12)),"")</f>
      </c>
      <c r="T19" s="35">
        <f>IF($C$21&gt;=4,IF($E$27="Y",$O19*$N19^3/12,-($O19*$N19^3/12)),"")</f>
      </c>
      <c r="U19" s="35">
        <f>IF($C$21&gt;=4,$R19*$P19,"")</f>
      </c>
      <c r="V19" s="35">
        <f>IF($C$21&gt;=4,$R19*$Q19,"")</f>
      </c>
      <c r="W19" s="28">
        <f>IF($C$21&gt;=4,$S19+$R19*$Q19^2,"")</f>
      </c>
      <c r="X19" s="28">
        <f>IF($C$21&gt;=4,$T19+$R19*$P19^2,"")</f>
      </c>
      <c r="Y19" s="28">
        <f>IF($C$21&gt;=4,$R19*$P19*$Q19,"")</f>
      </c>
      <c r="Z19" s="51">
        <f>IF($C$12=0,IF($C$29=0,IF($C$36=0,IF($C$21&gt;=4,IF($O19&gt;=$N19,$O19*$N19^3/3,$N19*$O19^3/3),""),""),""),"")</f>
      </c>
      <c r="AA19" s="37" t="s">
        <v>206</v>
      </c>
    </row>
    <row r="20" spans="1:27" ht="12.75">
      <c r="A20" s="40"/>
      <c r="B20" s="18"/>
      <c r="C20" s="18"/>
      <c r="D20" s="18"/>
      <c r="E20" s="18"/>
      <c r="F20" s="18"/>
      <c r="G20" s="18"/>
      <c r="H20" s="18"/>
      <c r="I20" s="52"/>
      <c r="M20" s="30" t="s">
        <v>48</v>
      </c>
      <c r="N20" s="34">
        <f>IF($C$21&gt;=5,$F$23,"")</f>
      </c>
      <c r="O20" s="34">
        <f>IF($C$21&gt;=5,$F$24,"")</f>
      </c>
      <c r="P20" s="34">
        <f>IF($C$21&gt;=5,$F$25,"")</f>
      </c>
      <c r="Q20" s="34">
        <f>IF($C$21&gt;=5,$F$26,"")</f>
      </c>
      <c r="R20" s="35">
        <f>IF($C$21&gt;=5,IF($F$27="Y",$N20*$O20,-($N20*$O20)),"")</f>
      </c>
      <c r="S20" s="35">
        <f>IF($C$21&gt;=5,IF($F$27="Y",$N20*$O20^3/12,-($N20*$O20^3/12)),"")</f>
      </c>
      <c r="T20" s="35">
        <f>IF($C$21&gt;=5,IF($F$27="Y",$O20*$N20^3/12,-($O20*$N20^3/12)),"")</f>
      </c>
      <c r="U20" s="35">
        <f>IF($C$21&gt;=5,$R20*$P20,"")</f>
      </c>
      <c r="V20" s="35">
        <f>IF($C$21&gt;=5,$R20*$Q20,"")</f>
      </c>
      <c r="W20" s="28">
        <f>IF($C$21&gt;=5,$S20+$R20*$Q20^2,"")</f>
      </c>
      <c r="X20" s="28">
        <f>IF($C$21&gt;=5,$T20+$R20*$P20^2,"")</f>
      </c>
      <c r="Y20" s="28">
        <f>IF($C$21&gt;=5,$R20*$P20*$Q20,"")</f>
      </c>
      <c r="Z20" s="51">
        <f>IF($C$12=0,IF($C$29=0,IF($C$36=0,IF($C$21&gt;=5,IF($O20&gt;=$N20,$O20*$N20^3/3,$N20*$O20^3/3),""),""),""),"")</f>
      </c>
      <c r="AA20" s="37" t="s">
        <v>207</v>
      </c>
    </row>
    <row r="21" spans="1:27" ht="12.75">
      <c r="A21" s="40"/>
      <c r="B21" s="43" t="s">
        <v>193</v>
      </c>
      <c r="C21" s="6">
        <v>2</v>
      </c>
      <c r="D21" s="44"/>
      <c r="E21" s="45"/>
      <c r="F21" s="53"/>
      <c r="G21" s="45"/>
      <c r="H21" s="45"/>
      <c r="I21" s="46"/>
      <c r="M21" s="30" t="s">
        <v>49</v>
      </c>
      <c r="N21" s="34">
        <f>IF($C$21&gt;=6,$G$23,"")</f>
      </c>
      <c r="O21" s="34">
        <f>IF($C$21&gt;=6,$G$24,"")</f>
      </c>
      <c r="P21" s="34">
        <f>IF($C$21&gt;=6,$G$25,"")</f>
      </c>
      <c r="Q21" s="34">
        <f>IF($C$21&gt;=6,$G$26,"")</f>
      </c>
      <c r="R21" s="35">
        <f>IF($C$21&gt;=6,IF($G$27="Y",$N21*$O21,-($N21*$O21)),"")</f>
      </c>
      <c r="S21" s="35">
        <f>IF($C$21&gt;=6,IF($G$27="Y",$N21*$O21^3/12,-($N21*$O21^3/12)),"")</f>
      </c>
      <c r="T21" s="35">
        <f>IF($C$21&gt;=6,IF($G$27="Y",$O21*$N21^3/12,-($O21*$N21^3/12)),"")</f>
      </c>
      <c r="U21" s="35">
        <f>IF($C$21&gt;=6,$R21*$P21,"")</f>
      </c>
      <c r="V21" s="35">
        <f>IF($C$21&gt;=6,$R21*$Q21,"")</f>
      </c>
      <c r="W21" s="28">
        <f>IF($C$21&gt;=6,$S21+$R21*$Q21^2,"")</f>
      </c>
      <c r="X21" s="28">
        <f>IF($C$21&gt;=6,$T21+$R21*$P21^2,"")</f>
      </c>
      <c r="Y21" s="28">
        <f>IF($C$21&gt;=6,$R21*$P21*$Q21,"")</f>
      </c>
      <c r="Z21" s="51">
        <f>IF($C$12=0,IF($C$29=0,IF($C$36=0,IF($C$21&gt;=6,IF($O21&gt;=$N21,$O21*$N21^3/3,$N21*$O21^3/3),""),""),""),"")</f>
      </c>
      <c r="AA21" s="37" t="s">
        <v>208</v>
      </c>
    </row>
    <row r="22" spans="1:27" ht="12.75">
      <c r="A22" s="36" t="s">
        <v>43</v>
      </c>
      <c r="B22" s="47" t="str">
        <f>IF($C$21&gt;=1,"Rect. #1","")</f>
        <v>Rect. #1</v>
      </c>
      <c r="C22" s="47" t="str">
        <f>IF($C$21&gt;=2,"Rect. #2","")</f>
        <v>Rect. #2</v>
      </c>
      <c r="D22" s="47">
        <f>IF($C$21&gt;=3,"Rect. #3","")</f>
      </c>
      <c r="E22" s="47">
        <f>IF($C$21&gt;=4,"Rect. #4","")</f>
      </c>
      <c r="F22" s="47">
        <f>IF($C$21&gt;=5,"Rect. #5","")</f>
      </c>
      <c r="G22" s="47">
        <f>IF($C$21&gt;=6,"Rect. #6","")</f>
      </c>
      <c r="H22" s="47">
        <f>IF($C$21&gt;=7,"Rect. #7","")</f>
      </c>
      <c r="I22" s="54">
        <f>IF($C$21=8,"Rect. #8","")</f>
      </c>
      <c r="M22" s="30" t="s">
        <v>50</v>
      </c>
      <c r="N22" s="34">
        <f>IF($C$21&gt;=7,$H$23,"")</f>
      </c>
      <c r="O22" s="34">
        <f>IF($C$21&gt;=7,$H$24,"")</f>
      </c>
      <c r="P22" s="34">
        <f>IF($C$21&gt;=7,$H$25,"")</f>
      </c>
      <c r="Q22" s="34">
        <f>IF($C$21&gt;=7,$H$26,"")</f>
      </c>
      <c r="R22" s="35">
        <f>IF($C$21&gt;=7,IF($H$27="Y",$N22*$O22,-($N22*$O22)),"")</f>
      </c>
      <c r="S22" s="35">
        <f>IF($C$21&gt;=7,IF($H$27="Y",$N22*$O22^3/12,-($N22*$O22^3/12)),"")</f>
      </c>
      <c r="T22" s="35">
        <f>IF($C$21&gt;=7,IF($H$27="Y",$O22*$N22^3/12,-($O22*$N22^3/12)),"")</f>
      </c>
      <c r="U22" s="35">
        <f>IF($C$21&gt;=7,$R22*$P22,"")</f>
      </c>
      <c r="V22" s="35">
        <f>IF($C$21&gt;=7,$R22*$Q22,"")</f>
      </c>
      <c r="W22" s="28">
        <f>IF($C$21&gt;=7,$S22+$R22*$Q22^2,"")</f>
      </c>
      <c r="X22" s="28">
        <f>IF($C$21&gt;=7,$T22+$R22*$P22^2,"")</f>
      </c>
      <c r="Y22" s="28">
        <f>IF($C$21&gt;=7,$R22*$P22*$Q22,"")</f>
      </c>
      <c r="Z22" s="51">
        <f>IF($C$12=0,IF($C$29=0,IF($C$36=0,IF($C$21&gt;=7,IF($O22&gt;=$N22,$O22*$N22^3/3,$N22*$O22^3/3),""),""),""),"")</f>
      </c>
      <c r="AA22" s="37" t="s">
        <v>209</v>
      </c>
    </row>
    <row r="23" spans="1:27" ht="12.75">
      <c r="A23" s="36" t="s">
        <v>73</v>
      </c>
      <c r="B23" s="266">
        <v>7</v>
      </c>
      <c r="C23" s="266">
        <v>7</v>
      </c>
      <c r="D23" s="266"/>
      <c r="E23" s="266"/>
      <c r="F23" s="266"/>
      <c r="G23" s="266"/>
      <c r="H23" s="266"/>
      <c r="I23" s="266"/>
      <c r="M23" s="30" t="s">
        <v>44</v>
      </c>
      <c r="N23" s="34">
        <f>IF($C$21&gt;=8,$I$23,"")</f>
      </c>
      <c r="O23" s="34">
        <f>IF($C$21&gt;=8,$I$24,"")</f>
      </c>
      <c r="P23" s="34">
        <f>IF($C$21&gt;=8,$I$25,"")</f>
      </c>
      <c r="Q23" s="34">
        <f>IF($C$21&gt;=8,$I$26,"")</f>
      </c>
      <c r="R23" s="35">
        <f>IF($C$21&gt;=8,IF($I$27="Y",$N23*$O23,-($N23*$O23)),"")</f>
      </c>
      <c r="S23" s="35">
        <f>IF($C$21&gt;=8,IF($I$27="Y",$N23*$O23^3/12,-($N23*$O23^3/12)),"")</f>
      </c>
      <c r="T23" s="35">
        <f>IF($C$21&gt;=8,IF($I$27="Y",$O23*$N23^3/12,-($O23*$N23^3/12)),"")</f>
      </c>
      <c r="U23" s="35">
        <f>IF($C$21&gt;=8,$R23*$P23,"")</f>
      </c>
      <c r="V23" s="35">
        <f>IF($C$21&gt;=8,$R23*$Q23,"")</f>
      </c>
      <c r="W23" s="28">
        <f>IF($C$21&gt;=8,$S23+$R23*$Q23^2,"")</f>
      </c>
      <c r="X23" s="28">
        <f>IF($C$21&gt;=8,$T23+$R23*$P23^2,"")</f>
      </c>
      <c r="Y23" s="28">
        <f>IF($C$21&gt;=8,$R23*$P23*$Q23,"")</f>
      </c>
      <c r="Z23" s="51">
        <f>IF($C$12=0,IF($C$29=0,IF($C$36=0,IF($C$21&gt;=8,IF($O23&gt;=$N23,$O23*$N23^3/3,$N23*$O23^3/3),""),""),""),"")</f>
      </c>
      <c r="AA23" s="37" t="s">
        <v>271</v>
      </c>
    </row>
    <row r="24" spans="1:27" ht="12.75">
      <c r="A24" s="36" t="s">
        <v>74</v>
      </c>
      <c r="B24" s="268">
        <v>0.5</v>
      </c>
      <c r="C24" s="268">
        <v>0.5</v>
      </c>
      <c r="D24" s="268"/>
      <c r="E24" s="268"/>
      <c r="F24" s="268"/>
      <c r="G24" s="268"/>
      <c r="H24" s="268"/>
      <c r="I24" s="268"/>
      <c r="M24" s="30"/>
      <c r="N24" s="55"/>
      <c r="O24" s="55"/>
      <c r="P24" s="56"/>
      <c r="Q24" s="56"/>
      <c r="R24" s="56"/>
      <c r="S24" s="56"/>
      <c r="T24" s="56"/>
      <c r="U24" s="28"/>
      <c r="V24" s="28"/>
      <c r="W24" s="28"/>
      <c r="X24" s="28"/>
      <c r="Y24" s="28"/>
      <c r="Z24" s="28"/>
      <c r="AA24" s="37" t="s">
        <v>210</v>
      </c>
    </row>
    <row r="25" spans="1:27" ht="12.75">
      <c r="A25" s="36" t="s">
        <v>40</v>
      </c>
      <c r="B25" s="268">
        <v>4.04</v>
      </c>
      <c r="C25" s="268">
        <v>4.04</v>
      </c>
      <c r="D25" s="268"/>
      <c r="E25" s="268"/>
      <c r="F25" s="268"/>
      <c r="G25" s="268"/>
      <c r="H25" s="268"/>
      <c r="I25" s="268"/>
      <c r="M25" s="25" t="s">
        <v>79</v>
      </c>
      <c r="N25" s="25"/>
      <c r="O25" s="26"/>
      <c r="U25" s="27"/>
      <c r="V25" s="26"/>
      <c r="Y25" s="27"/>
      <c r="Z25" s="28"/>
      <c r="AA25" s="37" t="s">
        <v>211</v>
      </c>
    </row>
    <row r="26" spans="1:27" ht="12.75">
      <c r="A26" s="36" t="s">
        <v>41</v>
      </c>
      <c r="B26" s="268">
        <v>0.25</v>
      </c>
      <c r="C26" s="268">
        <v>12.94</v>
      </c>
      <c r="D26" s="268"/>
      <c r="E26" s="268"/>
      <c r="F26" s="268"/>
      <c r="G26" s="268"/>
      <c r="H26" s="268"/>
      <c r="I26" s="268"/>
      <c r="M26" s="30" t="s">
        <v>43</v>
      </c>
      <c r="N26" s="31" t="s">
        <v>98</v>
      </c>
      <c r="O26" s="31"/>
      <c r="P26" s="23" t="s">
        <v>53</v>
      </c>
      <c r="Q26" s="23" t="s">
        <v>54</v>
      </c>
      <c r="R26" s="23" t="s">
        <v>55</v>
      </c>
      <c r="S26" s="23" t="s">
        <v>56</v>
      </c>
      <c r="T26" s="23" t="s">
        <v>57</v>
      </c>
      <c r="U26" s="32" t="s">
        <v>21</v>
      </c>
      <c r="V26" s="32" t="s">
        <v>22</v>
      </c>
      <c r="W26" s="32" t="s">
        <v>23</v>
      </c>
      <c r="X26" s="32" t="s">
        <v>24</v>
      </c>
      <c r="Y26" s="32" t="s">
        <v>61</v>
      </c>
      <c r="Z26" s="28"/>
      <c r="AA26" s="37" t="s">
        <v>212</v>
      </c>
    </row>
    <row r="27" spans="1:27" ht="12.75">
      <c r="A27" s="36" t="s">
        <v>109</v>
      </c>
      <c r="B27" s="269" t="s">
        <v>20</v>
      </c>
      <c r="C27" s="269" t="s">
        <v>20</v>
      </c>
      <c r="D27" s="269"/>
      <c r="E27" s="269"/>
      <c r="F27" s="269"/>
      <c r="G27" s="269"/>
      <c r="H27" s="269"/>
      <c r="I27" s="269"/>
      <c r="M27" s="30" t="s">
        <v>80</v>
      </c>
      <c r="N27" s="34">
        <f>IF($C$29&gt;=1,$B$31,"")</f>
      </c>
      <c r="O27" s="34"/>
      <c r="P27" s="34">
        <f>IF($C$29&gt;=1,$B$32,"")</f>
      </c>
      <c r="Q27" s="34">
        <f>IF($C$29&gt;=1,$B$33,"")</f>
      </c>
      <c r="R27" s="35">
        <f>IF($C$29&gt;=1,IF($B$34="Y",PI()*$N27^2/4,-(PI()*$N27^2/4)),"")</f>
      </c>
      <c r="S27" s="35">
        <f>IF($C$29&gt;=1,IF($B$34="Y",PI()*$N27^4/64,-(PI()*$N27^4/64)),"")</f>
      </c>
      <c r="T27" s="35">
        <f>IF($C$29&gt;=1,IF($B$34="Y",PI()*$N27^4/64,-(PI()*$N27^4/64)),"")</f>
      </c>
      <c r="U27" s="35">
        <f>IF($C$29&gt;=1,$R27*$P27,"")</f>
      </c>
      <c r="V27" s="35">
        <f>IF($C$29&gt;=1,$R27*$Q27,"")</f>
      </c>
      <c r="W27" s="28">
        <f>IF($C$29&gt;=1,$S27+$R27*$Q27^2,"")</f>
      </c>
      <c r="X27" s="28">
        <f>IF($C$29&gt;=1,$T27+$R27*$P27^2,"")</f>
      </c>
      <c r="Y27" s="28">
        <f>IF($C$29&gt;=1,$R27*$P27*$Q27,"")</f>
      </c>
      <c r="Z27" s="28"/>
      <c r="AA27" s="37" t="s">
        <v>272</v>
      </c>
    </row>
    <row r="28" spans="1:27" ht="12.75">
      <c r="A28" s="40"/>
      <c r="B28" s="18"/>
      <c r="C28" s="18"/>
      <c r="D28" s="18"/>
      <c r="E28" s="18"/>
      <c r="F28" s="18"/>
      <c r="G28" s="18"/>
      <c r="H28" s="18"/>
      <c r="I28" s="52"/>
      <c r="M28" s="30" t="s">
        <v>81</v>
      </c>
      <c r="N28" s="34">
        <f>IF($C$29&gt;=2,$C$31,"")</f>
      </c>
      <c r="O28" s="34"/>
      <c r="P28" s="34">
        <f>IF($C$29&gt;=2,$C$32,"")</f>
      </c>
      <c r="Q28" s="34">
        <f>IF($C$29&gt;=2,$C$33,"")</f>
      </c>
      <c r="R28" s="35">
        <f>IF($C$29&gt;=2,IF($C$34="Y",PI()*$N28^2/4,-(PI()*$N28^2/4)),"")</f>
      </c>
      <c r="S28" s="35">
        <f>IF($C$29&gt;=2,IF($C$34="Y",PI()*$N28^4/64,-(PI()*$N28^4/64)),"")</f>
      </c>
      <c r="T28" s="35">
        <f>IF($C$29&gt;=2,IF($C$34="Y",PI()*$N28^4/64,-(PI()*$N28^4/64)),"")</f>
      </c>
      <c r="U28" s="35">
        <f>IF($C$29&gt;=2,$R28*$P28,"")</f>
      </c>
      <c r="V28" s="35">
        <f>IF($C$29&gt;=2,$R28*$Q28,"")</f>
      </c>
      <c r="W28" s="28">
        <f>IF($C$29&gt;=2,$S28+$R28*$Q28^2,"")</f>
      </c>
      <c r="X28" s="28">
        <f>IF($C$29&gt;=2,$T28+$R28*$P28^2,"")</f>
      </c>
      <c r="Y28" s="28">
        <f>IF($C$29&gt;=2,$R28*$P28*$Q28,"")</f>
      </c>
      <c r="Z28" s="28"/>
      <c r="AA28" s="37" t="s">
        <v>213</v>
      </c>
    </row>
    <row r="29" spans="1:27" ht="12.75">
      <c r="A29" s="40"/>
      <c r="B29" s="43" t="s">
        <v>72</v>
      </c>
      <c r="C29" s="6">
        <v>0</v>
      </c>
      <c r="D29" s="44"/>
      <c r="E29" s="45"/>
      <c r="F29" s="18"/>
      <c r="G29" s="18"/>
      <c r="H29" s="18"/>
      <c r="I29" s="52"/>
      <c r="M29" s="30" t="s">
        <v>82</v>
      </c>
      <c r="N29" s="34">
        <f>IF($C$29&gt;=3,$D$31,"")</f>
      </c>
      <c r="O29" s="34"/>
      <c r="P29" s="34">
        <f>IF($C$29&gt;=3,$D$32,"")</f>
      </c>
      <c r="Q29" s="34">
        <f>IF($C$29&gt;=3,$D$33,"")</f>
      </c>
      <c r="R29" s="35">
        <f>IF($C$29&gt;=3,IF($D$34="Y",PI()*$N29^2/4,-(PI()*$N29^2/4)),"")</f>
      </c>
      <c r="S29" s="35">
        <f>IF($C$29&gt;=3,IF($D$34="Y",PI()*$N29^4/64,-(PI()*$N29^4/64)),"")</f>
      </c>
      <c r="T29" s="35">
        <f>IF($C$29&gt;=3,IF($D$34="Y",PI()*$N29^4/64,-(PI()*$N29^4/64)),"")</f>
      </c>
      <c r="U29" s="35">
        <f>IF($C$29&gt;=3,$R29*$P29,"")</f>
      </c>
      <c r="V29" s="35">
        <f>IF($C$29&gt;=3,$R29*$Q29,"")</f>
      </c>
      <c r="W29" s="28">
        <f>IF($C$29&gt;=3,$S29+$R29*$Q29^2,"")</f>
      </c>
      <c r="X29" s="28">
        <f>IF($C$29&gt;=3,$T29+$R29*$P29^2,"")</f>
      </c>
      <c r="Y29" s="28">
        <f>IF($C$29&gt;=3,$R29*$P29*$Q29,"")</f>
      </c>
      <c r="Z29" s="28"/>
      <c r="AA29" s="37" t="s">
        <v>214</v>
      </c>
    </row>
    <row r="30" spans="1:27" ht="12.75">
      <c r="A30" s="36" t="s">
        <v>43</v>
      </c>
      <c r="B30" s="47">
        <f>IF($C$29&gt;=1,"Circle #1","")</f>
      </c>
      <c r="C30" s="47">
        <f>IF($C$29&gt;=2,"Circle #2","")</f>
      </c>
      <c r="D30" s="47">
        <f>IF($C$29&gt;=3,"Circle #3","")</f>
      </c>
      <c r="E30" s="47">
        <f>IF($C$29&gt;=4,"Circle #4","")</f>
      </c>
      <c r="F30" s="47"/>
      <c r="G30" s="47"/>
      <c r="H30" s="47"/>
      <c r="I30" s="54"/>
      <c r="M30" s="30" t="s">
        <v>83</v>
      </c>
      <c r="N30" s="34">
        <f>IF($C$29&gt;=4,$E$31,"")</f>
      </c>
      <c r="O30" s="34"/>
      <c r="P30" s="34">
        <f>IF($C$29&gt;=4,$E$32,"")</f>
      </c>
      <c r="Q30" s="34">
        <f>IF($C$29&gt;=4,$E$33,"")</f>
      </c>
      <c r="R30" s="35">
        <f>IF($C$29&gt;=4,IF($E$34="Y",PI()*$N30^2/4,-(PI()*$N30^2/4)),"")</f>
      </c>
      <c r="S30" s="35">
        <f>IF($C$29&gt;=4,IF($E$34="Y",PI()*$N30^4/64,-(PI()*$N30^4/64)),"")</f>
      </c>
      <c r="T30" s="35">
        <f>IF($C$29&gt;=4,IF($E$34="Y",PI()*$N30^4/64,-(PI()*$N30^4/64)),"")</f>
      </c>
      <c r="U30" s="35">
        <f>IF($C$29&gt;=4,$R30*$P30,"")</f>
      </c>
      <c r="V30" s="35">
        <f>IF($C$29&gt;=4,$R30*$Q30,"")</f>
      </c>
      <c r="W30" s="28">
        <f>IF($C$29&gt;=4,$S30+$R30*$Q30^2,"")</f>
      </c>
      <c r="X30" s="28">
        <f>IF($C$29&gt;=4,$T30+$R30*$P30^2,"")</f>
      </c>
      <c r="Y30" s="28">
        <f>IF($C$29&gt;=4,$R30*$P30*$Q30,"")</f>
      </c>
      <c r="Z30" s="28"/>
      <c r="AA30" s="37" t="s">
        <v>215</v>
      </c>
    </row>
    <row r="31" spans="1:26" ht="12.75">
      <c r="A31" s="36" t="s">
        <v>75</v>
      </c>
      <c r="B31" s="266"/>
      <c r="C31" s="266"/>
      <c r="D31" s="266"/>
      <c r="E31" s="266"/>
      <c r="F31" s="57"/>
      <c r="G31" s="57"/>
      <c r="H31" s="57"/>
      <c r="I31" s="58"/>
      <c r="J31" s="18"/>
      <c r="M31" s="30"/>
      <c r="N31" s="34"/>
      <c r="O31" s="34"/>
      <c r="P31" s="34"/>
      <c r="Q31" s="34"/>
      <c r="R31" s="35"/>
      <c r="S31" s="35"/>
      <c r="T31" s="35"/>
      <c r="U31" s="35"/>
      <c r="V31" s="35"/>
      <c r="W31" s="28"/>
      <c r="X31" s="28"/>
      <c r="Y31" s="28"/>
      <c r="Z31" s="28"/>
    </row>
    <row r="32" spans="1:26" ht="12.75">
      <c r="A32" s="36" t="s">
        <v>40</v>
      </c>
      <c r="B32" s="268"/>
      <c r="C32" s="268"/>
      <c r="D32" s="268"/>
      <c r="E32" s="268"/>
      <c r="F32" s="57"/>
      <c r="G32" s="57"/>
      <c r="H32" s="57"/>
      <c r="I32" s="58"/>
      <c r="M32" s="25" t="s">
        <v>84</v>
      </c>
      <c r="N32" s="25"/>
      <c r="O32" s="26"/>
      <c r="U32" s="27"/>
      <c r="V32" s="26"/>
      <c r="Y32" s="27"/>
      <c r="Z32" s="28"/>
    </row>
    <row r="33" spans="1:26" ht="12.75">
      <c r="A33" s="36" t="s">
        <v>41</v>
      </c>
      <c r="B33" s="268"/>
      <c r="C33" s="268"/>
      <c r="D33" s="268"/>
      <c r="E33" s="268"/>
      <c r="F33" s="57"/>
      <c r="G33" s="57"/>
      <c r="H33" s="57"/>
      <c r="I33" s="58"/>
      <c r="M33" s="30" t="s">
        <v>43</v>
      </c>
      <c r="N33" s="31" t="s">
        <v>99</v>
      </c>
      <c r="O33" s="31" t="s">
        <v>100</v>
      </c>
      <c r="P33" s="23" t="s">
        <v>53</v>
      </c>
      <c r="Q33" s="23" t="s">
        <v>54</v>
      </c>
      <c r="R33" s="23" t="s">
        <v>55</v>
      </c>
      <c r="S33" s="23" t="s">
        <v>56</v>
      </c>
      <c r="T33" s="23" t="s">
        <v>57</v>
      </c>
      <c r="U33" s="32" t="s">
        <v>21</v>
      </c>
      <c r="V33" s="32" t="s">
        <v>22</v>
      </c>
      <c r="W33" s="32" t="s">
        <v>23</v>
      </c>
      <c r="X33" s="32" t="s">
        <v>24</v>
      </c>
      <c r="Y33" s="32" t="s">
        <v>61</v>
      </c>
      <c r="Z33" s="28"/>
    </row>
    <row r="34" spans="1:26" ht="12.75">
      <c r="A34" s="36" t="s">
        <v>109</v>
      </c>
      <c r="B34" s="269"/>
      <c r="C34" s="269"/>
      <c r="D34" s="269"/>
      <c r="E34" s="269"/>
      <c r="F34" s="24"/>
      <c r="G34" s="24"/>
      <c r="H34" s="24"/>
      <c r="I34" s="59"/>
      <c r="M34" s="30" t="s">
        <v>85</v>
      </c>
      <c r="N34" s="34">
        <f>IF($C$36&gt;=1,$B$38,"")</f>
      </c>
      <c r="O34" s="34">
        <f>IF($C$36&gt;=1,$B$39,"")</f>
      </c>
      <c r="P34" s="34">
        <f>IF($C$36&gt;=1,$B$40,"")</f>
      </c>
      <c r="Q34" s="34">
        <f>IF($C$36&gt;=1,$B$41,"")</f>
      </c>
      <c r="R34" s="35">
        <f>IF($C$36&gt;=1,IF($B$42="Y",PI()*($N$34^2-$O$34^2)/4,-(PI()*($N$34^2-$O$34^2)/4)),"")</f>
      </c>
      <c r="S34" s="35">
        <f>IF($C$36&gt;=1,IF($B$42="Y",PI()*($N$34^4-$O$34^4)/64,-(PI()*($N$34^4-$O$34^4)/64)),"")</f>
      </c>
      <c r="T34" s="35">
        <f>IF($C$36&gt;=1,IF($B$42="Y",PI()*($N$34^4-$O$34^4)/64,-(PI()*($N$34^4-$O$34^4)/64)),"")</f>
      </c>
      <c r="U34" s="35">
        <f>IF($C$36&gt;=1,$R34*$P34,"")</f>
      </c>
      <c r="V34" s="35">
        <f>IF($C$36&gt;=1,$R34*$Q34,"")</f>
      </c>
      <c r="W34" s="28">
        <f>IF($C$36&gt;=1,$S34+$R34*$Q34^2,"")</f>
      </c>
      <c r="X34" s="28">
        <f>IF($C$36&gt;=1,$T34+$R34*$P34^2,"")</f>
      </c>
      <c r="Y34" s="28">
        <f>IF($C$36&gt;=1,$R34*$P34*$Q34,"")</f>
      </c>
      <c r="Z34" s="28"/>
    </row>
    <row r="35" spans="1:26" ht="12.75">
      <c r="A35" s="40"/>
      <c r="B35" s="18"/>
      <c r="C35" s="18"/>
      <c r="D35" s="18"/>
      <c r="E35" s="18"/>
      <c r="F35" s="18"/>
      <c r="G35" s="18"/>
      <c r="H35" s="18"/>
      <c r="I35" s="52"/>
      <c r="L35" s="61"/>
      <c r="M35" s="30" t="s">
        <v>86</v>
      </c>
      <c r="N35" s="34">
        <f>IF($C$36&gt;=2,$C$38,"")</f>
      </c>
      <c r="O35" s="34">
        <f>IF($C$36&gt;=2,$C$39,"")</f>
      </c>
      <c r="P35" s="34">
        <f>IF($C$36&gt;=2,$C$40,"")</f>
      </c>
      <c r="Q35" s="34">
        <f>IF($C$36&gt;=2,$C$41,"")</f>
      </c>
      <c r="R35" s="35">
        <f>IF($C$36&gt;=2,IF($C$42="Y",PI()*($N$35^2-$O$35^2)/4,-(PI()*($N$35^2-$O$35^2)/4)),"")</f>
      </c>
      <c r="S35" s="35">
        <f>IF($C$36&gt;=2,IF($C$42="Y",PI()*($N$35^4-$O$35^4)/64,-(PI()*($N$35^4-$O$35^4)/64)),"")</f>
      </c>
      <c r="T35" s="35">
        <f>IF($C$36&gt;=2,IF($C$42="Y",PI()*($N$35^4-$O$35^4)/64,-(PI()*($N$35^4-$O$35^4)/64)),"")</f>
      </c>
      <c r="U35" s="35">
        <f>IF($C$36&gt;=2,$R35*$P35,"")</f>
      </c>
      <c r="V35" s="35">
        <f>IF($C$36&gt;=2,$R35*$Q35,"")</f>
      </c>
      <c r="W35" s="28">
        <f>IF($C$36&gt;=2,$S35+$R35*$Q35^2,"")</f>
      </c>
      <c r="X35" s="28">
        <f>IF($C$36&gt;=2,$T35+$R35*$P35^2,"")</f>
      </c>
      <c r="Y35" s="28">
        <f>IF($C$36&gt;=2,$R35*$P35*$Q35,"")</f>
      </c>
      <c r="Z35" s="28"/>
    </row>
    <row r="36" spans="1:26" ht="12.75">
      <c r="A36" s="60"/>
      <c r="B36" s="43" t="s">
        <v>76</v>
      </c>
      <c r="C36" s="6">
        <v>0</v>
      </c>
      <c r="D36" s="44"/>
      <c r="E36" s="45"/>
      <c r="F36" s="18"/>
      <c r="G36" s="18"/>
      <c r="H36" s="18"/>
      <c r="I36" s="52"/>
      <c r="M36" s="30" t="s">
        <v>87</v>
      </c>
      <c r="N36" s="34">
        <f>IF($C$36&gt;=3,$D$38,"")</f>
      </c>
      <c r="O36" s="34">
        <f>IF($C$36&gt;=3,$D$39,"")</f>
      </c>
      <c r="P36" s="34">
        <f>IF($C$36&gt;=3,$D$40,"")</f>
      </c>
      <c r="Q36" s="34">
        <f>IF($C$36&gt;=3,$D$41,"")</f>
      </c>
      <c r="R36" s="35">
        <f>IF($C$36&gt;=3,IF($D$42="Y",PI()*($N$36^2-$O$36^2)/4,-(PI()*($N$36^2-$O$36^2)/4)),"")</f>
      </c>
      <c r="S36" s="35">
        <f>IF($C$36&gt;=3,IF($D$42="Y",PI()*($N$36^4-$O$36^4)/64,-(PI()*($N$36^4-$O$36^4)/64)),"")</f>
      </c>
      <c r="T36" s="35">
        <f>IF($C$36&gt;=3,IF($D$42="Y",PI()*($N$36^4-$O$36^4)/64,-(PI()*($N$36^4-$O$36^4)/64)),"")</f>
      </c>
      <c r="U36" s="35">
        <f>IF($C$36&gt;=3,$R36*$P36,"")</f>
      </c>
      <c r="V36" s="35">
        <f>IF($C$36&gt;=3,$R36*$Q36,"")</f>
      </c>
      <c r="W36" s="28">
        <f>IF($C$36&gt;=3,$S36+$R36*$Q36^2,"")</f>
      </c>
      <c r="X36" s="28">
        <f>IF($C$36&gt;=3,$T36+$R36*$P36^2,"")</f>
      </c>
      <c r="Y36" s="28">
        <f>IF($C$36&gt;=3,$R36*$P36*$Q36,"")</f>
      </c>
      <c r="Z36" s="28"/>
    </row>
    <row r="37" spans="1:26" ht="12.75">
      <c r="A37" s="36" t="s">
        <v>43</v>
      </c>
      <c r="B37" s="47">
        <f>IF($C$36&gt;=1,"Cylin. #1","")</f>
      </c>
      <c r="C37" s="47">
        <f>IF($C$36&gt;=2,"Cylin. #2","")</f>
      </c>
      <c r="D37" s="47">
        <f>IF($C$36&gt;=3,"Cylin. #3","")</f>
      </c>
      <c r="E37" s="47">
        <f>IF($C$36&gt;=4,"Cylin. #4","")</f>
      </c>
      <c r="F37" s="47"/>
      <c r="G37" s="47"/>
      <c r="H37" s="47"/>
      <c r="I37" s="54"/>
      <c r="M37" s="30" t="s">
        <v>88</v>
      </c>
      <c r="N37" s="34">
        <f>IF($C$36&gt;=4,$E$38,"")</f>
      </c>
      <c r="O37" s="34">
        <f>IF($C$36&gt;=4,$E$39,"")</f>
      </c>
      <c r="P37" s="34">
        <f>IF($C$36&gt;=4,$E$40,"")</f>
      </c>
      <c r="Q37" s="34">
        <f>IF($C$36&gt;=4,$E$41,"")</f>
      </c>
      <c r="R37" s="35">
        <f>IF($C$36&gt;=4,IF($E$42="Y",PI()*($N$37^2-$O$37^2)/4,-(PI()*($N$37^2-$O$37^2)/4)),"")</f>
      </c>
      <c r="S37" s="35">
        <f>IF($C$36&gt;=4,IF($E$42="Y",PI()*($N$37^4-$O$37^4)/64,-(PI()*($N$37^4-$O$37^4)/64)),"")</f>
      </c>
      <c r="T37" s="35">
        <f>IF($C$36&gt;=4,IF($E$42="Y",PI()*($N$37^4-$O$37^4)/64,-(PI()*($N$37^4-$O$37^4)/64)),"")</f>
      </c>
      <c r="U37" s="35">
        <f>IF($C$36&gt;=4,$R37*$P37,"")</f>
      </c>
      <c r="V37" s="35">
        <f>IF($C$36&gt;=4,$R37*$Q37,"")</f>
      </c>
      <c r="W37" s="28">
        <f>IF($C$36&gt;=4,$S37+$R37*$Q37^2,"")</f>
      </c>
      <c r="X37" s="28">
        <f>IF($C$36&gt;=4,$T37+$R37*$P37^2,"")</f>
      </c>
      <c r="Y37" s="28">
        <f>IF($C$36&gt;=4,$R37*$P37*$Q37,"")</f>
      </c>
      <c r="Z37" s="28"/>
    </row>
    <row r="38" spans="1:26" ht="12.75">
      <c r="A38" s="36" t="s">
        <v>77</v>
      </c>
      <c r="B38" s="266"/>
      <c r="C38" s="266"/>
      <c r="D38" s="266"/>
      <c r="E38" s="266"/>
      <c r="F38" s="57"/>
      <c r="G38" s="57"/>
      <c r="H38" s="57"/>
      <c r="I38" s="58"/>
      <c r="Z38" s="28"/>
    </row>
    <row r="39" spans="1:26" ht="12.75">
      <c r="A39" s="36" t="s">
        <v>78</v>
      </c>
      <c r="B39" s="268"/>
      <c r="C39" s="268"/>
      <c r="D39" s="268"/>
      <c r="E39" s="268"/>
      <c r="F39" s="62"/>
      <c r="G39" s="62"/>
      <c r="H39" s="62"/>
      <c r="I39" s="63"/>
      <c r="M39" s="64" t="s">
        <v>59</v>
      </c>
      <c r="N39" s="22"/>
      <c r="O39" s="55"/>
      <c r="P39" s="55"/>
      <c r="Q39" s="65"/>
      <c r="R39" s="66"/>
      <c r="Z39" s="28"/>
    </row>
    <row r="40" spans="1:26" ht="12.75">
      <c r="A40" s="36" t="s">
        <v>40</v>
      </c>
      <c r="B40" s="268"/>
      <c r="C40" s="268"/>
      <c r="D40" s="268"/>
      <c r="E40" s="268"/>
      <c r="F40" s="57"/>
      <c r="G40" s="57"/>
      <c r="H40" s="57"/>
      <c r="I40" s="58"/>
      <c r="M40" s="67" t="s">
        <v>60</v>
      </c>
      <c r="N40" s="68">
        <f>SUM($R$5:$R$12)+SUM($R$16:$R$23)+SUM($R$27:$R$30)+SUM($R$34:$R$37)</f>
        <v>21.7</v>
      </c>
      <c r="O40" s="55"/>
      <c r="P40" s="55"/>
      <c r="Q40" s="55"/>
      <c r="R40" s="55"/>
      <c r="S40" s="35"/>
      <c r="T40" s="35"/>
      <c r="U40" s="35"/>
      <c r="V40" s="35"/>
      <c r="W40" s="28"/>
      <c r="X40" s="28"/>
      <c r="Y40" s="28"/>
      <c r="Z40" s="28"/>
    </row>
    <row r="41" spans="1:26" ht="12.75">
      <c r="A41" s="36" t="s">
        <v>41</v>
      </c>
      <c r="B41" s="268"/>
      <c r="C41" s="268"/>
      <c r="D41" s="268"/>
      <c r="E41" s="268"/>
      <c r="F41" s="57"/>
      <c r="G41" s="57"/>
      <c r="H41" s="57"/>
      <c r="I41" s="58"/>
      <c r="M41" s="65" t="s">
        <v>27</v>
      </c>
      <c r="N41" s="68">
        <f>SUM($U$5:$U$12)+SUM($U$16:$U$23)+SUM($U$27:$U$30)+SUM($U$34:$U$37)</f>
        <v>87.668</v>
      </c>
      <c r="O41" s="55"/>
      <c r="S41" s="35"/>
      <c r="T41" s="35"/>
      <c r="U41" s="35"/>
      <c r="V41" s="35"/>
      <c r="W41" s="28"/>
      <c r="X41" s="28"/>
      <c r="Y41" s="28"/>
      <c r="Z41" s="28"/>
    </row>
    <row r="42" spans="1:26" ht="12.75">
      <c r="A42" s="36" t="s">
        <v>109</v>
      </c>
      <c r="B42" s="269"/>
      <c r="C42" s="269"/>
      <c r="D42" s="269"/>
      <c r="E42" s="269"/>
      <c r="F42" s="331" t="s">
        <v>265</v>
      </c>
      <c r="G42" s="331"/>
      <c r="H42" s="331"/>
      <c r="I42" s="332"/>
      <c r="M42" s="65" t="s">
        <v>28</v>
      </c>
      <c r="N42" s="68">
        <f>SUM($V$5:$V$12)+SUM($V$16:$V$23)+SUM($V$27:$V$30)+SUM($V$34:$V$37)</f>
        <v>143.11149999999998</v>
      </c>
      <c r="O42" s="55"/>
      <c r="Z42" s="28"/>
    </row>
    <row r="43" spans="1:26" ht="12.75">
      <c r="A43" s="40"/>
      <c r="B43" s="18"/>
      <c r="C43" s="18"/>
      <c r="D43" s="18"/>
      <c r="E43" s="18"/>
      <c r="F43" s="18"/>
      <c r="G43" s="18"/>
      <c r="H43" s="18"/>
      <c r="I43" s="52"/>
      <c r="J43" s="77"/>
      <c r="K43" s="77"/>
      <c r="M43" s="65" t="s">
        <v>25</v>
      </c>
      <c r="N43" s="78">
        <f>SUM($W$5:$W$12)+SUM($W$16:$W$23)+SUM($W$27:$W$30)+SUM($W$34:$W$37)</f>
        <v>1619.779350833333</v>
      </c>
      <c r="O43" s="55"/>
      <c r="P43" s="55"/>
      <c r="Q43" s="55"/>
      <c r="R43" s="55"/>
      <c r="S43" s="79"/>
      <c r="T43" s="79"/>
      <c r="U43" s="79"/>
      <c r="V43" s="80"/>
      <c r="Z43" s="28"/>
    </row>
    <row r="44" spans="1:26" ht="12.75">
      <c r="A44" s="69" t="s">
        <v>7</v>
      </c>
      <c r="B44" s="70"/>
      <c r="C44" s="18"/>
      <c r="D44" s="18"/>
      <c r="E44" s="18"/>
      <c r="F44" s="18"/>
      <c r="G44" s="18"/>
      <c r="H44" s="18"/>
      <c r="I44" s="52"/>
      <c r="M44" s="65" t="s">
        <v>26</v>
      </c>
      <c r="N44" s="78">
        <f>SUM($X$5:$X$12)+SUM($X$16:$X$23)+SUM($X$27:$X$30)+SUM($X$34:$X$37)</f>
        <v>439.0620533333333</v>
      </c>
      <c r="O44" s="55"/>
      <c r="P44" s="55"/>
      <c r="Q44" s="55"/>
      <c r="R44" s="55"/>
      <c r="S44" s="55"/>
      <c r="T44" s="28"/>
      <c r="U44" s="28"/>
      <c r="V44" s="80"/>
      <c r="W44" s="80"/>
      <c r="Z44" s="28"/>
    </row>
    <row r="45" spans="1:26" ht="12.75">
      <c r="A45" s="71"/>
      <c r="B45" s="18"/>
      <c r="C45" s="18"/>
      <c r="D45" s="72" t="s">
        <v>102</v>
      </c>
      <c r="E45" s="73"/>
      <c r="F45" s="18"/>
      <c r="G45" s="72" t="s">
        <v>103</v>
      </c>
      <c r="H45" s="73"/>
      <c r="I45" s="54"/>
      <c r="J45" s="18"/>
      <c r="K45" s="18"/>
      <c r="M45" s="65" t="s">
        <v>62</v>
      </c>
      <c r="N45" s="68">
        <f>SUM($Y$5:$Y$12)+SUM($Y$16:$Y$23)+SUM($Y$27:$Y$30)+SUM($Y$34:$Y$37)</f>
        <v>578.17046</v>
      </c>
      <c r="O45" s="55"/>
      <c r="P45" s="55"/>
      <c r="Q45" s="55"/>
      <c r="R45" s="55"/>
      <c r="Z45" s="28"/>
    </row>
    <row r="46" spans="1:18" ht="12.75">
      <c r="A46" s="74" t="s">
        <v>104</v>
      </c>
      <c r="B46" s="75"/>
      <c r="C46" s="18"/>
      <c r="D46" s="76" t="s">
        <v>29</v>
      </c>
      <c r="E46" s="273">
        <f>$N$50</f>
        <v>675.9590083333333</v>
      </c>
      <c r="F46" s="51"/>
      <c r="G46" s="76" t="s">
        <v>67</v>
      </c>
      <c r="H46" s="273">
        <f>$N$60</f>
        <v>675.9590083333333</v>
      </c>
      <c r="I46" s="52"/>
      <c r="J46" s="18"/>
      <c r="K46" s="18"/>
      <c r="M46" s="30" t="s">
        <v>266</v>
      </c>
      <c r="N46" s="84">
        <f>$N$41/$N$40</f>
        <v>4.04</v>
      </c>
      <c r="O46" s="55"/>
      <c r="P46" s="55"/>
      <c r="Q46" s="55"/>
      <c r="R46" s="55"/>
    </row>
    <row r="47" spans="1:14" ht="12.75">
      <c r="A47" s="81" t="s">
        <v>266</v>
      </c>
      <c r="B47" s="270">
        <f>$N$46</f>
        <v>4.04</v>
      </c>
      <c r="C47" s="51"/>
      <c r="D47" s="82" t="s">
        <v>182</v>
      </c>
      <c r="E47" s="274">
        <f>$N$51</f>
        <v>102.49567980793529</v>
      </c>
      <c r="F47" s="51"/>
      <c r="G47" s="76" t="s">
        <v>68</v>
      </c>
      <c r="H47" s="275">
        <f>$N$61</f>
        <v>84.88333333333333</v>
      </c>
      <c r="I47" s="52"/>
      <c r="J47" s="18"/>
      <c r="K47" s="18"/>
      <c r="M47" s="30" t="s">
        <v>267</v>
      </c>
      <c r="N47" s="329">
        <f>$C$10-$N$46</f>
        <v>4.04</v>
      </c>
    </row>
    <row r="48" spans="1:23" ht="12.75">
      <c r="A48" s="81" t="s">
        <v>267</v>
      </c>
      <c r="B48" s="328">
        <f>$N$47</f>
        <v>4.04</v>
      </c>
      <c r="C48" s="24"/>
      <c r="D48" s="82" t="s">
        <v>183</v>
      </c>
      <c r="E48" s="274">
        <f>$N$52</f>
        <v>102.49567980793532</v>
      </c>
      <c r="F48" s="47"/>
      <c r="G48" s="76" t="s">
        <v>69</v>
      </c>
      <c r="H48" s="271">
        <f>$N$62</f>
        <v>0</v>
      </c>
      <c r="I48" s="52"/>
      <c r="J48" s="18"/>
      <c r="K48" s="18"/>
      <c r="M48" s="30" t="s">
        <v>184</v>
      </c>
      <c r="N48" s="68">
        <f>$C$9-$N$49</f>
        <v>6.595000000000001</v>
      </c>
      <c r="O48" s="55"/>
      <c r="P48" s="55"/>
      <c r="Q48" s="55"/>
      <c r="R48" s="55"/>
      <c r="S48" s="55"/>
      <c r="T48" s="28"/>
      <c r="U48" s="28"/>
      <c r="V48" s="80"/>
      <c r="W48" s="80"/>
    </row>
    <row r="49" spans="1:23" ht="12.75">
      <c r="A49" s="36" t="s">
        <v>184</v>
      </c>
      <c r="B49" s="271">
        <f>$N$48</f>
        <v>6.595000000000001</v>
      </c>
      <c r="C49" s="47"/>
      <c r="D49" s="76" t="s">
        <v>30</v>
      </c>
      <c r="E49" s="275">
        <f>$N$53</f>
        <v>84.88333333333333</v>
      </c>
      <c r="F49" s="18"/>
      <c r="G49" s="82" t="s">
        <v>70</v>
      </c>
      <c r="H49" s="276">
        <f>$N$63</f>
        <v>5.581235052909151</v>
      </c>
      <c r="I49" s="83"/>
      <c r="M49" s="30" t="s">
        <v>185</v>
      </c>
      <c r="N49" s="84">
        <f>$N$42/$N$40</f>
        <v>6.594999999999999</v>
      </c>
      <c r="O49" s="55"/>
      <c r="P49" s="55"/>
      <c r="Q49" s="86"/>
      <c r="S49" s="55"/>
      <c r="T49" s="28"/>
      <c r="U49" s="28"/>
      <c r="V49" s="80"/>
      <c r="W49" s="80"/>
    </row>
    <row r="50" spans="1:23" ht="12.75">
      <c r="A50" s="81" t="s">
        <v>185</v>
      </c>
      <c r="B50" s="271">
        <f>$N$49</f>
        <v>6.594999999999999</v>
      </c>
      <c r="C50" s="57"/>
      <c r="D50" s="82" t="s">
        <v>269</v>
      </c>
      <c r="E50" s="275">
        <f>$N$54</f>
        <v>21.01072607260726</v>
      </c>
      <c r="F50" s="57"/>
      <c r="G50" s="82" t="s">
        <v>71</v>
      </c>
      <c r="H50" s="276">
        <f>$N$64</f>
        <v>1.9777953248903735</v>
      </c>
      <c r="I50" s="83"/>
      <c r="M50" s="89" t="s">
        <v>29</v>
      </c>
      <c r="N50" s="90">
        <f>$N$43-$N$40*$N$49^2</f>
        <v>675.9590083333333</v>
      </c>
      <c r="P50" s="55"/>
      <c r="S50" s="55"/>
      <c r="T50" s="28"/>
      <c r="U50" s="28"/>
      <c r="V50" s="80"/>
      <c r="W50" s="80"/>
    </row>
    <row r="51" spans="1:23" ht="12.75">
      <c r="A51" s="36" t="s">
        <v>60</v>
      </c>
      <c r="B51" s="272">
        <f>$N$40</f>
        <v>21.7</v>
      </c>
      <c r="C51" s="57"/>
      <c r="D51" s="82" t="s">
        <v>285</v>
      </c>
      <c r="E51" s="275">
        <f>$N$55</f>
        <v>21.01072607260726</v>
      </c>
      <c r="F51" s="57"/>
      <c r="G51" s="85" t="s">
        <v>101</v>
      </c>
      <c r="H51" s="272">
        <f>$N$59</f>
        <v>0</v>
      </c>
      <c r="I51" s="54"/>
      <c r="M51" s="67" t="s">
        <v>182</v>
      </c>
      <c r="N51" s="78">
        <f>$N$50/($C$9-$N$49)</f>
        <v>102.49567980793529</v>
      </c>
      <c r="O51" s="55"/>
      <c r="P51" s="55"/>
      <c r="Q51" s="55"/>
      <c r="R51" s="55"/>
      <c r="S51" s="55"/>
      <c r="T51" s="28"/>
      <c r="U51" s="28"/>
      <c r="V51" s="80"/>
      <c r="W51" s="80"/>
    </row>
    <row r="52" spans="1:23" ht="12.75">
      <c r="A52" s="87"/>
      <c r="B52" s="7"/>
      <c r="C52" s="88"/>
      <c r="D52" s="76" t="s">
        <v>63</v>
      </c>
      <c r="E52" s="271">
        <f>$N$56</f>
        <v>0</v>
      </c>
      <c r="F52" s="18"/>
      <c r="G52" s="18"/>
      <c r="H52" s="18"/>
      <c r="I52" s="52"/>
      <c r="M52" s="67" t="s">
        <v>183</v>
      </c>
      <c r="N52" s="78">
        <f>$N$50/$N$49</f>
        <v>102.49567980793532</v>
      </c>
      <c r="P52" s="55"/>
      <c r="Q52" s="55"/>
      <c r="R52" s="55"/>
      <c r="S52" s="55"/>
      <c r="T52" s="28"/>
      <c r="U52" s="28"/>
      <c r="V52" s="80"/>
      <c r="W52" s="80"/>
    </row>
    <row r="53" spans="1:23" ht="12.75">
      <c r="A53" s="40"/>
      <c r="B53" s="18"/>
      <c r="C53" s="18"/>
      <c r="D53" s="82" t="s">
        <v>64</v>
      </c>
      <c r="E53" s="276">
        <f>$N$57</f>
        <v>5.581235052909151</v>
      </c>
      <c r="F53" s="18"/>
      <c r="G53" s="18"/>
      <c r="H53" s="18"/>
      <c r="I53" s="52"/>
      <c r="M53" s="89" t="s">
        <v>30</v>
      </c>
      <c r="N53" s="90">
        <f>$N$44-$N$40*$N$46^2</f>
        <v>84.88333333333333</v>
      </c>
      <c r="O53" s="55"/>
      <c r="P53" s="55"/>
      <c r="Q53" s="55"/>
      <c r="R53" s="55"/>
      <c r="S53" s="55"/>
      <c r="T53" s="28"/>
      <c r="U53" s="28"/>
      <c r="V53" s="80"/>
      <c r="W53" s="80"/>
    </row>
    <row r="54" spans="1:14" ht="12.75">
      <c r="A54" s="40"/>
      <c r="B54" s="18"/>
      <c r="C54" s="18"/>
      <c r="D54" s="82" t="s">
        <v>65</v>
      </c>
      <c r="E54" s="272">
        <f>$N$58</f>
        <v>1.9777953248903735</v>
      </c>
      <c r="F54" s="18"/>
      <c r="G54" s="18"/>
      <c r="H54" s="18"/>
      <c r="I54" s="52"/>
      <c r="M54" s="30" t="s">
        <v>269</v>
      </c>
      <c r="N54" s="330">
        <f>$N$53/$N$46</f>
        <v>21.01072607260726</v>
      </c>
    </row>
    <row r="55" spans="1:14" ht="12.75">
      <c r="A55" s="91"/>
      <c r="B55" s="92"/>
      <c r="C55" s="92"/>
      <c r="D55" s="92"/>
      <c r="E55" s="92"/>
      <c r="F55" s="92"/>
      <c r="G55" s="92"/>
      <c r="H55" s="92"/>
      <c r="I55" s="93"/>
      <c r="M55" s="30" t="s">
        <v>285</v>
      </c>
      <c r="N55" s="330">
        <f>$N$53/($C$10-$N$46)</f>
        <v>21.01072607260726</v>
      </c>
    </row>
    <row r="56" spans="13:23" ht="12.75">
      <c r="M56" s="89" t="s">
        <v>63</v>
      </c>
      <c r="N56" s="95">
        <f>IF(ABS($N$45-$N$40*$N$46*$N$49)&lt;0.0005,0,$N$45-$N$40*$N$46*$N$49)</f>
        <v>0</v>
      </c>
      <c r="O56" s="55"/>
      <c r="P56" s="55"/>
      <c r="Q56" s="55"/>
      <c r="R56" s="55"/>
      <c r="S56" s="55"/>
      <c r="T56" s="28"/>
      <c r="U56" s="28"/>
      <c r="V56" s="80"/>
      <c r="W56" s="80"/>
    </row>
    <row r="57" spans="1:23" ht="12.75">
      <c r="A57" s="94">
        <f>IF($C$12=0,IF($C$29=0,IF($C$36=0,"J =",""),""),"")</f>
      </c>
      <c r="B57" s="51">
        <f>IF($C$12=0,IF($C$29=0,IF($C$36=0,SUM($Z$16:$Z$23),""),""),"")</f>
      </c>
      <c r="M57" s="96" t="s">
        <v>64</v>
      </c>
      <c r="N57" s="84">
        <f>($N$50/$N$40)^(1/2)</f>
        <v>5.581235052909151</v>
      </c>
      <c r="O57" s="55"/>
      <c r="P57" s="55"/>
      <c r="Q57" s="55"/>
      <c r="R57" s="55"/>
      <c r="S57" s="55"/>
      <c r="T57" s="28"/>
      <c r="U57" s="28"/>
      <c r="V57" s="80"/>
      <c r="W57" s="80"/>
    </row>
    <row r="58" spans="1:23" ht="12.75">
      <c r="A58" s="18"/>
      <c r="B58" s="18"/>
      <c r="C58" s="18"/>
      <c r="D58" s="97"/>
      <c r="E58" s="70"/>
      <c r="F58" s="98"/>
      <c r="G58" s="77"/>
      <c r="H58" s="77"/>
      <c r="I58" s="18"/>
      <c r="M58" s="96" t="s">
        <v>65</v>
      </c>
      <c r="N58" s="84">
        <f>($N$53/$N$40)^(1/2)</f>
        <v>1.9777953248903735</v>
      </c>
      <c r="P58" s="55"/>
      <c r="Q58" s="55"/>
      <c r="R58" s="55"/>
      <c r="S58" s="55"/>
      <c r="T58" s="28"/>
      <c r="U58" s="28"/>
      <c r="V58" s="80"/>
      <c r="W58" s="80"/>
    </row>
    <row r="59" spans="1:23" ht="12.75">
      <c r="A59" s="18"/>
      <c r="B59" s="18"/>
      <c r="C59" s="18"/>
      <c r="D59" s="97"/>
      <c r="E59" s="70"/>
      <c r="F59" s="45"/>
      <c r="G59" s="77"/>
      <c r="H59" s="18"/>
      <c r="I59" s="18"/>
      <c r="M59" s="65" t="s">
        <v>97</v>
      </c>
      <c r="N59" s="95">
        <f>IF(ABS($N$50-$N$53)&lt;0.0005,IF($N$56&gt;0,-45,IF($N$56&lt;0,45,0)),DEGREES(ATAN(-2*$N$56/($N$50-$N$53))/2))</f>
        <v>0</v>
      </c>
      <c r="P59" s="55"/>
      <c r="Q59" s="55"/>
      <c r="R59" s="55"/>
      <c r="S59" s="55"/>
      <c r="T59" s="28"/>
      <c r="U59" s="28"/>
      <c r="V59" s="80"/>
      <c r="W59" s="80"/>
    </row>
    <row r="60" spans="13:23" ht="12.75">
      <c r="M60" s="67" t="s">
        <v>67</v>
      </c>
      <c r="N60" s="78">
        <f>$N$50*COS($N$59*PI()/180)^2+$N$53*SIN($N$59*PI()/180)^2-$N$56*SIN(2*$N$59*PI()/180)</f>
        <v>675.9590083333333</v>
      </c>
      <c r="P60" s="55"/>
      <c r="Q60" s="55"/>
      <c r="R60" s="55"/>
      <c r="S60" s="55"/>
      <c r="T60" s="28"/>
      <c r="U60" s="28"/>
      <c r="V60" s="80"/>
      <c r="W60" s="80"/>
    </row>
    <row r="61" spans="13:23" ht="12.75">
      <c r="M61" s="67" t="s">
        <v>68</v>
      </c>
      <c r="N61" s="78">
        <f>$N$53*COS($N$59*PI()/180)^2+$N$50*SIN($N$59*PI()/180)^2+$N$56*SIN(2*$N$59*PI()/180)</f>
        <v>84.88333333333333</v>
      </c>
      <c r="O61" s="55"/>
      <c r="P61" s="55"/>
      <c r="Q61" s="55"/>
      <c r="R61" s="55"/>
      <c r="S61" s="55"/>
      <c r="T61" s="28"/>
      <c r="U61" s="28"/>
      <c r="V61" s="80"/>
      <c r="W61" s="80"/>
    </row>
    <row r="62" spans="13:23" ht="12.75">
      <c r="M62" s="67" t="s">
        <v>69</v>
      </c>
      <c r="N62" s="95">
        <f>IF(ABS(($N$50-$N$53)/2*SIN(2*$N$59*PI()/180)+$N$56*COS(2*$N$59*PI()/180))&lt;0.0005,0,($N$50-$N$53)/2*SIN(2*$N$59*PI()/180)+$N$56*COS(2*$N$59*PI()/180))</f>
        <v>0</v>
      </c>
      <c r="O62" s="55"/>
      <c r="P62" s="55"/>
      <c r="Q62" s="55"/>
      <c r="R62" s="55"/>
      <c r="S62" s="55"/>
      <c r="T62" s="28"/>
      <c r="U62" s="28"/>
      <c r="V62" s="80"/>
      <c r="W62" s="80"/>
    </row>
    <row r="63" spans="13:23" ht="12.75">
      <c r="M63" s="67" t="s">
        <v>70</v>
      </c>
      <c r="N63" s="95">
        <f>($N$60/$N$40)^(1/2)</f>
        <v>5.581235052909151</v>
      </c>
      <c r="O63" s="55"/>
      <c r="S63" s="55"/>
      <c r="T63" s="28"/>
      <c r="U63" s="28"/>
      <c r="V63" s="80"/>
      <c r="W63" s="80"/>
    </row>
    <row r="64" spans="13:23" ht="12.75">
      <c r="M64" s="67" t="s">
        <v>71</v>
      </c>
      <c r="N64" s="95">
        <f>($N$61/$N$40)^(1/2)</f>
        <v>1.9777953248903735</v>
      </c>
      <c r="S64" s="55"/>
      <c r="T64" s="28"/>
      <c r="U64" s="28"/>
      <c r="V64" s="80"/>
      <c r="W64" s="80"/>
    </row>
    <row r="65" spans="13:23" ht="12.75">
      <c r="M65" s="99">
        <f>IF($C$12=0,IF($C$29=0,IF($C$36=0,"J =",""),""),"")</f>
      </c>
      <c r="N65" s="95">
        <f>IF($C$12=0,IF($C$29=0,IF($C$36=0,SUM($Z$16:$Z$23),""),""),"")</f>
      </c>
      <c r="S65" s="55"/>
      <c r="T65" s="28"/>
      <c r="U65" s="28"/>
      <c r="V65" s="80"/>
      <c r="W65" s="80"/>
    </row>
    <row r="66" spans="19:23" ht="12.75">
      <c r="S66" s="55"/>
      <c r="T66" s="28"/>
      <c r="U66" s="28"/>
      <c r="V66" s="80"/>
      <c r="W66" s="80"/>
    </row>
    <row r="67" ht="12.75"/>
    <row r="68" ht="12.75"/>
    <row r="69" spans="1:9" ht="12.75">
      <c r="A69" s="18"/>
      <c r="B69" s="82"/>
      <c r="C69" s="51"/>
      <c r="D69" s="51"/>
      <c r="E69" s="70"/>
      <c r="F69" s="70"/>
      <c r="G69" s="82"/>
      <c r="H69" s="70"/>
      <c r="I69" s="70"/>
    </row>
    <row r="70" spans="1:9" ht="12.75">
      <c r="A70" s="18"/>
      <c r="B70" s="82"/>
      <c r="C70" s="51"/>
      <c r="D70" s="51"/>
      <c r="E70" s="70"/>
      <c r="F70" s="70"/>
      <c r="G70" s="82"/>
      <c r="H70" s="70"/>
      <c r="I70" s="70"/>
    </row>
    <row r="71" spans="1:9" ht="12.75">
      <c r="A71" s="18"/>
      <c r="B71" s="82"/>
      <c r="C71" s="51"/>
      <c r="D71" s="51"/>
      <c r="E71" s="70"/>
      <c r="F71" s="70"/>
      <c r="G71" s="82"/>
      <c r="H71" s="70"/>
      <c r="I71" s="70"/>
    </row>
    <row r="72" spans="1:9" ht="12.75">
      <c r="A72" s="18"/>
      <c r="B72" s="82"/>
      <c r="C72" s="51"/>
      <c r="D72" s="51"/>
      <c r="E72" s="70"/>
      <c r="F72" s="70"/>
      <c r="G72" s="82"/>
      <c r="H72" s="70"/>
      <c r="I72" s="70"/>
    </row>
    <row r="73" spans="1:9" ht="12.75">
      <c r="A73" s="18"/>
      <c r="B73" s="82"/>
      <c r="C73" s="51"/>
      <c r="D73" s="51"/>
      <c r="E73" s="70"/>
      <c r="F73" s="70"/>
      <c r="G73" s="82"/>
      <c r="H73" s="70"/>
      <c r="I73" s="70"/>
    </row>
    <row r="74" spans="1:9" ht="12.75">
      <c r="A74" s="18"/>
      <c r="B74" s="82"/>
      <c r="C74" s="51"/>
      <c r="D74" s="51"/>
      <c r="E74" s="70"/>
      <c r="F74" s="70"/>
      <c r="G74" s="82"/>
      <c r="H74" s="70"/>
      <c r="I74" s="70"/>
    </row>
    <row r="75" spans="1:9" ht="12.75">
      <c r="A75" s="18"/>
      <c r="B75" s="82"/>
      <c r="C75" s="51"/>
      <c r="D75" s="51"/>
      <c r="E75" s="70"/>
      <c r="F75" s="70"/>
      <c r="G75" s="82"/>
      <c r="H75" s="70"/>
      <c r="I75" s="70"/>
    </row>
    <row r="76" spans="1:9" ht="12.75">
      <c r="A76" s="18"/>
      <c r="B76" s="82"/>
      <c r="C76" s="51"/>
      <c r="D76" s="51"/>
      <c r="E76" s="70"/>
      <c r="F76" s="70"/>
      <c r="G76" s="82"/>
      <c r="H76" s="70"/>
      <c r="I76" s="70"/>
    </row>
    <row r="77" spans="1:9" ht="12.75">
      <c r="A77" s="18"/>
      <c r="B77" s="82"/>
      <c r="C77" s="51"/>
      <c r="D77" s="51"/>
      <c r="E77" s="70"/>
      <c r="F77" s="70"/>
      <c r="G77" s="82"/>
      <c r="H77" s="70"/>
      <c r="I77" s="70"/>
    </row>
    <row r="78" spans="1:9" ht="12.75">
      <c r="A78" s="18"/>
      <c r="B78" s="82"/>
      <c r="C78" s="51"/>
      <c r="D78" s="51"/>
      <c r="E78" s="70"/>
      <c r="F78" s="70"/>
      <c r="G78" s="82"/>
      <c r="H78" s="70"/>
      <c r="I78" s="70"/>
    </row>
    <row r="79" spans="1:23" ht="12.75">
      <c r="A79" s="18"/>
      <c r="B79" s="82"/>
      <c r="C79" s="51"/>
      <c r="D79" s="51"/>
      <c r="E79" s="70"/>
      <c r="F79" s="70"/>
      <c r="G79" s="82"/>
      <c r="H79" s="70"/>
      <c r="I79" s="70"/>
      <c r="N79" s="96"/>
      <c r="O79" s="55"/>
      <c r="P79" s="55"/>
      <c r="Q79" s="55"/>
      <c r="R79" s="55"/>
      <c r="S79" s="55"/>
      <c r="T79" s="28"/>
      <c r="U79" s="28"/>
      <c r="V79" s="80"/>
      <c r="W79" s="80"/>
    </row>
    <row r="80" spans="1:23" ht="12.75">
      <c r="A80" s="18"/>
      <c r="B80" s="82"/>
      <c r="C80" s="51"/>
      <c r="D80" s="51"/>
      <c r="E80" s="70"/>
      <c r="F80" s="70"/>
      <c r="G80" s="82"/>
      <c r="H80" s="70"/>
      <c r="I80" s="70"/>
      <c r="N80" s="96"/>
      <c r="O80" s="55"/>
      <c r="P80" s="55"/>
      <c r="Q80" s="55"/>
      <c r="R80" s="55"/>
      <c r="S80" s="55"/>
      <c r="T80" s="28"/>
      <c r="U80" s="28"/>
      <c r="V80" s="80"/>
      <c r="W80" s="80"/>
    </row>
    <row r="81" spans="1:9" ht="12.75">
      <c r="A81" s="18"/>
      <c r="B81" s="82"/>
      <c r="C81" s="51"/>
      <c r="D81" s="51"/>
      <c r="E81" s="70"/>
      <c r="F81" s="70"/>
      <c r="G81" s="82"/>
      <c r="H81" s="70"/>
      <c r="I81" s="70"/>
    </row>
    <row r="82" spans="1:23" ht="12.75">
      <c r="A82" s="18"/>
      <c r="B82" s="82"/>
      <c r="C82" s="51"/>
      <c r="D82" s="51"/>
      <c r="E82" s="70"/>
      <c r="F82" s="70"/>
      <c r="G82" s="82"/>
      <c r="H82" s="70"/>
      <c r="I82" s="70"/>
      <c r="W82" s="79"/>
    </row>
    <row r="83" spans="1:26" ht="12.75">
      <c r="A83" s="18"/>
      <c r="B83" s="82"/>
      <c r="C83" s="51"/>
      <c r="D83" s="51"/>
      <c r="E83" s="70"/>
      <c r="F83" s="70"/>
      <c r="G83" s="82"/>
      <c r="H83" s="70"/>
      <c r="I83" s="70"/>
      <c r="W83" s="24"/>
      <c r="X83" s="24"/>
      <c r="Y83" s="24"/>
      <c r="Z83" s="24"/>
    </row>
    <row r="84" spans="1:26" ht="12.75">
      <c r="A84" s="18"/>
      <c r="B84" s="82"/>
      <c r="C84" s="51"/>
      <c r="D84" s="51"/>
      <c r="E84" s="70"/>
      <c r="F84" s="70"/>
      <c r="G84" s="82"/>
      <c r="H84" s="70"/>
      <c r="I84" s="70"/>
      <c r="W84" s="70" t="e">
        <f>IF(#REF!&gt;=5,#REF!-$N$46,"")</f>
        <v>#REF!</v>
      </c>
      <c r="X84" s="70" t="e">
        <f>IF(#REF!&gt;=6,#REF!-$N$46,"")</f>
        <v>#REF!</v>
      </c>
      <c r="Y84" s="70" t="e">
        <f>IF(#REF!&gt;=7,#REF!-$N$46,"")</f>
        <v>#REF!</v>
      </c>
      <c r="Z84" s="70" t="e">
        <f>IF(#REF!&gt;=8,#REF!-$N$46,"")</f>
        <v>#REF!</v>
      </c>
    </row>
    <row r="85" spans="1:26" ht="12.75">
      <c r="A85" s="18"/>
      <c r="B85" s="82"/>
      <c r="C85" s="51"/>
      <c r="D85" s="51"/>
      <c r="E85" s="70"/>
      <c r="F85" s="70"/>
      <c r="G85" s="82"/>
      <c r="H85" s="70"/>
      <c r="I85" s="70"/>
      <c r="W85" s="70" t="e">
        <f>IF(#REF!&gt;=5,#REF!-$N$49,"")</f>
        <v>#REF!</v>
      </c>
      <c r="X85" s="70" t="e">
        <f>IF(#REF!&gt;=6,#REF!-$N$49,"")</f>
        <v>#REF!</v>
      </c>
      <c r="Y85" s="70" t="e">
        <f>IF(#REF!&gt;=7,#REF!-$N$49,"")</f>
        <v>#REF!</v>
      </c>
      <c r="Z85" s="70" t="e">
        <f>IF(#REF!&gt;=8,#REF!-$N$49,"")</f>
        <v>#REF!</v>
      </c>
    </row>
    <row r="86" spans="1:26" ht="12.75">
      <c r="A86" s="18"/>
      <c r="B86" s="82"/>
      <c r="C86" s="51"/>
      <c r="D86" s="51"/>
      <c r="E86" s="70"/>
      <c r="F86" s="70"/>
      <c r="G86" s="82"/>
      <c r="H86" s="70"/>
      <c r="I86" s="70"/>
      <c r="W86" s="70" t="e">
        <f>IF(#REF!&gt;=5,#REF!*$W$85,"")</f>
        <v>#REF!</v>
      </c>
      <c r="X86" s="70" t="e">
        <f>IF(#REF!&gt;=6,#REF!*$X$85,"")</f>
        <v>#REF!</v>
      </c>
      <c r="Y86" s="70" t="e">
        <f>IF(#REF!&gt;=7,#REF!*$Y$85,"")</f>
        <v>#REF!</v>
      </c>
      <c r="Z86" s="70" t="e">
        <f>IF(#REF!&gt;=8,#REF!*$Z$85,"")</f>
        <v>#REF!</v>
      </c>
    </row>
    <row r="87" spans="1:26" ht="12.75">
      <c r="A87" s="18"/>
      <c r="B87" s="82"/>
      <c r="C87" s="51"/>
      <c r="D87" s="51"/>
      <c r="E87" s="70"/>
      <c r="F87" s="70"/>
      <c r="G87" s="82"/>
      <c r="H87" s="70"/>
      <c r="I87" s="70"/>
      <c r="W87" s="70" t="e">
        <f>IF(#REF!&gt;=5,#REF!*-$W$84,"")</f>
        <v>#REF!</v>
      </c>
      <c r="X87" s="70" t="e">
        <f>IF(#REF!&gt;=6,#REF!*-$X$84,"")</f>
        <v>#REF!</v>
      </c>
      <c r="Y87" s="70" t="e">
        <f>IF(#REF!&gt;=7,#REF!*-$Y$84,"")</f>
        <v>#REF!</v>
      </c>
      <c r="Z87" s="70" t="e">
        <f>IF(#REF!&gt;=8,#REF!*-$Z$84,"")</f>
        <v>#REF!</v>
      </c>
    </row>
    <row r="88" spans="1:26" ht="12.75">
      <c r="A88" s="18"/>
      <c r="B88" s="82"/>
      <c r="C88" s="51"/>
      <c r="D88" s="51"/>
      <c r="E88" s="70"/>
      <c r="F88" s="70"/>
      <c r="G88" s="82"/>
      <c r="H88" s="70"/>
      <c r="I88" s="70"/>
      <c r="W88" s="70" t="e">
        <f>IF(#REF!&gt;=5,#REF!*-#REF!,"")</f>
        <v>#REF!</v>
      </c>
      <c r="X88" s="70" t="e">
        <f>IF(#REF!&gt;=6,#REF!*-#REF!,"")</f>
        <v>#REF!</v>
      </c>
      <c r="Y88" s="70" t="e">
        <f>IF(#REF!&gt;=7,#REF!*-#REF!,"")</f>
        <v>#REF!</v>
      </c>
      <c r="Z88" s="70" t="e">
        <f>IF(#REF!&gt;=8,#REF!*-#REF!,"")</f>
        <v>#REF!</v>
      </c>
    </row>
    <row r="89" spans="1:26" ht="12.75">
      <c r="A89" s="18"/>
      <c r="B89" s="82"/>
      <c r="C89" s="51"/>
      <c r="D89" s="51"/>
      <c r="E89" s="70"/>
      <c r="F89" s="70"/>
      <c r="G89" s="82"/>
      <c r="H89" s="70"/>
      <c r="I89" s="70"/>
      <c r="W89" s="70" t="e">
        <f>IF(#REF!&gt;=5,#REF!*#REF!,"")</f>
        <v>#REF!</v>
      </c>
      <c r="X89" s="70" t="e">
        <f>IF(#REF!&gt;=6,#REF!*#REF!,"")</f>
        <v>#REF!</v>
      </c>
      <c r="Y89" s="70" t="e">
        <f>IF(#REF!&gt;=7,#REF!*#REF!,"")</f>
        <v>#REF!</v>
      </c>
      <c r="Z89" s="70" t="e">
        <f>IF(#REF!&gt;=8,#REF!*#REF!,"")</f>
        <v>#REF!</v>
      </c>
    </row>
    <row r="90" spans="1:26" ht="12.75">
      <c r="A90" s="18"/>
      <c r="B90" s="18"/>
      <c r="C90" s="18"/>
      <c r="D90" s="82"/>
      <c r="E90" s="70"/>
      <c r="F90" s="70"/>
      <c r="G90" s="82"/>
      <c r="H90" s="70"/>
      <c r="I90" s="70"/>
      <c r="W90" s="100" t="e">
        <f>IF(#REF!&gt;=5,#REF!*-$W$85,"")</f>
        <v>#REF!</v>
      </c>
      <c r="X90" s="70" t="e">
        <f>IF(#REF!&gt;=6,#REF!*-$X$85,"")</f>
        <v>#REF!</v>
      </c>
      <c r="Y90" s="100" t="e">
        <f>IF(#REF!&gt;=7,#REF!*-#REF!,"")</f>
        <v>#REF!</v>
      </c>
      <c r="Z90" s="100" t="e">
        <f>IF(#REF!&gt;=8,#REF!*-#REF!,"")</f>
        <v>#REF!</v>
      </c>
    </row>
    <row r="91" spans="1:26" ht="12.75">
      <c r="A91" s="18"/>
      <c r="B91" s="18"/>
      <c r="C91" s="18"/>
      <c r="D91" s="82"/>
      <c r="E91" s="70"/>
      <c r="F91" s="70"/>
      <c r="G91" s="82"/>
      <c r="H91" s="70"/>
      <c r="I91" s="70"/>
      <c r="W91" s="100" t="e">
        <f>IF(#REF!&gt;=5,#REF!*$W$84,"")</f>
        <v>#REF!</v>
      </c>
      <c r="X91" s="70" t="e">
        <f>IF(#REF!&gt;=6,#REF!*$X$84,"")</f>
        <v>#REF!</v>
      </c>
      <c r="Y91" s="100" t="e">
        <f>IF(#REF!&gt;=7,#REF!*$Y$84,"")</f>
        <v>#REF!</v>
      </c>
      <c r="Z91" s="100" t="e">
        <f>IF(#REF!&gt;=8,#REF!*$Z$84,"")</f>
        <v>#REF!</v>
      </c>
    </row>
    <row r="92" spans="1:23" ht="12.75">
      <c r="A92" s="18"/>
      <c r="B92" s="18"/>
      <c r="C92" s="101"/>
      <c r="D92" s="18"/>
      <c r="E92" s="18"/>
      <c r="F92" s="70"/>
      <c r="G92" s="82"/>
      <c r="H92" s="70"/>
      <c r="I92" s="70"/>
      <c r="W92" s="79"/>
    </row>
    <row r="93" spans="1:23" ht="12.75">
      <c r="A93" s="18"/>
      <c r="B93" s="18"/>
      <c r="C93" s="82"/>
      <c r="D93" s="51"/>
      <c r="E93" s="102"/>
      <c r="F93" s="70"/>
      <c r="G93" s="82"/>
      <c r="H93" s="70"/>
      <c r="I93" s="70"/>
      <c r="W93" s="79"/>
    </row>
    <row r="94" spans="1:23" ht="12.75">
      <c r="A94" s="18"/>
      <c r="B94" s="18"/>
      <c r="C94" s="82"/>
      <c r="D94" s="51"/>
      <c r="E94" s="103"/>
      <c r="F94" s="18"/>
      <c r="G94" s="18"/>
      <c r="H94" s="18"/>
      <c r="I94" s="18"/>
      <c r="W94" s="79"/>
    </row>
    <row r="95" spans="1:23" ht="12.75">
      <c r="A95" s="18"/>
      <c r="B95" s="18"/>
      <c r="C95" s="82"/>
      <c r="D95" s="51"/>
      <c r="E95" s="18"/>
      <c r="F95" s="18"/>
      <c r="G95" s="18"/>
      <c r="H95" s="18"/>
      <c r="I95" s="18"/>
      <c r="W95" s="79"/>
    </row>
    <row r="96" spans="1:23" ht="12.75">
      <c r="A96" s="18"/>
      <c r="B96" s="18"/>
      <c r="C96" s="18"/>
      <c r="D96" s="104"/>
      <c r="E96" s="18"/>
      <c r="F96" s="18"/>
      <c r="G96" s="18"/>
      <c r="H96" s="18"/>
      <c r="I96" s="18"/>
      <c r="W96" s="79"/>
    </row>
    <row r="97" spans="1:23" ht="12.75">
      <c r="A97" s="18"/>
      <c r="B97" s="18"/>
      <c r="C97" s="18"/>
      <c r="D97" s="18"/>
      <c r="E97" s="18"/>
      <c r="F97" s="18"/>
      <c r="G97" s="18"/>
      <c r="H97" s="18"/>
      <c r="I97" s="47"/>
      <c r="W97" s="79"/>
    </row>
    <row r="98" spans="1:23" ht="12.75">
      <c r="A98" s="18"/>
      <c r="B98" s="18"/>
      <c r="C98" s="18"/>
      <c r="D98" s="18"/>
      <c r="E98" s="18"/>
      <c r="F98" s="18"/>
      <c r="G98" s="18"/>
      <c r="H98" s="47"/>
      <c r="I98" s="105"/>
      <c r="W98" s="79"/>
    </row>
    <row r="99" spans="1:23" ht="12.75">
      <c r="A99" s="18"/>
      <c r="B99" s="18"/>
      <c r="C99" s="18"/>
      <c r="D99" s="18"/>
      <c r="E99" s="18"/>
      <c r="F99" s="18"/>
      <c r="G99" s="18"/>
      <c r="H99" s="47"/>
      <c r="I99" s="106"/>
      <c r="W99" s="79"/>
    </row>
  </sheetData>
  <sheetProtection sheet="1" objects="1" scenarios="1"/>
  <dataValidations count="11">
    <dataValidation type="list" allowBlank="1" showInputMessage="1" showErrorMessage="1" prompt="If 0 is input, remember to &quot;Clear Contents&quot; of all unused input data cells below.  DO NOT clear contents using &quot;Space Bar&quot;!" errorTitle="Warning!" error="The input value is invalid&#10;(must be either 0, 1, 2, 3, 4, 5, 6, 7, or 8)" sqref="C21">
      <formula1>$K$3:$K$11</formula1>
    </dataValidation>
    <dataValidation type="list" allowBlank="1" showInputMessage="1" showErrorMessage="1" prompt="If 0 is input, remember to &quot;Clear Contents&quot; of all unused input data cells below.  DO NOT clear contents using &quot;Space Bar&quot;!" errorTitle="Warning!" error="The input value is invalid&#10;(must be either 0, 1, 2, 3, or 4)" sqref="C36">
      <formula1>$K$3:$K$7</formula1>
    </dataValidation>
    <dataValidation type="list" allowBlank="1" showInputMessage="1" showErrorMessage="1" prompt="Do you want to add (include) this known shape to the total section?  Input Y (for yes, to add) or N (for no, to subtract)." errorTitle="Warning!" error="Invalid input (must input either Y or N)" sqref="B19:I19">
      <formula1>$K$12:$K$13</formula1>
    </dataValidation>
    <dataValidation type="list" allowBlank="1" showInputMessage="1" showErrorMessage="1" prompt="Do you want to add (include) this rectangle to the total section?  Input Y (for yes, to add) or N (for no, to subtract)." errorTitle="Warning!" error="Invalid input (must input either Y or N)" sqref="B27:I27">
      <formula1>$K$12:$K$13</formula1>
    </dataValidation>
    <dataValidation type="list" allowBlank="1" showInputMessage="1" showErrorMessage="1" prompt="Do you want to add (include) this circle to the total section?  Input Y (for yes, to add) or N (for no, to subtract)." errorTitle="Warning!" error="Invalid input (must input either Y or N)" sqref="B34:E34">
      <formula1>$K$12:$K$13</formula1>
    </dataValidation>
    <dataValidation type="list" allowBlank="1" showInputMessage="1" showErrorMessage="1" prompt="Do you want to add (include) this cylinder to the total section?  Input Y (for yes, to add) or N (for no, to subtract)." errorTitle="Warning!" error="Invalid input (must input either Y or N)" sqref="B42:E42">
      <formula1>$K$12:$K$13</formula1>
    </dataValidation>
    <dataValidation type="decimal" operator="greaterThan" allowBlank="1" showInputMessage="1" showErrorMessage="1" prompt="The Overall Height, 'Yt', is measured from the lowest (bottom) point up to the upper most (top) point of the total section.&#10;Note: Origin X-axis MUST BE located at lowest point of total section." sqref="C9">
      <formula1>0</formula1>
    </dataValidation>
    <dataValidation type="decimal" operator="greaterThan" allowBlank="1" showInputMessage="1" showErrorMessage="1" prompt="The Overall Width, Xt', is measured from the left most point to the right most point of the total section.&#10;Note: Origin Y-axis MUST BE located at left most point of total section." sqref="C10">
      <formula1>0</formula1>
    </dataValidation>
    <dataValidation type="decimal" operator="greaterThan" allowBlank="1" showInputMessage="1" showErrorMessage="1" sqref="B14:I18 B23:I26 B31:E33 B38:E41">
      <formula1>0</formula1>
    </dataValidation>
    <dataValidation type="list" allowBlank="1" showInputMessage="1" showErrorMessage="1" prompt="If 0 is input, remember to &quot;Clear Contents&quot; of all unused input data cells below.  DO NOT clear contents using &quot;Space Bar&quot;!" errorTitle="Warning!" error="The input value is invalid&#10;(must be either 0, 1, 2, 3, 4, 5, 6, 7, or 8)" sqref="C12">
      <formula1>$K$3:$K$11</formula1>
    </dataValidation>
    <dataValidation type="list" allowBlank="1" showInputMessage="1" showErrorMessage="1" prompt="If 0 is input, remember to &quot;Clear Contents&quot; of all unused input data cells below.  DO NOT clear contents using &quot;Space Bar&quot;!" errorTitle="Warning!" error="The input value is invalid&#10;(must be either 0, 1, 2, 3, or 4)" sqref="C29">
      <formula1>$K$3:$K$7</formula1>
    </dataValidation>
  </dataValidations>
  <printOptions/>
  <pageMargins left="1" right="0.5" top="1" bottom="1" header="0.5" footer="0.5"/>
  <pageSetup horizontalDpi="600" verticalDpi="600" orientation="portrait" scale="94" r:id="rId4"/>
  <headerFooter alignWithMargins="0">
    <oddHeader>&amp;R"SECTPROP.xls" Program
Version 2.6</oddHeader>
    <oddFooter>&amp;C&amp;P of &amp;N&amp;R&amp;D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20" customWidth="1"/>
    <col min="2" max="3" width="9.140625" style="20" customWidth="1"/>
    <col min="4" max="4" width="9.57421875" style="20" customWidth="1"/>
    <col min="5" max="5" width="10.00390625" style="20" customWidth="1"/>
    <col min="6" max="7" width="9.140625" style="20" customWidth="1"/>
    <col min="8" max="8" width="10.00390625" style="20" customWidth="1"/>
    <col min="9" max="9" width="12.28125" style="20" customWidth="1"/>
    <col min="10" max="13" width="0" style="20" hidden="1" customWidth="1"/>
    <col min="14" max="14" width="11.7109375" style="20" hidden="1" customWidth="1"/>
    <col min="15" max="15" width="10.7109375" style="20" hidden="1" customWidth="1"/>
    <col min="16" max="24" width="0" style="20" hidden="1" customWidth="1"/>
    <col min="25" max="26" width="10.7109375" style="20" hidden="1" customWidth="1"/>
    <col min="27" max="28" width="9.140625" style="20" customWidth="1"/>
    <col min="29" max="29" width="9.140625" style="23" customWidth="1"/>
    <col min="30" max="36" width="9.140625" style="20" customWidth="1"/>
    <col min="37" max="16384" width="9.140625" style="1" customWidth="1"/>
  </cols>
  <sheetData>
    <row r="1" spans="1:27" ht="15.75">
      <c r="A1" s="107" t="s">
        <v>110</v>
      </c>
      <c r="B1" s="108"/>
      <c r="C1" s="109"/>
      <c r="D1" s="109"/>
      <c r="E1" s="109"/>
      <c r="F1" s="109"/>
      <c r="G1" s="108"/>
      <c r="H1" s="108"/>
      <c r="I1" s="121"/>
      <c r="J1" s="18"/>
      <c r="L1" s="21" t="s">
        <v>4</v>
      </c>
      <c r="O1" s="21"/>
      <c r="AA1" s="315" t="s">
        <v>329</v>
      </c>
    </row>
    <row r="2" spans="1:32" ht="12.75">
      <c r="A2" s="110" t="s">
        <v>174</v>
      </c>
      <c r="B2" s="111"/>
      <c r="C2" s="112"/>
      <c r="D2" s="111"/>
      <c r="E2" s="111"/>
      <c r="F2" s="111"/>
      <c r="G2" s="113"/>
      <c r="H2" s="113"/>
      <c r="I2" s="246"/>
      <c r="J2" s="18"/>
      <c r="AE2" s="367" t="s">
        <v>237</v>
      </c>
      <c r="AF2" s="368"/>
    </row>
    <row r="3" spans="1:32" ht="12.75">
      <c r="A3" s="114"/>
      <c r="B3" s="111"/>
      <c r="C3" s="111"/>
      <c r="D3" s="111"/>
      <c r="E3" s="111"/>
      <c r="F3" s="111"/>
      <c r="G3" s="113"/>
      <c r="H3" s="113"/>
      <c r="I3" s="246"/>
      <c r="J3" s="23">
        <v>3</v>
      </c>
      <c r="L3" s="30" t="s">
        <v>37</v>
      </c>
      <c r="M3" s="31" t="s">
        <v>179</v>
      </c>
      <c r="N3" s="31" t="s">
        <v>178</v>
      </c>
      <c r="O3" s="23" t="s">
        <v>32</v>
      </c>
      <c r="P3" s="23" t="s">
        <v>31</v>
      </c>
      <c r="Q3" s="23" t="s">
        <v>34</v>
      </c>
      <c r="R3" s="23" t="s">
        <v>33</v>
      </c>
      <c r="S3" s="23" t="s">
        <v>115</v>
      </c>
      <c r="T3" s="23" t="s">
        <v>116</v>
      </c>
      <c r="U3" s="23" t="s">
        <v>117</v>
      </c>
      <c r="V3" s="23" t="s">
        <v>21</v>
      </c>
      <c r="W3" s="23" t="s">
        <v>22</v>
      </c>
      <c r="X3" s="23" t="s">
        <v>23</v>
      </c>
      <c r="Y3" s="23" t="s">
        <v>24</v>
      </c>
      <c r="Z3" s="32" t="s">
        <v>61</v>
      </c>
      <c r="AB3" s="371" t="s">
        <v>331</v>
      </c>
      <c r="AC3" s="26"/>
      <c r="AE3" s="369" t="s">
        <v>238</v>
      </c>
      <c r="AF3" s="370" t="s">
        <v>239</v>
      </c>
    </row>
    <row r="4" spans="1:32" ht="12.75">
      <c r="A4" s="355" t="s">
        <v>2</v>
      </c>
      <c r="B4" s="14"/>
      <c r="C4" s="11"/>
      <c r="D4" s="11"/>
      <c r="E4" s="11"/>
      <c r="F4" s="324" t="s">
        <v>197</v>
      </c>
      <c r="G4" s="16"/>
      <c r="H4" s="12"/>
      <c r="I4" s="13"/>
      <c r="J4" s="23">
        <v>4</v>
      </c>
      <c r="K4" s="22">
        <v>1</v>
      </c>
      <c r="L4" s="30" t="s">
        <v>16</v>
      </c>
      <c r="M4" s="55">
        <f>IF($C$9&gt;=1,$C12,IF($K4=$C$9+1,$M$4,""))</f>
        <v>0</v>
      </c>
      <c r="N4" s="55">
        <f>IF($C$9&gt;=1,$B12,IF($K4=$C$9+1,$N$4,""))</f>
        <v>0</v>
      </c>
      <c r="O4" s="55">
        <f aca="true" t="shared" si="0" ref="O4:O54">IF($C$9&gt;=$K4,$M5,IF($K4=$C$9+1,"",""))</f>
        <v>6</v>
      </c>
      <c r="P4" s="55">
        <f aca="true" t="shared" si="1" ref="P4:P54">IF($C$9&gt;=$K4,$N5,IF($K4=$C$9+1,"",""))</f>
        <v>0</v>
      </c>
      <c r="Q4" s="55">
        <f aca="true" t="shared" si="2" ref="Q4:Q54">IF($C$9&gt;=$K4,$O4-$M4,IF($K4=$C$9+1,"",""))</f>
        <v>6</v>
      </c>
      <c r="R4" s="55">
        <f aca="true" t="shared" si="3" ref="R4:R54">IF($C$9&gt;=$K4,$P4+$N4,IF($K4=$C$9+1,"",""))</f>
        <v>0</v>
      </c>
      <c r="S4" s="55">
        <f aca="true" t="shared" si="4" ref="S4:S54">IF($C$9&gt;=$K4,$O4+$M4,IF($K4=$C$9+1,"",""))</f>
        <v>6</v>
      </c>
      <c r="T4" s="55">
        <f aca="true" t="shared" si="5" ref="T4:T54">IF($C$9&gt;=$K4,$P4-$N4,IF($K4=$C$9+1,"",""))</f>
        <v>0</v>
      </c>
      <c r="U4" s="55">
        <f aca="true" t="shared" si="6" ref="U4:U54">IF($C$9&gt;=$K4,-$Q4*$R4/2,IF($K4=$C$9+1,"",""))</f>
        <v>0</v>
      </c>
      <c r="V4" s="55">
        <f aca="true" t="shared" si="7" ref="V4:V54">IF($C$9&gt;=$K4,-$Q4/8*($R4^2+$T4^2/3),IF($K4=$C$9+1,"",""))</f>
        <v>0</v>
      </c>
      <c r="W4" s="55">
        <f aca="true" t="shared" si="8" ref="W4:W54">IF($C$9&gt;=$K4,$T4/8*($S4^2+$Q4^2/3),IF($K4=$C$9+1,"",""))</f>
        <v>0</v>
      </c>
      <c r="X4" s="55">
        <f aca="true" t="shared" si="9" ref="X4:X54">IF($C$9&gt;=$K4,$T4*$S4/24*($S4^2+$Q4^2),IF($K4=$C$9+1,"",""))</f>
        <v>0</v>
      </c>
      <c r="Y4" s="55">
        <f aca="true" t="shared" si="10" ref="Y4:Y54">IF($C$9&gt;=$K4,-$Q4*$R4/24*($R4^2+$T4^2),IF($K4=$C$9+1,"",""))</f>
        <v>0</v>
      </c>
      <c r="Z4" s="55">
        <f aca="true" t="shared" si="11" ref="Z4:Z54">IF($C$9&gt;=$K4,IF(OR($T4&gt;0,$T4&lt;0),1/$T4*($Q4^2/8*$R4*($P4^2+$N4^2)+$Q4/3*($P4*$M4-$N4*$O4)*($P4^2+$P4*$N4+$N4^2)+1/4*($P4*$M4-$N4*$O4)^2*$R4),0),IF($K4=$C$9+1,"",""))</f>
        <v>0</v>
      </c>
      <c r="AB4" s="372" t="s">
        <v>332</v>
      </c>
      <c r="AC4" s="373">
        <v>0.8</v>
      </c>
      <c r="AE4" s="374">
        <f>MAX(MAX($B$12:$B$36,$E$12:$E$36),MAX($C$12:$C$36,$F$12:$F$36)*AC$4)+0.2</f>
        <v>5.000000000000001</v>
      </c>
      <c r="AF4" s="374">
        <f>MAX(MAX($B$12:$B$36,$E$12:$E$36)/$AC$4,MAX($C$12:$C$36,$F$12:$F$36))+0.2</f>
        <v>6.2</v>
      </c>
    </row>
    <row r="5" spans="1:26" ht="12.75">
      <c r="A5" s="228" t="s">
        <v>3</v>
      </c>
      <c r="B5" s="14"/>
      <c r="C5" s="11"/>
      <c r="D5" s="12"/>
      <c r="E5" s="13"/>
      <c r="F5" s="226" t="s">
        <v>196</v>
      </c>
      <c r="G5" s="316"/>
      <c r="H5" s="324" t="s">
        <v>195</v>
      </c>
      <c r="I5" s="316"/>
      <c r="J5" s="23">
        <v>5</v>
      </c>
      <c r="K5" s="22">
        <v>2</v>
      </c>
      <c r="L5" s="30" t="s">
        <v>17</v>
      </c>
      <c r="M5" s="55">
        <f>IF($C$9&gt;=2,$C13,IF($K5=$C$9+1,$M$4,""))</f>
        <v>6</v>
      </c>
      <c r="N5" s="55">
        <f>IF($C$9&gt;=2,$B13,IF($K5=$C$9+1,$N$4,""))</f>
        <v>0</v>
      </c>
      <c r="O5" s="55">
        <f t="shared" si="0"/>
        <v>6</v>
      </c>
      <c r="P5" s="55">
        <f t="shared" si="1"/>
        <v>0.25</v>
      </c>
      <c r="Q5" s="55">
        <f t="shared" si="2"/>
        <v>0</v>
      </c>
      <c r="R5" s="55">
        <f t="shared" si="3"/>
        <v>0.25</v>
      </c>
      <c r="S5" s="55">
        <f t="shared" si="4"/>
        <v>12</v>
      </c>
      <c r="T5" s="55">
        <f t="shared" si="5"/>
        <v>0.25</v>
      </c>
      <c r="U5" s="55">
        <f t="shared" si="6"/>
        <v>0</v>
      </c>
      <c r="V5" s="55">
        <f t="shared" si="7"/>
        <v>0</v>
      </c>
      <c r="W5" s="55">
        <f t="shared" si="8"/>
        <v>4.5</v>
      </c>
      <c r="X5" s="55">
        <f t="shared" si="9"/>
        <v>18</v>
      </c>
      <c r="Y5" s="55">
        <f t="shared" si="10"/>
        <v>0</v>
      </c>
      <c r="Z5" s="55">
        <f t="shared" si="11"/>
        <v>0.5625</v>
      </c>
    </row>
    <row r="6" spans="1:28" ht="12.75">
      <c r="A6" s="3"/>
      <c r="B6" s="9"/>
      <c r="C6" s="9"/>
      <c r="D6" s="9"/>
      <c r="E6" s="9"/>
      <c r="F6" s="9"/>
      <c r="G6" s="9"/>
      <c r="H6" s="8"/>
      <c r="I6" s="321"/>
      <c r="J6" s="23">
        <v>6</v>
      </c>
      <c r="K6" s="22">
        <v>3</v>
      </c>
      <c r="L6" s="30" t="s">
        <v>18</v>
      </c>
      <c r="M6" s="55">
        <f>IF($C$9&gt;=3,$C14,IF($K6=$C$9+1,$M$4,""))</f>
        <v>6</v>
      </c>
      <c r="N6" s="55">
        <f>IF($C$9&gt;=3,$B14,IF($K6=$C$9+1,$N$4,""))</f>
        <v>0.25</v>
      </c>
      <c r="O6" s="55">
        <f t="shared" si="0"/>
        <v>0.25</v>
      </c>
      <c r="P6" s="55">
        <f t="shared" si="1"/>
        <v>0.25</v>
      </c>
      <c r="Q6" s="55">
        <f t="shared" si="2"/>
        <v>-5.75</v>
      </c>
      <c r="R6" s="55">
        <f t="shared" si="3"/>
        <v>0.5</v>
      </c>
      <c r="S6" s="55">
        <f t="shared" si="4"/>
        <v>6.25</v>
      </c>
      <c r="T6" s="55">
        <f t="shared" si="5"/>
        <v>0</v>
      </c>
      <c r="U6" s="55">
        <f t="shared" si="6"/>
        <v>1.4375</v>
      </c>
      <c r="V6" s="55">
        <f t="shared" si="7"/>
        <v>0.1796875</v>
      </c>
      <c r="W6" s="55">
        <f t="shared" si="8"/>
        <v>0</v>
      </c>
      <c r="X6" s="55">
        <f t="shared" si="9"/>
        <v>0</v>
      </c>
      <c r="Y6" s="55">
        <f t="shared" si="10"/>
        <v>0.029947916666666668</v>
      </c>
      <c r="Z6" s="55">
        <f t="shared" si="11"/>
        <v>0</v>
      </c>
      <c r="AA6" s="33" t="s">
        <v>198</v>
      </c>
      <c r="AB6" s="32"/>
    </row>
    <row r="7" spans="1:28" ht="12.75">
      <c r="A7" s="2" t="s">
        <v>1</v>
      </c>
      <c r="B7" s="9"/>
      <c r="C7" s="9"/>
      <c r="D7" s="9"/>
      <c r="E7" s="9"/>
      <c r="F7" s="9"/>
      <c r="G7" s="9"/>
      <c r="H7" s="8"/>
      <c r="I7" s="322"/>
      <c r="J7" s="23">
        <v>7</v>
      </c>
      <c r="K7" s="22">
        <v>4</v>
      </c>
      <c r="L7" s="30" t="s">
        <v>19</v>
      </c>
      <c r="M7" s="55">
        <f>IF($C$9&gt;=4,$C15,IF($K7=$C$9+1,$M$4,""))</f>
        <v>0.25</v>
      </c>
      <c r="N7" s="55">
        <f>IF($C$9&gt;=4,$B15,IF($K7=$C$9+1,$N$4,""))</f>
        <v>0.25</v>
      </c>
      <c r="O7" s="55">
        <f t="shared" si="0"/>
        <v>0.25</v>
      </c>
      <c r="P7" s="55">
        <f t="shared" si="1"/>
        <v>3</v>
      </c>
      <c r="Q7" s="55">
        <f t="shared" si="2"/>
        <v>0</v>
      </c>
      <c r="R7" s="55">
        <f t="shared" si="3"/>
        <v>3.25</v>
      </c>
      <c r="S7" s="55">
        <f t="shared" si="4"/>
        <v>0.5</v>
      </c>
      <c r="T7" s="55">
        <f t="shared" si="5"/>
        <v>2.75</v>
      </c>
      <c r="U7" s="55">
        <f t="shared" si="6"/>
        <v>0</v>
      </c>
      <c r="V7" s="55">
        <f t="shared" si="7"/>
        <v>0</v>
      </c>
      <c r="W7" s="55">
        <f t="shared" si="8"/>
        <v>0.0859375</v>
      </c>
      <c r="X7" s="55">
        <f t="shared" si="9"/>
        <v>0.014322916666666666</v>
      </c>
      <c r="Y7" s="55">
        <f t="shared" si="10"/>
        <v>0</v>
      </c>
      <c r="Z7" s="55">
        <f t="shared" si="11"/>
        <v>0.1396484375</v>
      </c>
      <c r="AB7" s="28"/>
    </row>
    <row r="8" spans="1:28" ht="12.75">
      <c r="A8" s="40"/>
      <c r="B8" s="17"/>
      <c r="C8" s="9"/>
      <c r="D8" s="9"/>
      <c r="E8" s="9"/>
      <c r="F8" s="9"/>
      <c r="G8" s="323"/>
      <c r="H8" s="8"/>
      <c r="I8" s="317"/>
      <c r="J8" s="23">
        <v>8</v>
      </c>
      <c r="K8" s="22">
        <v>5</v>
      </c>
      <c r="L8" s="30" t="s">
        <v>38</v>
      </c>
      <c r="M8" s="55">
        <f>IF($C$9&gt;=5,$C16,IF($K8=$C$9+1,$M$4,""))</f>
        <v>0.25</v>
      </c>
      <c r="N8" s="55">
        <f>IF($C$9&gt;=5,$B16,IF($K8=$C$9+1,$N$4,""))</f>
        <v>3</v>
      </c>
      <c r="O8" s="55">
        <f t="shared" si="0"/>
        <v>0</v>
      </c>
      <c r="P8" s="55">
        <f t="shared" si="1"/>
        <v>3</v>
      </c>
      <c r="Q8" s="55">
        <f t="shared" si="2"/>
        <v>-0.25</v>
      </c>
      <c r="R8" s="55">
        <f t="shared" si="3"/>
        <v>6</v>
      </c>
      <c r="S8" s="55">
        <f t="shared" si="4"/>
        <v>0.25</v>
      </c>
      <c r="T8" s="55">
        <f t="shared" si="5"/>
        <v>0</v>
      </c>
      <c r="U8" s="55">
        <f t="shared" si="6"/>
        <v>0.75</v>
      </c>
      <c r="V8" s="55">
        <f t="shared" si="7"/>
        <v>1.125</v>
      </c>
      <c r="W8" s="55">
        <f t="shared" si="8"/>
        <v>0</v>
      </c>
      <c r="X8" s="55">
        <f t="shared" si="9"/>
        <v>0</v>
      </c>
      <c r="Y8" s="55">
        <f t="shared" si="10"/>
        <v>2.25</v>
      </c>
      <c r="Z8" s="55">
        <f t="shared" si="11"/>
        <v>0</v>
      </c>
      <c r="AA8" s="37" t="s">
        <v>216</v>
      </c>
      <c r="AB8" s="28"/>
    </row>
    <row r="9" spans="1:28" ht="12.75">
      <c r="A9" s="40"/>
      <c r="B9" s="43" t="s">
        <v>36</v>
      </c>
      <c r="C9" s="6">
        <v>6</v>
      </c>
      <c r="D9" s="115"/>
      <c r="E9" s="18"/>
      <c r="F9" s="73"/>
      <c r="G9" s="18"/>
      <c r="H9" s="18"/>
      <c r="I9" s="52" t="s">
        <v>0</v>
      </c>
      <c r="J9" s="23">
        <v>9</v>
      </c>
      <c r="K9" s="22">
        <v>6</v>
      </c>
      <c r="L9" s="30" t="s">
        <v>39</v>
      </c>
      <c r="M9" s="55">
        <f>IF($C$9&gt;=6,$C17,IF($K9=$C$9+1,$M$4,""))</f>
        <v>0</v>
      </c>
      <c r="N9" s="55">
        <f>IF($C$9&gt;=6,$B17,IF($K9=$C$9+1,$N$4,""))</f>
        <v>3</v>
      </c>
      <c r="O9" s="55">
        <f t="shared" si="0"/>
        <v>0</v>
      </c>
      <c r="P9" s="55">
        <f t="shared" si="1"/>
        <v>0</v>
      </c>
      <c r="Q9" s="55">
        <f t="shared" si="2"/>
        <v>0</v>
      </c>
      <c r="R9" s="55">
        <f t="shared" si="3"/>
        <v>3</v>
      </c>
      <c r="S9" s="55">
        <f t="shared" si="4"/>
        <v>0</v>
      </c>
      <c r="T9" s="55">
        <f t="shared" si="5"/>
        <v>-3</v>
      </c>
      <c r="U9" s="55">
        <f t="shared" si="6"/>
        <v>0</v>
      </c>
      <c r="V9" s="55">
        <f t="shared" si="7"/>
        <v>0</v>
      </c>
      <c r="W9" s="55">
        <f t="shared" si="8"/>
        <v>0</v>
      </c>
      <c r="X9" s="55">
        <f t="shared" si="9"/>
        <v>0</v>
      </c>
      <c r="Y9" s="55">
        <f t="shared" si="10"/>
        <v>0</v>
      </c>
      <c r="Z9" s="55">
        <f t="shared" si="11"/>
        <v>0</v>
      </c>
      <c r="AA9" s="22" t="s">
        <v>217</v>
      </c>
      <c r="AB9" s="28"/>
    </row>
    <row r="10" spans="1:28" ht="12.75">
      <c r="A10" s="40"/>
      <c r="B10" s="18"/>
      <c r="C10" s="18"/>
      <c r="D10" s="82"/>
      <c r="E10" s="18"/>
      <c r="F10" s="18"/>
      <c r="G10" s="18"/>
      <c r="H10" s="18"/>
      <c r="I10" s="52"/>
      <c r="J10" s="23">
        <v>10</v>
      </c>
      <c r="K10" s="22">
        <v>7</v>
      </c>
      <c r="L10" s="30" t="s">
        <v>111</v>
      </c>
      <c r="M10" s="55">
        <f>IF($C$9&gt;=7,$C18,IF($K10=$C$9+1,$M$4,""))</f>
        <v>0</v>
      </c>
      <c r="N10" s="55">
        <f>IF($C$9&gt;=7,$B18,IF($K10=$C$9+1,$N$4,""))</f>
        <v>0</v>
      </c>
      <c r="O10" s="55">
        <f t="shared" si="0"/>
      </c>
      <c r="P10" s="55">
        <f t="shared" si="1"/>
      </c>
      <c r="Q10" s="55">
        <f t="shared" si="2"/>
      </c>
      <c r="R10" s="55">
        <f t="shared" si="3"/>
      </c>
      <c r="S10" s="55">
        <f t="shared" si="4"/>
      </c>
      <c r="T10" s="55">
        <f t="shared" si="5"/>
      </c>
      <c r="U10" s="55">
        <f t="shared" si="6"/>
      </c>
      <c r="V10" s="55">
        <f t="shared" si="7"/>
      </c>
      <c r="W10" s="55">
        <f t="shared" si="8"/>
      </c>
      <c r="X10" s="55">
        <f t="shared" si="9"/>
      </c>
      <c r="Y10" s="55">
        <f t="shared" si="10"/>
      </c>
      <c r="Z10" s="55">
        <f t="shared" si="11"/>
      </c>
      <c r="AA10" s="37" t="s">
        <v>218</v>
      </c>
      <c r="AB10" s="28"/>
    </row>
    <row r="11" spans="1:28" ht="12.75">
      <c r="A11" s="43" t="s">
        <v>108</v>
      </c>
      <c r="B11" s="47" t="s">
        <v>178</v>
      </c>
      <c r="C11" s="47" t="s">
        <v>179</v>
      </c>
      <c r="D11" s="18"/>
      <c r="E11" s="47" t="s">
        <v>178</v>
      </c>
      <c r="F11" s="47" t="s">
        <v>179</v>
      </c>
      <c r="G11" s="18"/>
      <c r="H11" s="18"/>
      <c r="I11" s="52"/>
      <c r="J11" s="23">
        <v>11</v>
      </c>
      <c r="K11" s="22">
        <v>8</v>
      </c>
      <c r="L11" s="30" t="s">
        <v>112</v>
      </c>
      <c r="M11" s="55">
        <f>IF($C$9&gt;=8,$C19,IF($K11=$C$9+1,$M$4,""))</f>
      </c>
      <c r="N11" s="55">
        <f>IF($C$9&gt;=8,$B19,IF($K11=$C$9+1,$N$4,""))</f>
      </c>
      <c r="O11" s="55">
        <f t="shared" si="0"/>
      </c>
      <c r="P11" s="55">
        <f t="shared" si="1"/>
      </c>
      <c r="Q11" s="55">
        <f t="shared" si="2"/>
      </c>
      <c r="R11" s="55">
        <f t="shared" si="3"/>
      </c>
      <c r="S11" s="55">
        <f t="shared" si="4"/>
      </c>
      <c r="T11" s="55">
        <f t="shared" si="5"/>
      </c>
      <c r="U11" s="55">
        <f t="shared" si="6"/>
      </c>
      <c r="V11" s="55">
        <f t="shared" si="7"/>
      </c>
      <c r="W11" s="55">
        <f t="shared" si="8"/>
      </c>
      <c r="X11" s="55">
        <f t="shared" si="9"/>
      </c>
      <c r="Y11" s="55">
        <f t="shared" si="10"/>
      </c>
      <c r="Z11" s="55">
        <f t="shared" si="11"/>
      </c>
      <c r="AA11" s="37" t="s">
        <v>166</v>
      </c>
      <c r="AB11" s="28"/>
    </row>
    <row r="12" spans="1:28" ht="12.75">
      <c r="A12" s="36" t="str">
        <f>IF($C$9&gt;=1,"#1:","")</f>
        <v>#1:</v>
      </c>
      <c r="B12" s="280">
        <v>0</v>
      </c>
      <c r="C12" s="277">
        <v>0</v>
      </c>
      <c r="D12" s="82">
        <f>IF($C$9&gt;=26,"#26:","")</f>
      </c>
      <c r="E12" s="280"/>
      <c r="F12" s="337"/>
      <c r="G12" s="18"/>
      <c r="H12" s="18"/>
      <c r="I12" s="52"/>
      <c r="J12" s="23">
        <v>12</v>
      </c>
      <c r="K12" s="22">
        <v>9</v>
      </c>
      <c r="L12" s="30" t="s">
        <v>113</v>
      </c>
      <c r="M12" s="55">
        <f>IF($C$9&gt;=9,$C20,IF($K12=$C$9+1,$M$4,""))</f>
      </c>
      <c r="N12" s="55">
        <f>IF($C$9&gt;=9,$B20,IF($K12=$C$9+1,$N$4,""))</f>
      </c>
      <c r="O12" s="55">
        <f t="shared" si="0"/>
      </c>
      <c r="P12" s="55">
        <f t="shared" si="1"/>
      </c>
      <c r="Q12" s="55">
        <f t="shared" si="2"/>
      </c>
      <c r="R12" s="55">
        <f t="shared" si="3"/>
      </c>
      <c r="S12" s="55">
        <f t="shared" si="4"/>
      </c>
      <c r="T12" s="55">
        <f t="shared" si="5"/>
      </c>
      <c r="U12" s="55">
        <f t="shared" si="6"/>
      </c>
      <c r="V12" s="55">
        <f t="shared" si="7"/>
      </c>
      <c r="W12" s="55">
        <f t="shared" si="8"/>
      </c>
      <c r="X12" s="55">
        <f t="shared" si="9"/>
      </c>
      <c r="Y12" s="55">
        <f t="shared" si="10"/>
      </c>
      <c r="Z12" s="55">
        <f t="shared" si="11"/>
      </c>
      <c r="AA12" s="48" t="s">
        <v>202</v>
      </c>
      <c r="AB12" s="28"/>
    </row>
    <row r="13" spans="1:28" ht="12.75">
      <c r="A13" s="36" t="str">
        <f>IF($C$9&gt;=2,"#2:","")</f>
        <v>#2:</v>
      </c>
      <c r="B13" s="281">
        <v>0</v>
      </c>
      <c r="C13" s="278">
        <v>6</v>
      </c>
      <c r="D13" s="82">
        <f>IF($C$9&gt;=27,"#27:","")</f>
      </c>
      <c r="E13" s="281"/>
      <c r="F13" s="336"/>
      <c r="G13" s="18"/>
      <c r="H13" s="18"/>
      <c r="I13" s="52"/>
      <c r="J13" s="23">
        <v>13</v>
      </c>
      <c r="K13" s="22">
        <v>10</v>
      </c>
      <c r="L13" s="30" t="s">
        <v>114</v>
      </c>
      <c r="M13" s="55">
        <f>IF($C$9&gt;=10,$C21,IF($K13=$C$9+1,$M$4,""))</f>
      </c>
      <c r="N13" s="55">
        <f>IF($C$9&gt;=10,$B21,IF($K13=$C$9+1,$N$4,""))</f>
      </c>
      <c r="O13" s="55">
        <f t="shared" si="0"/>
      </c>
      <c r="P13" s="55">
        <f t="shared" si="1"/>
      </c>
      <c r="Q13" s="55">
        <f t="shared" si="2"/>
      </c>
      <c r="R13" s="55">
        <f t="shared" si="3"/>
      </c>
      <c r="S13" s="55">
        <f t="shared" si="4"/>
      </c>
      <c r="T13" s="55">
        <f t="shared" si="5"/>
      </c>
      <c r="U13" s="55">
        <f t="shared" si="6"/>
      </c>
      <c r="V13" s="55">
        <f t="shared" si="7"/>
      </c>
      <c r="W13" s="55">
        <f t="shared" si="8"/>
      </c>
      <c r="X13" s="55">
        <f t="shared" si="9"/>
      </c>
      <c r="Y13" s="55">
        <f t="shared" si="10"/>
      </c>
      <c r="Z13" s="55">
        <f t="shared" si="11"/>
      </c>
      <c r="AA13" s="48" t="s">
        <v>188</v>
      </c>
      <c r="AB13" s="28"/>
    </row>
    <row r="14" spans="1:28" ht="12.75">
      <c r="A14" s="36" t="str">
        <f>IF($C$9&gt;=3,"#3:","")</f>
        <v>#3:</v>
      </c>
      <c r="B14" s="281">
        <v>0.25</v>
      </c>
      <c r="C14" s="278">
        <v>6</v>
      </c>
      <c r="D14" s="82">
        <f>IF($C$9&gt;=28,"#28:","")</f>
      </c>
      <c r="E14" s="281"/>
      <c r="F14" s="336"/>
      <c r="G14" s="18"/>
      <c r="H14" s="18"/>
      <c r="I14" s="52"/>
      <c r="J14" s="23">
        <v>14</v>
      </c>
      <c r="K14" s="22">
        <v>11</v>
      </c>
      <c r="L14" s="96" t="s">
        <v>118</v>
      </c>
      <c r="M14" s="55">
        <f>IF($C$9&gt;=11,$C22,IF($K14=$C$9+1,$M$4,""))</f>
      </c>
      <c r="N14" s="55">
        <f>IF($C$9&gt;=11,$B22,IF($K14=$C$9+1,$N$4,""))</f>
      </c>
      <c r="O14" s="55">
        <f t="shared" si="0"/>
      </c>
      <c r="P14" s="55">
        <f t="shared" si="1"/>
      </c>
      <c r="Q14" s="55">
        <f t="shared" si="2"/>
      </c>
      <c r="R14" s="55">
        <f t="shared" si="3"/>
      </c>
      <c r="S14" s="55">
        <f t="shared" si="4"/>
      </c>
      <c r="T14" s="55">
        <f t="shared" si="5"/>
      </c>
      <c r="U14" s="55">
        <f t="shared" si="6"/>
      </c>
      <c r="V14" s="55">
        <f t="shared" si="7"/>
      </c>
      <c r="W14" s="55">
        <f t="shared" si="8"/>
      </c>
      <c r="X14" s="55">
        <f t="shared" si="9"/>
      </c>
      <c r="Y14" s="55">
        <f t="shared" si="10"/>
      </c>
      <c r="Z14" s="55">
        <f t="shared" si="11"/>
      </c>
      <c r="AA14" s="48" t="s">
        <v>203</v>
      </c>
      <c r="AB14" s="28"/>
    </row>
    <row r="15" spans="1:28" ht="12.75">
      <c r="A15" s="36" t="str">
        <f>IF($C$9&gt;=4,"#4:","")</f>
        <v>#4:</v>
      </c>
      <c r="B15" s="281">
        <v>0.25</v>
      </c>
      <c r="C15" s="278">
        <v>0.25</v>
      </c>
      <c r="D15" s="82">
        <f>IF($C$9&gt;=29,"#29:","")</f>
      </c>
      <c r="E15" s="281"/>
      <c r="F15" s="336"/>
      <c r="G15" s="18"/>
      <c r="H15" s="18"/>
      <c r="I15" s="52"/>
      <c r="J15" s="23">
        <v>15</v>
      </c>
      <c r="K15" s="22">
        <v>12</v>
      </c>
      <c r="L15" s="96" t="s">
        <v>119</v>
      </c>
      <c r="M15" s="55">
        <f>IF($C$9&gt;=12,$C23,IF($K15=$C$9+1,$M$4,""))</f>
      </c>
      <c r="N15" s="55">
        <f>IF($C$9&gt;=12,$B23,IF($K15=$C$9+1,$N$4,""))</f>
      </c>
      <c r="O15" s="55">
        <f t="shared" si="0"/>
      </c>
      <c r="P15" s="55">
        <f t="shared" si="1"/>
      </c>
      <c r="Q15" s="55">
        <f t="shared" si="2"/>
      </c>
      <c r="R15" s="55">
        <f t="shared" si="3"/>
      </c>
      <c r="S15" s="55">
        <f t="shared" si="4"/>
      </c>
      <c r="T15" s="55">
        <f t="shared" si="5"/>
      </c>
      <c r="U15" s="55">
        <f t="shared" si="6"/>
      </c>
      <c r="V15" s="55">
        <f t="shared" si="7"/>
      </c>
      <c r="W15" s="55">
        <f t="shared" si="8"/>
      </c>
      <c r="X15" s="55">
        <f t="shared" si="9"/>
      </c>
      <c r="Y15" s="55">
        <f t="shared" si="10"/>
      </c>
      <c r="Z15" s="55">
        <f t="shared" si="11"/>
      </c>
      <c r="AA15" s="48" t="s">
        <v>163</v>
      </c>
      <c r="AB15" s="28"/>
    </row>
    <row r="16" spans="1:27" ht="12.75">
      <c r="A16" s="36" t="str">
        <f>IF($C$9&gt;=5,"#5:","")</f>
        <v>#5:</v>
      </c>
      <c r="B16" s="281">
        <v>3</v>
      </c>
      <c r="C16" s="278">
        <v>0.25</v>
      </c>
      <c r="D16" s="82">
        <f>IF($C$9&gt;=30,"#30:","")</f>
      </c>
      <c r="E16" s="281"/>
      <c r="F16" s="336"/>
      <c r="G16" s="18"/>
      <c r="H16" s="18"/>
      <c r="I16" s="52"/>
      <c r="J16" s="23">
        <v>16</v>
      </c>
      <c r="K16" s="22">
        <v>13</v>
      </c>
      <c r="L16" s="96" t="s">
        <v>120</v>
      </c>
      <c r="M16" s="55">
        <f>IF($C$9&gt;=13,$C24,IF($K16=$C$9+1,$M$4,""))</f>
      </c>
      <c r="N16" s="55">
        <f>IF($C$9&gt;=13,$B24,IF($K16=$C$9+1,$N$4,""))</f>
      </c>
      <c r="O16" s="55">
        <f t="shared" si="0"/>
      </c>
      <c r="P16" s="55">
        <f t="shared" si="1"/>
      </c>
      <c r="Q16" s="55">
        <f t="shared" si="2"/>
      </c>
      <c r="R16" s="55">
        <f t="shared" si="3"/>
      </c>
      <c r="S16" s="55">
        <f t="shared" si="4"/>
      </c>
      <c r="T16" s="55">
        <f t="shared" si="5"/>
      </c>
      <c r="U16" s="55">
        <f t="shared" si="6"/>
      </c>
      <c r="V16" s="55">
        <f t="shared" si="7"/>
      </c>
      <c r="W16" s="55">
        <f t="shared" si="8"/>
      </c>
      <c r="X16" s="55">
        <f t="shared" si="9"/>
      </c>
      <c r="Y16" s="55">
        <f t="shared" si="10"/>
      </c>
      <c r="Z16" s="55">
        <f t="shared" si="11"/>
      </c>
      <c r="AA16" s="37" t="s">
        <v>219</v>
      </c>
    </row>
    <row r="17" spans="1:27" ht="12.75">
      <c r="A17" s="36" t="str">
        <f>IF($C$9&gt;=6,"#6:","")</f>
        <v>#6:</v>
      </c>
      <c r="B17" s="281">
        <v>3</v>
      </c>
      <c r="C17" s="278">
        <v>0</v>
      </c>
      <c r="D17" s="82">
        <f>IF($C$9&gt;=31,"#31:","")</f>
      </c>
      <c r="E17" s="281"/>
      <c r="F17" s="336"/>
      <c r="G17" s="18"/>
      <c r="H17" s="18"/>
      <c r="I17" s="52"/>
      <c r="J17" s="23">
        <v>17</v>
      </c>
      <c r="K17" s="22">
        <v>14</v>
      </c>
      <c r="L17" s="96" t="s">
        <v>121</v>
      </c>
      <c r="M17" s="55">
        <f>IF($C$9&gt;=14,$C25,IF($K17=$C$9+1,$M$4,""))</f>
      </c>
      <c r="N17" s="55">
        <f>IF($C$9&gt;=14,$B25,IF($K17=$C$9+1,$N$4,""))</f>
      </c>
      <c r="O17" s="55">
        <f t="shared" si="0"/>
      </c>
      <c r="P17" s="55">
        <f t="shared" si="1"/>
      </c>
      <c r="Q17" s="55">
        <f t="shared" si="2"/>
      </c>
      <c r="R17" s="55">
        <f t="shared" si="3"/>
      </c>
      <c r="S17" s="55">
        <f t="shared" si="4"/>
      </c>
      <c r="T17" s="55">
        <f t="shared" si="5"/>
      </c>
      <c r="U17" s="55">
        <f t="shared" si="6"/>
      </c>
      <c r="V17" s="55">
        <f t="shared" si="7"/>
      </c>
      <c r="W17" s="55">
        <f t="shared" si="8"/>
      </c>
      <c r="X17" s="55">
        <f t="shared" si="9"/>
      </c>
      <c r="Y17" s="55">
        <f t="shared" si="10"/>
      </c>
      <c r="Z17" s="55">
        <f t="shared" si="11"/>
      </c>
      <c r="AA17" s="37" t="s">
        <v>220</v>
      </c>
    </row>
    <row r="18" spans="1:27" ht="12.75">
      <c r="A18" s="36">
        <f>IF($C$9&gt;=7,"#7:","")</f>
      </c>
      <c r="B18" s="281">
        <v>0</v>
      </c>
      <c r="C18" s="278">
        <v>0</v>
      </c>
      <c r="D18" s="82">
        <f>IF($C$9&gt;=32,"#32:","")</f>
      </c>
      <c r="E18" s="281"/>
      <c r="F18" s="336"/>
      <c r="G18" s="18"/>
      <c r="H18" s="18"/>
      <c r="I18" s="52"/>
      <c r="J18" s="23">
        <v>18</v>
      </c>
      <c r="K18" s="22">
        <v>15</v>
      </c>
      <c r="L18" s="96" t="s">
        <v>122</v>
      </c>
      <c r="M18" s="55">
        <f>IF($C$9&gt;=15,$C26,IF($K18=$C$9+1,$M$4,""))</f>
      </c>
      <c r="N18" s="55">
        <f>IF($C$9&gt;=15,$B26,IF($K18=$C$9+1,$N$4,""))</f>
      </c>
      <c r="O18" s="55">
        <f t="shared" si="0"/>
      </c>
      <c r="P18" s="55">
        <f t="shared" si="1"/>
      </c>
      <c r="Q18" s="55">
        <f t="shared" si="2"/>
      </c>
      <c r="R18" s="55">
        <f t="shared" si="3"/>
      </c>
      <c r="S18" s="55">
        <f t="shared" si="4"/>
      </c>
      <c r="T18" s="55">
        <f t="shared" si="5"/>
      </c>
      <c r="U18" s="55">
        <f t="shared" si="6"/>
      </c>
      <c r="V18" s="55">
        <f t="shared" si="7"/>
      </c>
      <c r="W18" s="55">
        <f t="shared" si="8"/>
      </c>
      <c r="X18" s="55">
        <f t="shared" si="9"/>
      </c>
      <c r="Y18" s="55">
        <f t="shared" si="10"/>
      </c>
      <c r="Z18" s="55">
        <f t="shared" si="11"/>
      </c>
      <c r="AA18" s="37" t="s">
        <v>250</v>
      </c>
    </row>
    <row r="19" spans="1:27" ht="12.75">
      <c r="A19" s="36">
        <f>IF($C$9&gt;=8,"#8:","")</f>
      </c>
      <c r="B19" s="281"/>
      <c r="C19" s="278"/>
      <c r="D19" s="82">
        <f>IF($C$9&gt;=33,"#33:","")</f>
      </c>
      <c r="E19" s="281"/>
      <c r="F19" s="336"/>
      <c r="G19" s="18"/>
      <c r="H19" s="18"/>
      <c r="I19" s="52"/>
      <c r="J19" s="23">
        <v>19</v>
      </c>
      <c r="K19" s="22">
        <v>16</v>
      </c>
      <c r="L19" s="96" t="s">
        <v>123</v>
      </c>
      <c r="M19" s="55">
        <f>IF($C$9&gt;=16,$C27,IF($K19=$C$9+1,$M$4,""))</f>
      </c>
      <c r="N19" s="55">
        <f>IF($C$9&gt;=16,$B27,IF($K19=$C$9+1,$N$4,""))</f>
      </c>
      <c r="O19" s="55">
        <f t="shared" si="0"/>
      </c>
      <c r="P19" s="55">
        <f t="shared" si="1"/>
      </c>
      <c r="Q19" s="55">
        <f t="shared" si="2"/>
      </c>
      <c r="R19" s="55">
        <f t="shared" si="3"/>
      </c>
      <c r="S19" s="55">
        <f t="shared" si="4"/>
      </c>
      <c r="T19" s="55">
        <f t="shared" si="5"/>
      </c>
      <c r="U19" s="55">
        <f t="shared" si="6"/>
      </c>
      <c r="V19" s="55">
        <f t="shared" si="7"/>
      </c>
      <c r="W19" s="55">
        <f t="shared" si="8"/>
      </c>
      <c r="X19" s="55">
        <f t="shared" si="9"/>
      </c>
      <c r="Y19" s="55">
        <f t="shared" si="10"/>
      </c>
      <c r="Z19" s="55">
        <f t="shared" si="11"/>
      </c>
      <c r="AA19" s="37" t="s">
        <v>251</v>
      </c>
    </row>
    <row r="20" spans="1:27" ht="12.75">
      <c r="A20" s="36">
        <f>IF($C$9&gt;=9,"#9:","")</f>
      </c>
      <c r="B20" s="281"/>
      <c r="C20" s="278"/>
      <c r="D20" s="82">
        <f>IF($C$9&gt;=34,"#34:","")</f>
      </c>
      <c r="E20" s="281"/>
      <c r="F20" s="336"/>
      <c r="G20" s="18"/>
      <c r="H20" s="18"/>
      <c r="I20" s="52"/>
      <c r="J20" s="23">
        <v>20</v>
      </c>
      <c r="K20" s="22">
        <v>17</v>
      </c>
      <c r="L20" s="96" t="s">
        <v>124</v>
      </c>
      <c r="M20" s="55">
        <f>IF($C$9&gt;=17,$C28,IF($K20=$C$9+1,$M$4,""))</f>
      </c>
      <c r="N20" s="55">
        <f>IF($C$9&gt;=17,$B28,IF($K20=$C$9+1,$N$4,""))</f>
      </c>
      <c r="O20" s="55">
        <f t="shared" si="0"/>
      </c>
      <c r="P20" s="55">
        <f t="shared" si="1"/>
      </c>
      <c r="Q20" s="55">
        <f t="shared" si="2"/>
      </c>
      <c r="R20" s="55">
        <f t="shared" si="3"/>
      </c>
      <c r="S20" s="55">
        <f t="shared" si="4"/>
      </c>
      <c r="T20" s="55">
        <f t="shared" si="5"/>
      </c>
      <c r="U20" s="55">
        <f t="shared" si="6"/>
      </c>
      <c r="V20" s="55">
        <f t="shared" si="7"/>
      </c>
      <c r="W20" s="55">
        <f t="shared" si="8"/>
      </c>
      <c r="X20" s="55">
        <f t="shared" si="9"/>
      </c>
      <c r="Y20" s="55">
        <f t="shared" si="10"/>
      </c>
      <c r="Z20" s="55">
        <f t="shared" si="11"/>
      </c>
      <c r="AA20" s="22" t="s">
        <v>252</v>
      </c>
    </row>
    <row r="21" spans="1:27" ht="12.75">
      <c r="A21" s="36">
        <f>IF($C$9&gt;=10,"#10:","")</f>
      </c>
      <c r="B21" s="281"/>
      <c r="C21" s="278"/>
      <c r="D21" s="82">
        <f>IF($C$9&gt;=35,"#35:","")</f>
      </c>
      <c r="E21" s="281"/>
      <c r="F21" s="336"/>
      <c r="G21" s="18"/>
      <c r="H21" s="18"/>
      <c r="I21" s="52"/>
      <c r="J21" s="23">
        <v>21</v>
      </c>
      <c r="K21" s="22">
        <v>18</v>
      </c>
      <c r="L21" s="96" t="s">
        <v>125</v>
      </c>
      <c r="M21" s="55">
        <f>IF($C$9&gt;=18,$C29,IF($K21=$C$9+1,$M$4,""))</f>
      </c>
      <c r="N21" s="55">
        <f>IF($C$9&gt;=18,$B29,IF($K21=$C$9+1,$N$4,""))</f>
      </c>
      <c r="O21" s="55">
        <f t="shared" si="0"/>
      </c>
      <c r="P21" s="55">
        <f t="shared" si="1"/>
      </c>
      <c r="Q21" s="55">
        <f t="shared" si="2"/>
      </c>
      <c r="R21" s="55">
        <f t="shared" si="3"/>
      </c>
      <c r="S21" s="55">
        <f t="shared" si="4"/>
      </c>
      <c r="T21" s="55">
        <f t="shared" si="5"/>
      </c>
      <c r="U21" s="55">
        <f t="shared" si="6"/>
      </c>
      <c r="V21" s="55">
        <f t="shared" si="7"/>
      </c>
      <c r="W21" s="55">
        <f t="shared" si="8"/>
      </c>
      <c r="X21" s="55">
        <f t="shared" si="9"/>
      </c>
      <c r="Y21" s="55">
        <f t="shared" si="10"/>
      </c>
      <c r="Z21" s="55">
        <f t="shared" si="11"/>
      </c>
      <c r="AA21" s="37" t="s">
        <v>253</v>
      </c>
    </row>
    <row r="22" spans="1:27" ht="12.75">
      <c r="A22" s="36">
        <f>IF($C$9&gt;=11,"#11:","")</f>
      </c>
      <c r="B22" s="281"/>
      <c r="C22" s="278"/>
      <c r="D22" s="82">
        <f>IF($C$9&gt;=36,"#36:","")</f>
      </c>
      <c r="E22" s="281"/>
      <c r="F22" s="336"/>
      <c r="G22" s="18"/>
      <c r="H22" s="18"/>
      <c r="I22" s="52"/>
      <c r="J22" s="23">
        <v>22</v>
      </c>
      <c r="K22" s="22">
        <v>19</v>
      </c>
      <c r="L22" s="96" t="s">
        <v>126</v>
      </c>
      <c r="M22" s="55">
        <f>IF($C$9&gt;=19,$C30,IF($K22=$C$9+1,$M$4,""))</f>
      </c>
      <c r="N22" s="55">
        <f>IF($C$9&gt;=19,$B30,IF($K22=$C$9+1,$N$4,""))</f>
      </c>
      <c r="O22" s="55">
        <f t="shared" si="0"/>
      </c>
      <c r="P22" s="55">
        <f t="shared" si="1"/>
      </c>
      <c r="Q22" s="55">
        <f t="shared" si="2"/>
      </c>
      <c r="R22" s="55">
        <f t="shared" si="3"/>
      </c>
      <c r="S22" s="55">
        <f t="shared" si="4"/>
      </c>
      <c r="T22" s="55">
        <f t="shared" si="5"/>
      </c>
      <c r="U22" s="55">
        <f t="shared" si="6"/>
      </c>
      <c r="V22" s="55">
        <f t="shared" si="7"/>
      </c>
      <c r="W22" s="55">
        <f t="shared" si="8"/>
      </c>
      <c r="X22" s="55">
        <f t="shared" si="9"/>
      </c>
      <c r="Y22" s="55">
        <f t="shared" si="10"/>
      </c>
      <c r="Z22" s="55">
        <f t="shared" si="11"/>
      </c>
      <c r="AA22" s="37" t="s">
        <v>254</v>
      </c>
    </row>
    <row r="23" spans="1:27" ht="12.75">
      <c r="A23" s="36">
        <f>IF($C$9&gt;=12,"#12:","")</f>
      </c>
      <c r="B23" s="281"/>
      <c r="C23" s="278"/>
      <c r="D23" s="82">
        <f>IF($C$9&gt;=37,"#37:","")</f>
      </c>
      <c r="E23" s="281"/>
      <c r="F23" s="336"/>
      <c r="G23" s="18"/>
      <c r="H23" s="82"/>
      <c r="I23" s="83"/>
      <c r="J23" s="23">
        <v>23</v>
      </c>
      <c r="K23" s="22">
        <v>20</v>
      </c>
      <c r="L23" s="96" t="s">
        <v>127</v>
      </c>
      <c r="M23" s="55">
        <f>IF($C$9&gt;=20,$C31,IF($K23=$C$9+1,$M$4,""))</f>
      </c>
      <c r="N23" s="55">
        <f>IF($C$9&gt;=20,$B31,IF($K23=$C$9+1,$N$4,""))</f>
      </c>
      <c r="O23" s="55">
        <f t="shared" si="0"/>
      </c>
      <c r="P23" s="55">
        <f t="shared" si="1"/>
      </c>
      <c r="Q23" s="55">
        <f t="shared" si="2"/>
      </c>
      <c r="R23" s="55">
        <f t="shared" si="3"/>
      </c>
      <c r="S23" s="55">
        <f t="shared" si="4"/>
      </c>
      <c r="T23" s="55">
        <f t="shared" si="5"/>
      </c>
      <c r="U23" s="55">
        <f t="shared" si="6"/>
      </c>
      <c r="V23" s="55">
        <f t="shared" si="7"/>
      </c>
      <c r="W23" s="55">
        <f t="shared" si="8"/>
      </c>
      <c r="X23" s="55">
        <f t="shared" si="9"/>
      </c>
      <c r="Y23" s="55">
        <f t="shared" si="10"/>
      </c>
      <c r="Z23" s="55">
        <f t="shared" si="11"/>
      </c>
      <c r="AA23" s="37" t="s">
        <v>255</v>
      </c>
    </row>
    <row r="24" spans="1:27" ht="12.75">
      <c r="A24" s="36">
        <f>IF($C$9&gt;=13,"#13:","")</f>
      </c>
      <c r="B24" s="281"/>
      <c r="C24" s="278"/>
      <c r="D24" s="82">
        <f>IF($C$9&gt;=38,"#38:","")</f>
      </c>
      <c r="E24" s="281"/>
      <c r="F24" s="336"/>
      <c r="G24" s="18"/>
      <c r="H24" s="82"/>
      <c r="I24" s="83"/>
      <c r="J24" s="23">
        <v>24</v>
      </c>
      <c r="K24" s="22">
        <v>21</v>
      </c>
      <c r="L24" s="96" t="s">
        <v>128</v>
      </c>
      <c r="M24" s="55">
        <f>IF($C$9&gt;=21,$C32,IF($K24=$C$9+1,$M$4,""))</f>
      </c>
      <c r="N24" s="55">
        <f>IF($C$9&gt;=21,$B32,IF($K24=$C$9+1,$N$4,""))</f>
      </c>
      <c r="O24" s="55">
        <f t="shared" si="0"/>
      </c>
      <c r="P24" s="55">
        <f t="shared" si="1"/>
      </c>
      <c r="Q24" s="55">
        <f t="shared" si="2"/>
      </c>
      <c r="R24" s="55">
        <f t="shared" si="3"/>
      </c>
      <c r="S24" s="55">
        <f t="shared" si="4"/>
      </c>
      <c r="T24" s="55">
        <f t="shared" si="5"/>
      </c>
      <c r="U24" s="55">
        <f t="shared" si="6"/>
      </c>
      <c r="V24" s="55">
        <f t="shared" si="7"/>
      </c>
      <c r="W24" s="55">
        <f t="shared" si="8"/>
      </c>
      <c r="X24" s="55">
        <f t="shared" si="9"/>
      </c>
      <c r="Y24" s="55">
        <f t="shared" si="10"/>
      </c>
      <c r="Z24" s="55">
        <f t="shared" si="11"/>
      </c>
      <c r="AA24" s="22" t="s">
        <v>256</v>
      </c>
    </row>
    <row r="25" spans="1:26" ht="12.75">
      <c r="A25" s="36">
        <f>IF($C$9&gt;=14,"#14:","")</f>
      </c>
      <c r="B25" s="281"/>
      <c r="C25" s="278"/>
      <c r="D25" s="82">
        <f>IF($C$9&gt;=39,"#39:","")</f>
      </c>
      <c r="E25" s="281"/>
      <c r="F25" s="336"/>
      <c r="G25" s="18"/>
      <c r="H25" s="82"/>
      <c r="I25" s="83"/>
      <c r="J25" s="23">
        <v>25</v>
      </c>
      <c r="K25" s="22">
        <v>22</v>
      </c>
      <c r="L25" s="96" t="s">
        <v>129</v>
      </c>
      <c r="M25" s="55">
        <f>IF($C$9&gt;=22,$C33,IF($K25=$C$9+1,$M$4,""))</f>
      </c>
      <c r="N25" s="55">
        <f>IF($C$9&gt;=22,$B33,IF($K25=$C$9+1,$N$4,""))</f>
      </c>
      <c r="O25" s="55">
        <f t="shared" si="0"/>
      </c>
      <c r="P25" s="55">
        <f t="shared" si="1"/>
      </c>
      <c r="Q25" s="55">
        <f t="shared" si="2"/>
      </c>
      <c r="R25" s="55">
        <f t="shared" si="3"/>
      </c>
      <c r="S25" s="55">
        <f t="shared" si="4"/>
      </c>
      <c r="T25" s="55">
        <f t="shared" si="5"/>
      </c>
      <c r="U25" s="55">
        <f t="shared" si="6"/>
      </c>
      <c r="V25" s="55">
        <f t="shared" si="7"/>
      </c>
      <c r="W25" s="55">
        <f t="shared" si="8"/>
      </c>
      <c r="X25" s="55">
        <f t="shared" si="9"/>
      </c>
      <c r="Y25" s="55">
        <f t="shared" si="10"/>
      </c>
      <c r="Z25" s="55">
        <f t="shared" si="11"/>
      </c>
    </row>
    <row r="26" spans="1:26" ht="12.75">
      <c r="A26" s="36">
        <f>IF($C$9&gt;=15,"#15:","")</f>
      </c>
      <c r="B26" s="281"/>
      <c r="C26" s="278"/>
      <c r="D26" s="82">
        <f>IF($C$9&gt;=40,"#40:","")</f>
      </c>
      <c r="E26" s="281"/>
      <c r="F26" s="336"/>
      <c r="G26" s="18"/>
      <c r="H26" s="82"/>
      <c r="I26" s="83"/>
      <c r="J26" s="23">
        <v>26</v>
      </c>
      <c r="K26" s="22">
        <v>23</v>
      </c>
      <c r="L26" s="96" t="s">
        <v>130</v>
      </c>
      <c r="M26" s="55">
        <f>IF($C$9&gt;=23,$C34,IF($K26=$C$9+1,$M$4,""))</f>
      </c>
      <c r="N26" s="55">
        <f>IF($C$9&gt;=23,$B34,IF($K26=$C$9+1,$N$4,""))</f>
      </c>
      <c r="O26" s="55">
        <f t="shared" si="0"/>
      </c>
      <c r="P26" s="55">
        <f t="shared" si="1"/>
      </c>
      <c r="Q26" s="55">
        <f t="shared" si="2"/>
      </c>
      <c r="R26" s="55">
        <f t="shared" si="3"/>
      </c>
      <c r="S26" s="55">
        <f t="shared" si="4"/>
      </c>
      <c r="T26" s="55">
        <f t="shared" si="5"/>
      </c>
      <c r="U26" s="55">
        <f t="shared" si="6"/>
      </c>
      <c r="V26" s="55">
        <f t="shared" si="7"/>
      </c>
      <c r="W26" s="55">
        <f t="shared" si="8"/>
      </c>
      <c r="X26" s="55">
        <f t="shared" si="9"/>
      </c>
      <c r="Y26" s="55">
        <f t="shared" si="10"/>
      </c>
      <c r="Z26" s="55">
        <f t="shared" si="11"/>
      </c>
    </row>
    <row r="27" spans="1:26" ht="12.75">
      <c r="A27" s="36">
        <f>IF($C$9&gt;=16,"#16:","")</f>
      </c>
      <c r="B27" s="281"/>
      <c r="C27" s="278"/>
      <c r="D27" s="82">
        <f>IF($C$9&gt;=41,"#41:","")</f>
      </c>
      <c r="E27" s="281"/>
      <c r="F27" s="336"/>
      <c r="G27" s="318" t="s">
        <v>241</v>
      </c>
      <c r="H27" s="24"/>
      <c r="I27" s="52"/>
      <c r="J27" s="23">
        <v>27</v>
      </c>
      <c r="K27" s="22">
        <v>24</v>
      </c>
      <c r="L27" s="96" t="s">
        <v>131</v>
      </c>
      <c r="M27" s="55">
        <f>IF($C$9&gt;=24,$C35,IF($K27=$C$9+1,$M$4,""))</f>
      </c>
      <c r="N27" s="55">
        <f>IF($C$9&gt;=24,$B35,IF($K27=$C$9+1,$N$4,""))</f>
      </c>
      <c r="O27" s="55">
        <f t="shared" si="0"/>
      </c>
      <c r="P27" s="55">
        <f t="shared" si="1"/>
      </c>
      <c r="Q27" s="55">
        <f t="shared" si="2"/>
      </c>
      <c r="R27" s="55">
        <f t="shared" si="3"/>
      </c>
      <c r="S27" s="55">
        <f t="shared" si="4"/>
      </c>
      <c r="T27" s="55">
        <f t="shared" si="5"/>
      </c>
      <c r="U27" s="55">
        <f t="shared" si="6"/>
      </c>
      <c r="V27" s="55">
        <f t="shared" si="7"/>
      </c>
      <c r="W27" s="55">
        <f t="shared" si="8"/>
      </c>
      <c r="X27" s="55">
        <f t="shared" si="9"/>
      </c>
      <c r="Y27" s="55">
        <f t="shared" si="10"/>
      </c>
      <c r="Z27" s="55">
        <f t="shared" si="11"/>
      </c>
    </row>
    <row r="28" spans="1:26" ht="12.75">
      <c r="A28" s="36">
        <f>IF($C$9&gt;=17,"#17:","")</f>
      </c>
      <c r="B28" s="281"/>
      <c r="C28" s="278"/>
      <c r="D28" s="82">
        <f>IF($C$9&gt;=42,"#42:","")</f>
      </c>
      <c r="E28" s="281"/>
      <c r="F28" s="336"/>
      <c r="G28" s="319" t="s">
        <v>243</v>
      </c>
      <c r="H28" s="24"/>
      <c r="I28" s="258" t="s">
        <v>249</v>
      </c>
      <c r="J28" s="23">
        <v>28</v>
      </c>
      <c r="K28" s="22">
        <v>25</v>
      </c>
      <c r="L28" s="96" t="s">
        <v>132</v>
      </c>
      <c r="M28" s="55">
        <f>IF($C$9&gt;=25,$C36,IF($K28=$C$9+1,$M$4,""))</f>
      </c>
      <c r="N28" s="55">
        <f>IF($C$9&gt;=25,$B36,IF($K28=$C$9+1,$N$4,""))</f>
      </c>
      <c r="O28" s="55">
        <f t="shared" si="0"/>
      </c>
      <c r="P28" s="55">
        <f t="shared" si="1"/>
      </c>
      <c r="Q28" s="55">
        <f t="shared" si="2"/>
      </c>
      <c r="R28" s="55">
        <f t="shared" si="3"/>
      </c>
      <c r="S28" s="55">
        <f t="shared" si="4"/>
      </c>
      <c r="T28" s="55">
        <f t="shared" si="5"/>
      </c>
      <c r="U28" s="55">
        <f t="shared" si="6"/>
      </c>
      <c r="V28" s="55">
        <f t="shared" si="7"/>
      </c>
      <c r="W28" s="55">
        <f t="shared" si="8"/>
      </c>
      <c r="X28" s="55">
        <f t="shared" si="9"/>
      </c>
      <c r="Y28" s="55">
        <f t="shared" si="10"/>
      </c>
      <c r="Z28" s="55">
        <f t="shared" si="11"/>
      </c>
    </row>
    <row r="29" spans="1:26" ht="12.75">
      <c r="A29" s="36">
        <f>IF($C$9&gt;=18,"#18:","")</f>
      </c>
      <c r="B29" s="281"/>
      <c r="C29" s="278"/>
      <c r="D29" s="82">
        <f>IF($C$9&gt;=43,"#43:","")</f>
      </c>
      <c r="E29" s="281"/>
      <c r="F29" s="336"/>
      <c r="G29" s="18"/>
      <c r="H29" s="24"/>
      <c r="I29" s="52"/>
      <c r="J29" s="23">
        <v>29</v>
      </c>
      <c r="K29" s="22">
        <v>26</v>
      </c>
      <c r="L29" s="67" t="s">
        <v>133</v>
      </c>
      <c r="M29" s="55">
        <f>IF($C$9&gt;=26,$F12,IF($K29=$C$9+1,$M$4,""))</f>
      </c>
      <c r="N29" s="55">
        <f>IF($C$9&gt;=26,$E12,IF($K29=$C$9+1,$N$4,""))</f>
      </c>
      <c r="O29" s="55">
        <f t="shared" si="0"/>
      </c>
      <c r="P29" s="55">
        <f t="shared" si="1"/>
      </c>
      <c r="Q29" s="55">
        <f t="shared" si="2"/>
      </c>
      <c r="R29" s="55">
        <f t="shared" si="3"/>
      </c>
      <c r="S29" s="55">
        <f t="shared" si="4"/>
      </c>
      <c r="T29" s="55">
        <f t="shared" si="5"/>
      </c>
      <c r="U29" s="55">
        <f t="shared" si="6"/>
      </c>
      <c r="V29" s="55">
        <f t="shared" si="7"/>
      </c>
      <c r="W29" s="55">
        <f t="shared" si="8"/>
      </c>
      <c r="X29" s="55">
        <f t="shared" si="9"/>
      </c>
      <c r="Y29" s="55">
        <f t="shared" si="10"/>
      </c>
      <c r="Z29" s="55">
        <f t="shared" si="11"/>
      </c>
    </row>
    <row r="30" spans="1:26" ht="12.75">
      <c r="A30" s="36">
        <f>IF($C$9&gt;=19,"#19:","")</f>
      </c>
      <c r="B30" s="281"/>
      <c r="C30" s="278"/>
      <c r="D30" s="82">
        <f>IF($C$9&gt;=44,"#44:","")</f>
      </c>
      <c r="E30" s="281"/>
      <c r="F30" s="336"/>
      <c r="G30" s="18"/>
      <c r="H30" s="256" t="s">
        <v>244</v>
      </c>
      <c r="I30" s="258" t="s">
        <v>247</v>
      </c>
      <c r="J30" s="23">
        <v>30</v>
      </c>
      <c r="K30" s="22">
        <v>27</v>
      </c>
      <c r="L30" s="67" t="s">
        <v>134</v>
      </c>
      <c r="M30" s="55">
        <f>IF($C$9&gt;=27,$F13,IF($K30=$C$9+1,$M$4,""))</f>
      </c>
      <c r="N30" s="55">
        <f>IF($C$9&gt;=27,$E13,IF($K30=$C$9+1,$N$4,""))</f>
      </c>
      <c r="O30" s="55">
        <f t="shared" si="0"/>
      </c>
      <c r="P30" s="55">
        <f t="shared" si="1"/>
      </c>
      <c r="Q30" s="55">
        <f t="shared" si="2"/>
      </c>
      <c r="R30" s="55">
        <f t="shared" si="3"/>
      </c>
      <c r="S30" s="55">
        <f t="shared" si="4"/>
      </c>
      <c r="T30" s="55">
        <f t="shared" si="5"/>
      </c>
      <c r="U30" s="55">
        <f t="shared" si="6"/>
      </c>
      <c r="V30" s="55">
        <f t="shared" si="7"/>
      </c>
      <c r="W30" s="55">
        <f t="shared" si="8"/>
      </c>
      <c r="X30" s="55">
        <f t="shared" si="9"/>
      </c>
      <c r="Y30" s="55">
        <f t="shared" si="10"/>
      </c>
      <c r="Z30" s="55">
        <f t="shared" si="11"/>
      </c>
    </row>
    <row r="31" spans="1:26" ht="12.75">
      <c r="A31" s="36">
        <f>IF($C$9&gt;=20,"#20:","")</f>
      </c>
      <c r="B31" s="281"/>
      <c r="C31" s="278"/>
      <c r="D31" s="82">
        <f>IF($C$9&gt;=45,"#45:","")</f>
      </c>
      <c r="E31" s="281"/>
      <c r="F31" s="336"/>
      <c r="G31" s="18"/>
      <c r="H31" s="24"/>
      <c r="I31" s="52"/>
      <c r="J31" s="23">
        <v>31</v>
      </c>
      <c r="K31" s="22">
        <v>28</v>
      </c>
      <c r="L31" s="67" t="s">
        <v>135</v>
      </c>
      <c r="M31" s="55">
        <f>IF($C$9&gt;=28,$F14,IF($K31=$C$9+1,$M$4,""))</f>
      </c>
      <c r="N31" s="55">
        <f>IF($C$9&gt;=28,$E14,IF($K31=$C$9+1,$N$4,""))</f>
      </c>
      <c r="O31" s="55">
        <f t="shared" si="0"/>
      </c>
      <c r="P31" s="55">
        <f t="shared" si="1"/>
      </c>
      <c r="Q31" s="55">
        <f t="shared" si="2"/>
      </c>
      <c r="R31" s="55">
        <f t="shared" si="3"/>
      </c>
      <c r="S31" s="55">
        <f t="shared" si="4"/>
      </c>
      <c r="T31" s="55">
        <f t="shared" si="5"/>
      </c>
      <c r="U31" s="55">
        <f t="shared" si="6"/>
      </c>
      <c r="V31" s="55">
        <f t="shared" si="7"/>
      </c>
      <c r="W31" s="55">
        <f t="shared" si="8"/>
      </c>
      <c r="X31" s="55">
        <f t="shared" si="9"/>
      </c>
      <c r="Y31" s="55">
        <f t="shared" si="10"/>
      </c>
      <c r="Z31" s="55">
        <f t="shared" si="11"/>
      </c>
    </row>
    <row r="32" spans="1:26" ht="12.75">
      <c r="A32" s="36">
        <f>IF($C$9&gt;=21,"#21:","")</f>
      </c>
      <c r="B32" s="281"/>
      <c r="C32" s="278"/>
      <c r="D32" s="82">
        <f>IF($C$9&gt;=46,"#46:","")</f>
      </c>
      <c r="E32" s="281"/>
      <c r="F32" s="336"/>
      <c r="G32" s="18"/>
      <c r="H32" s="24"/>
      <c r="I32" s="52"/>
      <c r="J32" s="23">
        <v>32</v>
      </c>
      <c r="K32" s="22">
        <v>29</v>
      </c>
      <c r="L32" s="67" t="s">
        <v>136</v>
      </c>
      <c r="M32" s="55">
        <f>IF($C$9&gt;=29,$F15,IF($K32=$C$9+1,$M$4,""))</f>
      </c>
      <c r="N32" s="55">
        <f>IF($C$9&gt;=29,$E15,IF($K32=$C$9+1,$N$4,""))</f>
      </c>
      <c r="O32" s="55">
        <f t="shared" si="0"/>
      </c>
      <c r="P32" s="55">
        <f t="shared" si="1"/>
      </c>
      <c r="Q32" s="55">
        <f t="shared" si="2"/>
      </c>
      <c r="R32" s="55">
        <f t="shared" si="3"/>
      </c>
      <c r="S32" s="55">
        <f t="shared" si="4"/>
      </c>
      <c r="T32" s="55">
        <f t="shared" si="5"/>
      </c>
      <c r="U32" s="55">
        <f t="shared" si="6"/>
      </c>
      <c r="V32" s="55">
        <f t="shared" si="7"/>
      </c>
      <c r="W32" s="55">
        <f t="shared" si="8"/>
      </c>
      <c r="X32" s="55">
        <f t="shared" si="9"/>
      </c>
      <c r="Y32" s="55">
        <f t="shared" si="10"/>
      </c>
      <c r="Z32" s="55">
        <f t="shared" si="11"/>
      </c>
    </row>
    <row r="33" spans="1:26" ht="12.75">
      <c r="A33" s="36">
        <f>IF($C$9&gt;=22,"#22:","")</f>
      </c>
      <c r="B33" s="281"/>
      <c r="C33" s="278"/>
      <c r="D33" s="82">
        <f>IF($C$9&gt;=47,"#47:","")</f>
      </c>
      <c r="E33" s="281"/>
      <c r="F33" s="336"/>
      <c r="G33" s="18"/>
      <c r="H33" s="24"/>
      <c r="I33" s="52"/>
      <c r="J33" s="23">
        <v>33</v>
      </c>
      <c r="K33" s="22">
        <v>30</v>
      </c>
      <c r="L33" s="67" t="s">
        <v>137</v>
      </c>
      <c r="M33" s="55">
        <f>IF($C$9&gt;=30,$F16,IF($K33=$C$9+1,$M$4,""))</f>
      </c>
      <c r="N33" s="55">
        <f>IF($C$9&gt;=30,$E16,IF($K33=$C$9+1,$N$4,""))</f>
      </c>
      <c r="O33" s="55">
        <f t="shared" si="0"/>
      </c>
      <c r="P33" s="55">
        <f t="shared" si="1"/>
      </c>
      <c r="Q33" s="55">
        <f t="shared" si="2"/>
      </c>
      <c r="R33" s="55">
        <f t="shared" si="3"/>
      </c>
      <c r="S33" s="55">
        <f t="shared" si="4"/>
      </c>
      <c r="T33" s="55">
        <f t="shared" si="5"/>
      </c>
      <c r="U33" s="55">
        <f t="shared" si="6"/>
      </c>
      <c r="V33" s="55">
        <f t="shared" si="7"/>
      </c>
      <c r="W33" s="55">
        <f t="shared" si="8"/>
      </c>
      <c r="X33" s="55">
        <f t="shared" si="9"/>
      </c>
      <c r="Y33" s="55">
        <f t="shared" si="10"/>
      </c>
      <c r="Z33" s="55">
        <f t="shared" si="11"/>
      </c>
    </row>
    <row r="34" spans="1:26" ht="12.75">
      <c r="A34" s="36">
        <f>IF($C$9&gt;=23,"#23:","")</f>
      </c>
      <c r="B34" s="281"/>
      <c r="C34" s="278"/>
      <c r="D34" s="82">
        <f>IF($C$9&gt;=48,"#48:","")</f>
      </c>
      <c r="E34" s="281"/>
      <c r="F34" s="336"/>
      <c r="G34" s="18"/>
      <c r="H34" s="256" t="s">
        <v>246</v>
      </c>
      <c r="I34" s="259"/>
      <c r="J34" s="23">
        <v>34</v>
      </c>
      <c r="K34" s="116">
        <v>31</v>
      </c>
      <c r="L34" s="67" t="s">
        <v>138</v>
      </c>
      <c r="M34" s="55">
        <f>IF($C$9&gt;=31,$F17,IF($K34=$C$9+1,$M$4,""))</f>
      </c>
      <c r="N34" s="55">
        <f>IF($C$9&gt;=31,$E17,IF($K34=$C$9+1,$N$4,""))</f>
      </c>
      <c r="O34" s="55">
        <f t="shared" si="0"/>
      </c>
      <c r="P34" s="55">
        <f t="shared" si="1"/>
      </c>
      <c r="Q34" s="55">
        <f t="shared" si="2"/>
      </c>
      <c r="R34" s="55">
        <f t="shared" si="3"/>
      </c>
      <c r="S34" s="55">
        <f t="shared" si="4"/>
      </c>
      <c r="T34" s="55">
        <f t="shared" si="5"/>
      </c>
      <c r="U34" s="55">
        <f t="shared" si="6"/>
      </c>
      <c r="V34" s="55">
        <f t="shared" si="7"/>
      </c>
      <c r="W34" s="55">
        <f t="shared" si="8"/>
      </c>
      <c r="X34" s="55">
        <f t="shared" si="9"/>
      </c>
      <c r="Y34" s="55">
        <f t="shared" si="10"/>
      </c>
      <c r="Z34" s="55">
        <f t="shared" si="11"/>
      </c>
    </row>
    <row r="35" spans="1:26" ht="12.75">
      <c r="A35" s="36">
        <f>IF($C$9&gt;=24,"#24:","")</f>
      </c>
      <c r="B35" s="281"/>
      <c r="C35" s="278"/>
      <c r="D35" s="82">
        <f>IF($C$9&gt;=49,"#49:","")</f>
      </c>
      <c r="E35" s="281"/>
      <c r="F35" s="336"/>
      <c r="G35" s="18"/>
      <c r="H35" s="24"/>
      <c r="I35" s="52"/>
      <c r="J35" s="23">
        <v>35</v>
      </c>
      <c r="K35" s="22">
        <v>32</v>
      </c>
      <c r="L35" s="96" t="s">
        <v>139</v>
      </c>
      <c r="M35" s="55">
        <f>IF($C$9&gt;=32,$F18,IF($K35=$C$9+1,$M$4,""))</f>
      </c>
      <c r="N35" s="55">
        <f>IF($C$9&gt;=32,$E18,IF($K35=$C$9+1,$N$4,""))</f>
      </c>
      <c r="O35" s="55">
        <f t="shared" si="0"/>
      </c>
      <c r="P35" s="55">
        <f t="shared" si="1"/>
      </c>
      <c r="Q35" s="55">
        <f t="shared" si="2"/>
      </c>
      <c r="R35" s="55">
        <f t="shared" si="3"/>
      </c>
      <c r="S35" s="55">
        <f t="shared" si="4"/>
      </c>
      <c r="T35" s="55">
        <f t="shared" si="5"/>
      </c>
      <c r="U35" s="55">
        <f t="shared" si="6"/>
      </c>
      <c r="V35" s="55">
        <f t="shared" si="7"/>
      </c>
      <c r="W35" s="55">
        <f t="shared" si="8"/>
      </c>
      <c r="X35" s="55">
        <f t="shared" si="9"/>
      </c>
      <c r="Y35" s="55">
        <f t="shared" si="10"/>
      </c>
      <c r="Z35" s="55">
        <f t="shared" si="11"/>
      </c>
    </row>
    <row r="36" spans="1:28" ht="12.75">
      <c r="A36" s="36">
        <f>IF($C$9&gt;=25,"#25:","")</f>
      </c>
      <c r="B36" s="282"/>
      <c r="C36" s="279"/>
      <c r="D36" s="82">
        <f>IF($C$9&gt;=50,"#50:","")</f>
      </c>
      <c r="E36" s="282"/>
      <c r="F36" s="279"/>
      <c r="G36" s="256" t="s">
        <v>242</v>
      </c>
      <c r="H36" s="24"/>
      <c r="I36" s="258" t="s">
        <v>248</v>
      </c>
      <c r="J36" s="23">
        <v>36</v>
      </c>
      <c r="K36" s="22">
        <v>33</v>
      </c>
      <c r="L36" s="96" t="s">
        <v>140</v>
      </c>
      <c r="M36" s="55">
        <f>IF($C$9&gt;=33,$F19,IF($K36=$C$9+1,$M$4,""))</f>
      </c>
      <c r="N36" s="55">
        <f>IF($C$9&gt;=33,$E19,IF($K36=$C$9+1,$N$4,""))</f>
      </c>
      <c r="O36" s="55">
        <f t="shared" si="0"/>
      </c>
      <c r="P36" s="55">
        <f t="shared" si="1"/>
      </c>
      <c r="Q36" s="55">
        <f t="shared" si="2"/>
      </c>
      <c r="R36" s="55">
        <f t="shared" si="3"/>
      </c>
      <c r="S36" s="55">
        <f t="shared" si="4"/>
      </c>
      <c r="T36" s="55">
        <f t="shared" si="5"/>
      </c>
      <c r="U36" s="55">
        <f t="shared" si="6"/>
      </c>
      <c r="V36" s="55">
        <f t="shared" si="7"/>
      </c>
      <c r="W36" s="55">
        <f t="shared" si="8"/>
      </c>
      <c r="X36" s="55">
        <f t="shared" si="9"/>
      </c>
      <c r="Y36" s="55">
        <f t="shared" si="10"/>
      </c>
      <c r="Z36" s="55">
        <f t="shared" si="11"/>
      </c>
      <c r="AB36" s="255"/>
    </row>
    <row r="37" spans="1:28" ht="12.75">
      <c r="A37" s="40"/>
      <c r="B37" s="338" t="str">
        <f>IF($C$9&lt;50,"Note:","")</f>
        <v>Note:</v>
      </c>
      <c r="C37" s="251" t="str">
        <f>IF($C$9&lt;50,"For plot of section to be 'closed'","")</f>
        <v>For plot of section to be ''closed''</v>
      </c>
      <c r="D37" s="252"/>
      <c r="E37" s="51"/>
      <c r="F37" s="51"/>
      <c r="G37" s="257"/>
      <c r="H37" s="256" t="s">
        <v>245</v>
      </c>
      <c r="I37" s="260"/>
      <c r="J37" s="23">
        <v>37</v>
      </c>
      <c r="K37" s="22">
        <v>34</v>
      </c>
      <c r="L37" s="96" t="s">
        <v>141</v>
      </c>
      <c r="M37" s="55">
        <f>IF($C$9&gt;=34,$F20,IF($K37=$C$9+1,$M$4,""))</f>
      </c>
      <c r="N37" s="55">
        <f>IF($C$9&gt;=34,$E20,IF($K37=$C$9+1,$N$4,""))</f>
      </c>
      <c r="O37" s="55">
        <f t="shared" si="0"/>
      </c>
      <c r="P37" s="55">
        <f t="shared" si="1"/>
      </c>
      <c r="Q37" s="55">
        <f t="shared" si="2"/>
      </c>
      <c r="R37" s="55">
        <f t="shared" si="3"/>
      </c>
      <c r="S37" s="55">
        <f t="shared" si="4"/>
      </c>
      <c r="T37" s="55">
        <f t="shared" si="5"/>
      </c>
      <c r="U37" s="55">
        <f t="shared" si="6"/>
      </c>
      <c r="V37" s="55">
        <f t="shared" si="7"/>
      </c>
      <c r="W37" s="55">
        <f t="shared" si="8"/>
      </c>
      <c r="X37" s="55">
        <f t="shared" si="9"/>
      </c>
      <c r="Y37" s="55">
        <f t="shared" si="10"/>
      </c>
      <c r="Z37" s="55">
        <f t="shared" si="11"/>
      </c>
      <c r="AB37" s="262"/>
    </row>
    <row r="38" spans="1:28" ht="12.75">
      <c r="A38" s="40"/>
      <c r="B38" s="18"/>
      <c r="C38" s="320" t="str">
        <f>IF($C$9&lt;50,"it may be required to re-input the Point #1","")</f>
        <v>it may be required to re-input the Point #1</v>
      </c>
      <c r="D38" s="251"/>
      <c r="E38" s="18"/>
      <c r="F38" s="18"/>
      <c r="G38" s="18"/>
      <c r="H38" s="24"/>
      <c r="I38" s="261" t="s">
        <v>240</v>
      </c>
      <c r="J38" s="23">
        <v>38</v>
      </c>
      <c r="K38" s="22">
        <v>35</v>
      </c>
      <c r="L38" s="96" t="s">
        <v>142</v>
      </c>
      <c r="M38" s="55">
        <f>IF($C$9&gt;=35,$F21,IF($K38=$C$9+1,$M$4,""))</f>
      </c>
      <c r="N38" s="55">
        <f>IF($C$9&gt;=35,$E21,IF($K38=$C$9+1,$N$4,""))</f>
      </c>
      <c r="O38" s="55">
        <f t="shared" si="0"/>
      </c>
      <c r="P38" s="55">
        <f t="shared" si="1"/>
      </c>
      <c r="Q38" s="55">
        <f t="shared" si="2"/>
      </c>
      <c r="R38" s="55">
        <f t="shared" si="3"/>
      </c>
      <c r="S38" s="55">
        <f t="shared" si="4"/>
      </c>
      <c r="T38" s="55">
        <f t="shared" si="5"/>
      </c>
      <c r="U38" s="55">
        <f t="shared" si="6"/>
      </c>
      <c r="V38" s="55">
        <f t="shared" si="7"/>
      </c>
      <c r="W38" s="55">
        <f t="shared" si="8"/>
      </c>
      <c r="X38" s="55">
        <f t="shared" si="9"/>
      </c>
      <c r="Y38" s="55">
        <f t="shared" si="10"/>
      </c>
      <c r="Z38" s="55">
        <f t="shared" si="11"/>
      </c>
      <c r="AB38" s="255"/>
    </row>
    <row r="39" spans="1:26" ht="12.75">
      <c r="A39" s="69" t="s">
        <v>7</v>
      </c>
      <c r="B39" s="70"/>
      <c r="C39" s="251" t="str">
        <f>IF($C$9&lt;50,"coord's. ("&amp;$B$12&amp;","&amp;$C$12&amp;") directly after last of "&amp;$C$9&amp;".","")</f>
        <v>coord's. (0,0) directly after last of 6.</v>
      </c>
      <c r="D39" s="251"/>
      <c r="E39" s="18"/>
      <c r="F39" s="18"/>
      <c r="G39" s="18"/>
      <c r="H39" s="263" t="s">
        <v>265</v>
      </c>
      <c r="I39" s="264"/>
      <c r="J39" s="23">
        <v>39</v>
      </c>
      <c r="K39" s="22">
        <v>36</v>
      </c>
      <c r="L39" s="67" t="s">
        <v>143</v>
      </c>
      <c r="M39" s="55">
        <f>IF($C$9&gt;=36,$F22,IF($K39=$C$9+1,$M$4,""))</f>
      </c>
      <c r="N39" s="55">
        <f>IF($C$9&gt;=36,$E22,IF($K39=$C$9+1,$N$4,""))</f>
      </c>
      <c r="O39" s="55">
        <f t="shared" si="0"/>
      </c>
      <c r="P39" s="55">
        <f t="shared" si="1"/>
      </c>
      <c r="Q39" s="55">
        <f t="shared" si="2"/>
      </c>
      <c r="R39" s="55">
        <f t="shared" si="3"/>
      </c>
      <c r="S39" s="55">
        <f t="shared" si="4"/>
      </c>
      <c r="T39" s="55">
        <f t="shared" si="5"/>
      </c>
      <c r="U39" s="55">
        <f t="shared" si="6"/>
      </c>
      <c r="V39" s="55">
        <f t="shared" si="7"/>
      </c>
      <c r="W39" s="55">
        <f t="shared" si="8"/>
      </c>
      <c r="X39" s="55">
        <f t="shared" si="9"/>
      </c>
      <c r="Y39" s="55">
        <f t="shared" si="10"/>
      </c>
      <c r="Z39" s="55">
        <f t="shared" si="11"/>
      </c>
    </row>
    <row r="40" spans="1:26" ht="12.75">
      <c r="A40" s="71"/>
      <c r="B40" s="18"/>
      <c r="C40" s="320"/>
      <c r="D40" s="251"/>
      <c r="E40" s="18"/>
      <c r="F40" s="18"/>
      <c r="G40" s="18"/>
      <c r="H40" s="103"/>
      <c r="I40" s="117"/>
      <c r="J40" s="23">
        <v>40</v>
      </c>
      <c r="K40" s="22">
        <v>37</v>
      </c>
      <c r="L40" s="67" t="s">
        <v>144</v>
      </c>
      <c r="M40" s="55">
        <f>IF($C$9&gt;=37,$F23,IF($K40=$C$9+1,$M$4,""))</f>
      </c>
      <c r="N40" s="55">
        <f>IF($C$9&gt;=37,$E23,IF($K40=$C$9+1,$N$4,""))</f>
      </c>
      <c r="O40" s="55">
        <f t="shared" si="0"/>
      </c>
      <c r="P40" s="55">
        <f t="shared" si="1"/>
      </c>
      <c r="Q40" s="55">
        <f t="shared" si="2"/>
      </c>
      <c r="R40" s="55">
        <f t="shared" si="3"/>
      </c>
      <c r="S40" s="55">
        <f t="shared" si="4"/>
      </c>
      <c r="T40" s="55">
        <f t="shared" si="5"/>
      </c>
      <c r="U40" s="55">
        <f t="shared" si="6"/>
      </c>
      <c r="V40" s="55">
        <f t="shared" si="7"/>
      </c>
      <c r="W40" s="55">
        <f t="shared" si="8"/>
      </c>
      <c r="X40" s="55">
        <f t="shared" si="9"/>
      </c>
      <c r="Y40" s="55">
        <f t="shared" si="10"/>
      </c>
      <c r="Z40" s="55">
        <f t="shared" si="11"/>
      </c>
    </row>
    <row r="41" spans="1:26" ht="12.75">
      <c r="A41" s="74" t="s">
        <v>104</v>
      </c>
      <c r="B41" s="75"/>
      <c r="C41" s="18"/>
      <c r="D41" s="72" t="s">
        <v>102</v>
      </c>
      <c r="E41" s="73"/>
      <c r="F41" s="18"/>
      <c r="G41" s="72" t="s">
        <v>103</v>
      </c>
      <c r="H41" s="73"/>
      <c r="I41" s="54"/>
      <c r="J41" s="23">
        <v>41</v>
      </c>
      <c r="K41" s="22">
        <v>38</v>
      </c>
      <c r="L41" s="67" t="s">
        <v>145</v>
      </c>
      <c r="M41" s="55">
        <f>IF($C$9&gt;=38,$F24,IF($K41=$C$9+1,$M$4,""))</f>
      </c>
      <c r="N41" s="55">
        <f>IF($C$9&gt;=38,$E24,IF($K41=$C$9+1,$N$4,""))</f>
      </c>
      <c r="O41" s="55">
        <f t="shared" si="0"/>
      </c>
      <c r="P41" s="55">
        <f t="shared" si="1"/>
      </c>
      <c r="Q41" s="55">
        <f t="shared" si="2"/>
      </c>
      <c r="R41" s="55">
        <f t="shared" si="3"/>
      </c>
      <c r="S41" s="55">
        <f t="shared" si="4"/>
      </c>
      <c r="T41" s="55">
        <f t="shared" si="5"/>
      </c>
      <c r="U41" s="55">
        <f t="shared" si="6"/>
      </c>
      <c r="V41" s="55">
        <f t="shared" si="7"/>
      </c>
      <c r="W41" s="55">
        <f t="shared" si="8"/>
      </c>
      <c r="X41" s="55">
        <f t="shared" si="9"/>
      </c>
      <c r="Y41" s="55">
        <f t="shared" si="10"/>
      </c>
      <c r="Z41" s="55">
        <f t="shared" si="11"/>
      </c>
    </row>
    <row r="42" spans="1:26" ht="12.75">
      <c r="A42" s="81" t="s">
        <v>5</v>
      </c>
      <c r="B42" s="270">
        <f>$M$63</f>
        <v>0.5964285714285714</v>
      </c>
      <c r="C42" s="73"/>
      <c r="D42" s="76" t="s">
        <v>29</v>
      </c>
      <c r="E42" s="273">
        <f>$M$65</f>
        <v>8.400232514880953</v>
      </c>
      <c r="F42" s="73"/>
      <c r="G42" s="76" t="s">
        <v>67</v>
      </c>
      <c r="H42" s="273">
        <f>$M$71</f>
        <v>8.954804993318419</v>
      </c>
      <c r="I42" s="83"/>
      <c r="J42" s="23">
        <v>42</v>
      </c>
      <c r="K42" s="22">
        <v>39</v>
      </c>
      <c r="L42" s="67" t="s">
        <v>146</v>
      </c>
      <c r="M42" s="55">
        <f>IF($C$9&gt;=39,$F25,IF($K42=$C$9+1,$M$4,""))</f>
      </c>
      <c r="N42" s="55">
        <f>IF($C$9&gt;=39,$E25,IF($K42=$C$9+1,$N$4,""))</f>
      </c>
      <c r="O42" s="55">
        <f t="shared" si="0"/>
      </c>
      <c r="P42" s="55">
        <f t="shared" si="1"/>
      </c>
      <c r="Q42" s="55">
        <f t="shared" si="2"/>
      </c>
      <c r="R42" s="55">
        <f t="shared" si="3"/>
      </c>
      <c r="S42" s="55">
        <f t="shared" si="4"/>
      </c>
      <c r="T42" s="55">
        <f t="shared" si="5"/>
      </c>
      <c r="U42" s="55">
        <f t="shared" si="6"/>
      </c>
      <c r="V42" s="55">
        <f t="shared" si="7"/>
      </c>
      <c r="W42" s="55">
        <f t="shared" si="8"/>
      </c>
      <c r="X42" s="55">
        <f t="shared" si="9"/>
      </c>
      <c r="Y42" s="55">
        <f t="shared" si="10"/>
      </c>
      <c r="Z42" s="55">
        <f t="shared" si="11"/>
      </c>
    </row>
    <row r="43" spans="1:26" ht="12.75">
      <c r="A43" s="81" t="s">
        <v>6</v>
      </c>
      <c r="B43" s="271">
        <f>$M$64</f>
        <v>2.0964285714285715</v>
      </c>
      <c r="C43" s="18"/>
      <c r="D43" s="76" t="s">
        <v>30</v>
      </c>
      <c r="E43" s="275">
        <f>$M$66</f>
        <v>1.5017950148809525</v>
      </c>
      <c r="F43" s="98"/>
      <c r="G43" s="76" t="s">
        <v>68</v>
      </c>
      <c r="H43" s="275">
        <f>$M$72</f>
        <v>0.947222536443487</v>
      </c>
      <c r="I43" s="83"/>
      <c r="J43" s="23">
        <v>43</v>
      </c>
      <c r="K43" s="22">
        <v>40</v>
      </c>
      <c r="L43" s="67" t="s">
        <v>147</v>
      </c>
      <c r="M43" s="55">
        <f>IF($C$9&gt;=40,$F26,IF($K43=$C$9+1,$M$4,""))</f>
      </c>
      <c r="N43" s="55">
        <f>IF($C$9&gt;=40,$E26,IF($K43=$C$9+1,$N$4,""))</f>
      </c>
      <c r="O43" s="55">
        <f t="shared" si="0"/>
      </c>
      <c r="P43" s="55">
        <f t="shared" si="1"/>
      </c>
      <c r="Q43" s="55">
        <f t="shared" si="2"/>
      </c>
      <c r="R43" s="55">
        <f t="shared" si="3"/>
      </c>
      <c r="S43" s="55">
        <f t="shared" si="4"/>
      </c>
      <c r="T43" s="55">
        <f t="shared" si="5"/>
      </c>
      <c r="U43" s="55">
        <f t="shared" si="6"/>
      </c>
      <c r="V43" s="55">
        <f t="shared" si="7"/>
      </c>
      <c r="W43" s="55">
        <f t="shared" si="8"/>
      </c>
      <c r="X43" s="55">
        <f t="shared" si="9"/>
      </c>
      <c r="Y43" s="55">
        <f t="shared" si="10"/>
      </c>
      <c r="Z43" s="55">
        <f t="shared" si="11"/>
      </c>
    </row>
    <row r="44" spans="1:26" ht="12.75">
      <c r="A44" s="36" t="s">
        <v>60</v>
      </c>
      <c r="B44" s="272">
        <f>$M$57</f>
        <v>2.1875</v>
      </c>
      <c r="C44" s="18"/>
      <c r="D44" s="76" t="s">
        <v>63</v>
      </c>
      <c r="E44" s="275">
        <f>$M$67</f>
        <v>-2.0330357142857145</v>
      </c>
      <c r="F44" s="98"/>
      <c r="G44" s="76" t="s">
        <v>69</v>
      </c>
      <c r="H44" s="275">
        <f>$M$73</f>
        <v>0</v>
      </c>
      <c r="I44" s="83"/>
      <c r="J44" s="23">
        <v>44</v>
      </c>
      <c r="K44" s="22">
        <v>41</v>
      </c>
      <c r="L44" s="67" t="s">
        <v>148</v>
      </c>
      <c r="M44" s="55">
        <f>IF($C$9&gt;=41,$F27,IF($K44=$C$9+1,$M$4,""))</f>
      </c>
      <c r="N44" s="55">
        <f>IF($C$9&gt;=41,$E27,IF($K44=$C$9+1,$N$4,""))</f>
      </c>
      <c r="O44" s="55">
        <f t="shared" si="0"/>
      </c>
      <c r="P44" s="55">
        <f t="shared" si="1"/>
      </c>
      <c r="Q44" s="55">
        <f t="shared" si="2"/>
      </c>
      <c r="R44" s="55">
        <f t="shared" si="3"/>
      </c>
      <c r="S44" s="55">
        <f t="shared" si="4"/>
      </c>
      <c r="T44" s="55">
        <f t="shared" si="5"/>
      </c>
      <c r="U44" s="55">
        <f t="shared" si="6"/>
      </c>
      <c r="V44" s="55">
        <f t="shared" si="7"/>
      </c>
      <c r="W44" s="55">
        <f t="shared" si="8"/>
      </c>
      <c r="X44" s="55">
        <f t="shared" si="9"/>
      </c>
      <c r="Y44" s="55">
        <f t="shared" si="10"/>
      </c>
      <c r="Z44" s="55">
        <f t="shared" si="11"/>
      </c>
    </row>
    <row r="45" spans="1:26" ht="12.75">
      <c r="A45" s="81"/>
      <c r="B45" s="55"/>
      <c r="C45" s="18"/>
      <c r="D45" s="82" t="s">
        <v>64</v>
      </c>
      <c r="E45" s="276">
        <f>$M$68</f>
        <v>1.959618915125338</v>
      </c>
      <c r="F45" s="98"/>
      <c r="G45" s="82" t="s">
        <v>70</v>
      </c>
      <c r="H45" s="276">
        <f>$M$74</f>
        <v>2.023270901239551</v>
      </c>
      <c r="I45" s="118"/>
      <c r="J45" s="23">
        <v>45</v>
      </c>
      <c r="K45" s="22">
        <v>42</v>
      </c>
      <c r="L45" s="96" t="s">
        <v>149</v>
      </c>
      <c r="M45" s="55">
        <f>IF($C$9&gt;=42,$F28,IF($K45=$C$9+1,$M$4,""))</f>
      </c>
      <c r="N45" s="55">
        <f>IF($C$9&gt;=42,$E28,IF($K45=$C$9+1,$N$4,""))</f>
      </c>
      <c r="O45" s="55">
        <f t="shared" si="0"/>
      </c>
      <c r="P45" s="55">
        <f t="shared" si="1"/>
      </c>
      <c r="Q45" s="55">
        <f t="shared" si="2"/>
      </c>
      <c r="R45" s="55">
        <f t="shared" si="3"/>
      </c>
      <c r="S45" s="55">
        <f t="shared" si="4"/>
      </c>
      <c r="T45" s="55">
        <f t="shared" si="5"/>
      </c>
      <c r="U45" s="55">
        <f t="shared" si="6"/>
      </c>
      <c r="V45" s="55">
        <f t="shared" si="7"/>
      </c>
      <c r="W45" s="55">
        <f t="shared" si="8"/>
      </c>
      <c r="X45" s="55">
        <f t="shared" si="9"/>
      </c>
      <c r="Y45" s="55">
        <f t="shared" si="10"/>
      </c>
      <c r="Z45" s="55">
        <f t="shared" si="11"/>
      </c>
    </row>
    <row r="46" spans="1:26" ht="12.75">
      <c r="A46" s="119"/>
      <c r="B46" s="55"/>
      <c r="C46" s="98"/>
      <c r="D46" s="82" t="s">
        <v>65</v>
      </c>
      <c r="E46" s="272">
        <f>$M$69</f>
        <v>0.8285739942489013</v>
      </c>
      <c r="F46" s="45"/>
      <c r="G46" s="82" t="s">
        <v>71</v>
      </c>
      <c r="H46" s="276">
        <f>$M$75</f>
        <v>0.658039525150184</v>
      </c>
      <c r="I46" s="118"/>
      <c r="J46" s="23">
        <v>46</v>
      </c>
      <c r="K46" s="22">
        <v>43</v>
      </c>
      <c r="L46" s="96" t="s">
        <v>150</v>
      </c>
      <c r="M46" s="55">
        <f>IF($C$9&gt;=43,$F29,IF($K46=$C$9+1,$M$4,""))</f>
      </c>
      <c r="N46" s="55">
        <f>IF($C$9&gt;=43,$E29,IF($K46=$C$9+1,$N$4,""))</f>
      </c>
      <c r="O46" s="55">
        <f t="shared" si="0"/>
      </c>
      <c r="P46" s="55">
        <f t="shared" si="1"/>
      </c>
      <c r="Q46" s="55">
        <f t="shared" si="2"/>
      </c>
      <c r="R46" s="55">
        <f t="shared" si="3"/>
      </c>
      <c r="S46" s="55">
        <f t="shared" si="4"/>
      </c>
      <c r="T46" s="55">
        <f t="shared" si="5"/>
      </c>
      <c r="U46" s="55">
        <f t="shared" si="6"/>
      </c>
      <c r="V46" s="55">
        <f t="shared" si="7"/>
      </c>
      <c r="W46" s="55">
        <f t="shared" si="8"/>
      </c>
      <c r="X46" s="55">
        <f t="shared" si="9"/>
      </c>
      <c r="Y46" s="55">
        <f t="shared" si="10"/>
      </c>
      <c r="Z46" s="55">
        <f t="shared" si="11"/>
      </c>
    </row>
    <row r="47" spans="1:26" ht="12.75">
      <c r="A47" s="119"/>
      <c r="B47" s="55"/>
      <c r="C47" s="44"/>
      <c r="D47" s="97"/>
      <c r="E47" s="70"/>
      <c r="F47" s="45"/>
      <c r="G47" s="85" t="s">
        <v>101</v>
      </c>
      <c r="H47" s="272">
        <f>$M$70</f>
        <v>15.257956699373134</v>
      </c>
      <c r="I47" s="118"/>
      <c r="J47" s="23">
        <v>47</v>
      </c>
      <c r="K47" s="22">
        <v>44</v>
      </c>
      <c r="L47" s="96" t="s">
        <v>151</v>
      </c>
      <c r="M47" s="55">
        <f>IF($C$9&gt;=44,$F30,IF($K47=$C$9+1,$M$4,""))</f>
      </c>
      <c r="N47" s="55">
        <f>IF($C$9&gt;=44,$E30,IF($K47=$C$9+1,$N$4,""))</f>
      </c>
      <c r="O47" s="55">
        <f t="shared" si="0"/>
      </c>
      <c r="P47" s="55">
        <f t="shared" si="1"/>
      </c>
      <c r="Q47" s="55">
        <f t="shared" si="2"/>
      </c>
      <c r="R47" s="55">
        <f t="shared" si="3"/>
      </c>
      <c r="S47" s="55">
        <f t="shared" si="4"/>
      </c>
      <c r="T47" s="55">
        <f t="shared" si="5"/>
      </c>
      <c r="U47" s="55">
        <f t="shared" si="6"/>
      </c>
      <c r="V47" s="55">
        <f t="shared" si="7"/>
      </c>
      <c r="W47" s="55">
        <f t="shared" si="8"/>
      </c>
      <c r="X47" s="55">
        <f t="shared" si="9"/>
      </c>
      <c r="Y47" s="55">
        <f t="shared" si="10"/>
      </c>
      <c r="Z47" s="55">
        <f t="shared" si="11"/>
      </c>
    </row>
    <row r="48" spans="1:26" ht="12.75">
      <c r="A48" s="40"/>
      <c r="B48" s="18"/>
      <c r="C48" s="18"/>
      <c r="D48" s="18"/>
      <c r="E48" s="18"/>
      <c r="F48" s="18"/>
      <c r="G48" s="18"/>
      <c r="H48" s="18"/>
      <c r="I48" s="118"/>
      <c r="J48" s="23">
        <v>48</v>
      </c>
      <c r="K48" s="22">
        <v>45</v>
      </c>
      <c r="L48" s="96" t="s">
        <v>152</v>
      </c>
      <c r="M48" s="55">
        <f>IF($C$9&gt;=45,$F31,IF($K48=$C$9+1,$M$4,""))</f>
      </c>
      <c r="N48" s="55">
        <f>IF($C$9&gt;=45,$E31,IF($K48=$C$9+1,$N$4,""))</f>
      </c>
      <c r="O48" s="55">
        <f t="shared" si="0"/>
      </c>
      <c r="P48" s="55">
        <f t="shared" si="1"/>
      </c>
      <c r="Q48" s="55">
        <f t="shared" si="2"/>
      </c>
      <c r="R48" s="55">
        <f t="shared" si="3"/>
      </c>
      <c r="S48" s="55">
        <f t="shared" si="4"/>
      </c>
      <c r="T48" s="55">
        <f t="shared" si="5"/>
      </c>
      <c r="U48" s="55">
        <f t="shared" si="6"/>
      </c>
      <c r="V48" s="55">
        <f t="shared" si="7"/>
      </c>
      <c r="W48" s="55">
        <f t="shared" si="8"/>
      </c>
      <c r="X48" s="55">
        <f t="shared" si="9"/>
      </c>
      <c r="Y48" s="55">
        <f t="shared" si="10"/>
      </c>
      <c r="Z48" s="55">
        <f t="shared" si="11"/>
      </c>
    </row>
    <row r="49" spans="1:26" ht="12.75">
      <c r="A49" s="40"/>
      <c r="B49" s="18"/>
      <c r="C49" s="18"/>
      <c r="D49" s="18"/>
      <c r="E49" s="18"/>
      <c r="F49" s="18"/>
      <c r="G49" s="18"/>
      <c r="H49" s="18"/>
      <c r="I49" s="118"/>
      <c r="J49" s="23">
        <v>49</v>
      </c>
      <c r="K49" s="22">
        <v>46</v>
      </c>
      <c r="L49" s="67" t="s">
        <v>153</v>
      </c>
      <c r="M49" s="55">
        <f>IF($C$9&gt;=46,$F32,IF($K49=$C$9+1,$M$4,""))</f>
      </c>
      <c r="N49" s="55">
        <f>IF($C$9&gt;=46,$E32,IF($K49=$C$9+1,$N$4,""))</f>
      </c>
      <c r="O49" s="55">
        <f t="shared" si="0"/>
      </c>
      <c r="P49" s="55">
        <f t="shared" si="1"/>
      </c>
      <c r="Q49" s="55">
        <f t="shared" si="2"/>
      </c>
      <c r="R49" s="55">
        <f t="shared" si="3"/>
      </c>
      <c r="S49" s="55">
        <f t="shared" si="4"/>
      </c>
      <c r="T49" s="55">
        <f t="shared" si="5"/>
      </c>
      <c r="U49" s="55">
        <f t="shared" si="6"/>
      </c>
      <c r="V49" s="55">
        <f t="shared" si="7"/>
      </c>
      <c r="W49" s="55">
        <f t="shared" si="8"/>
      </c>
      <c r="X49" s="55">
        <f t="shared" si="9"/>
      </c>
      <c r="Y49" s="55">
        <f t="shared" si="10"/>
      </c>
      <c r="Z49" s="55">
        <f t="shared" si="11"/>
      </c>
    </row>
    <row r="50" spans="1:32" ht="12.75">
      <c r="A50" s="91"/>
      <c r="B50" s="92"/>
      <c r="C50" s="92"/>
      <c r="D50" s="92"/>
      <c r="E50" s="92"/>
      <c r="F50" s="92"/>
      <c r="G50" s="92"/>
      <c r="H50" s="92"/>
      <c r="I50" s="93"/>
      <c r="J50" s="23">
        <v>50</v>
      </c>
      <c r="K50" s="22">
        <v>47</v>
      </c>
      <c r="L50" s="67" t="s">
        <v>154</v>
      </c>
      <c r="M50" s="55">
        <f>IF($C$9&gt;=47,$F33,IF($K50=$C$9+1,$M$4,""))</f>
      </c>
      <c r="N50" s="55">
        <f>IF($C$9&gt;=47,$E33,IF($K50=$C$9+1,$N$4,""))</f>
      </c>
      <c r="O50" s="55">
        <f t="shared" si="0"/>
      </c>
      <c r="P50" s="55">
        <f t="shared" si="1"/>
      </c>
      <c r="Q50" s="55">
        <f t="shared" si="2"/>
      </c>
      <c r="R50" s="55">
        <f t="shared" si="3"/>
      </c>
      <c r="S50" s="55">
        <f t="shared" si="4"/>
      </c>
      <c r="T50" s="55">
        <f t="shared" si="5"/>
      </c>
      <c r="U50" s="55">
        <f t="shared" si="6"/>
      </c>
      <c r="V50" s="55">
        <f t="shared" si="7"/>
      </c>
      <c r="W50" s="55">
        <f t="shared" si="8"/>
      </c>
      <c r="X50" s="55">
        <f t="shared" si="9"/>
      </c>
      <c r="Y50" s="55">
        <f t="shared" si="10"/>
      </c>
      <c r="Z50" s="55">
        <f t="shared" si="11"/>
      </c>
      <c r="AF50" s="253"/>
    </row>
    <row r="51" spans="9:32" ht="12.75">
      <c r="I51" s="18"/>
      <c r="K51" s="22">
        <v>48</v>
      </c>
      <c r="L51" s="67" t="s">
        <v>155</v>
      </c>
      <c r="M51" s="55">
        <f>IF($C$9&gt;=48,$F34,IF($K51=$C$9+1,$M$4,""))</f>
      </c>
      <c r="N51" s="55">
        <f>IF($C$9&gt;=48,$E34,IF($K51=$C$9+1,$N$4,""))</f>
      </c>
      <c r="O51" s="55">
        <f t="shared" si="0"/>
      </c>
      <c r="P51" s="55">
        <f t="shared" si="1"/>
      </c>
      <c r="Q51" s="55">
        <f t="shared" si="2"/>
      </c>
      <c r="R51" s="55">
        <f t="shared" si="3"/>
      </c>
      <c r="S51" s="55">
        <f t="shared" si="4"/>
      </c>
      <c r="T51" s="55">
        <f t="shared" si="5"/>
      </c>
      <c r="U51" s="55">
        <f t="shared" si="6"/>
      </c>
      <c r="V51" s="55">
        <f t="shared" si="7"/>
      </c>
      <c r="W51" s="55">
        <f t="shared" si="8"/>
      </c>
      <c r="X51" s="55">
        <f t="shared" si="9"/>
      </c>
      <c r="Y51" s="55">
        <f t="shared" si="10"/>
      </c>
      <c r="Z51" s="55">
        <f t="shared" si="11"/>
      </c>
      <c r="AF51" s="254"/>
    </row>
    <row r="52" spans="9:26" ht="12.75">
      <c r="I52" s="18"/>
      <c r="K52" s="22">
        <v>49</v>
      </c>
      <c r="L52" s="67" t="s">
        <v>156</v>
      </c>
      <c r="M52" s="55">
        <f>IF($C$9&gt;=49,$F35,IF($K52=$C$9+1,$M$4,""))</f>
      </c>
      <c r="N52" s="55">
        <f>IF($C$9&gt;=49,$E35,IF($K52=$C$9+1,$N$4,""))</f>
      </c>
      <c r="O52" s="55">
        <f t="shared" si="0"/>
      </c>
      <c r="P52" s="55">
        <f t="shared" si="1"/>
      </c>
      <c r="Q52" s="55">
        <f t="shared" si="2"/>
      </c>
      <c r="R52" s="55">
        <f t="shared" si="3"/>
      </c>
      <c r="S52" s="55">
        <f t="shared" si="4"/>
      </c>
      <c r="T52" s="55">
        <f t="shared" si="5"/>
      </c>
      <c r="U52" s="55">
        <f t="shared" si="6"/>
      </c>
      <c r="V52" s="55">
        <f t="shared" si="7"/>
      </c>
      <c r="W52" s="55">
        <f t="shared" si="8"/>
      </c>
      <c r="X52" s="55">
        <f t="shared" si="9"/>
      </c>
      <c r="Y52" s="55">
        <f t="shared" si="10"/>
      </c>
      <c r="Z52" s="55">
        <f t="shared" si="11"/>
      </c>
    </row>
    <row r="53" spans="9:26" ht="12.75">
      <c r="I53" s="18"/>
      <c r="K53" s="22">
        <v>50</v>
      </c>
      <c r="L53" s="67" t="s">
        <v>157</v>
      </c>
      <c r="M53" s="55">
        <f>IF($C$9=50,$F36,IF($K53=$C$9+1,$M$4,""))</f>
      </c>
      <c r="N53" s="55">
        <f>IF($C$9=50,$E36,IF($K53=$C$9+1,$N$4,""))</f>
      </c>
      <c r="O53" s="55">
        <f t="shared" si="0"/>
      </c>
      <c r="P53" s="55">
        <f t="shared" si="1"/>
      </c>
      <c r="Q53" s="55">
        <f t="shared" si="2"/>
      </c>
      <c r="R53" s="55">
        <f t="shared" si="3"/>
      </c>
      <c r="S53" s="55">
        <f t="shared" si="4"/>
      </c>
      <c r="T53" s="55">
        <f t="shared" si="5"/>
      </c>
      <c r="U53" s="55">
        <f t="shared" si="6"/>
      </c>
      <c r="V53" s="55">
        <f t="shared" si="7"/>
      </c>
      <c r="W53" s="55">
        <f t="shared" si="8"/>
      </c>
      <c r="X53" s="55">
        <f t="shared" si="9"/>
      </c>
      <c r="Y53" s="55">
        <f t="shared" si="10"/>
      </c>
      <c r="Z53" s="55">
        <f t="shared" si="11"/>
      </c>
    </row>
    <row r="54" spans="9:26" ht="12.75">
      <c r="I54" s="18"/>
      <c r="K54" s="22">
        <v>51</v>
      </c>
      <c r="L54" s="67" t="s">
        <v>158</v>
      </c>
      <c r="M54" s="55">
        <f>IF($C$9=50,$M$4,IF($K54=$C$9+1,$M$4,""))</f>
      </c>
      <c r="N54" s="55">
        <f>IF($C$9=50,$N$4,IF($K54=$C$9+1,$N$4,""))</f>
      </c>
      <c r="O54" s="55">
        <f t="shared" si="0"/>
      </c>
      <c r="P54" s="55">
        <f t="shared" si="1"/>
      </c>
      <c r="Q54" s="55">
        <f t="shared" si="2"/>
      </c>
      <c r="R54" s="55">
        <f t="shared" si="3"/>
      </c>
      <c r="S54" s="55">
        <f t="shared" si="4"/>
      </c>
      <c r="T54" s="55">
        <f t="shared" si="5"/>
      </c>
      <c r="U54" s="55">
        <f t="shared" si="6"/>
      </c>
      <c r="V54" s="55">
        <f t="shared" si="7"/>
      </c>
      <c r="W54" s="55">
        <f t="shared" si="8"/>
      </c>
      <c r="X54" s="55">
        <f t="shared" si="9"/>
      </c>
      <c r="Y54" s="55">
        <f t="shared" si="10"/>
      </c>
      <c r="Z54" s="55">
        <f t="shared" si="11"/>
      </c>
    </row>
    <row r="55" spans="9:22" ht="12.75">
      <c r="I55" s="77"/>
      <c r="O55" s="55"/>
      <c r="P55" s="55"/>
      <c r="Q55" s="55"/>
      <c r="R55" s="55"/>
      <c r="S55" s="28"/>
      <c r="T55" s="28"/>
      <c r="U55" s="80"/>
      <c r="V55" s="80"/>
    </row>
    <row r="56" spans="9:22" ht="12.75">
      <c r="I56" s="77"/>
      <c r="L56" s="64" t="s">
        <v>59</v>
      </c>
      <c r="M56" s="22"/>
      <c r="O56" s="55"/>
      <c r="P56" s="55"/>
      <c r="Q56" s="55"/>
      <c r="R56" s="55"/>
      <c r="S56" s="28"/>
      <c r="T56" s="28"/>
      <c r="U56" s="80"/>
      <c r="V56" s="80"/>
    </row>
    <row r="57" spans="9:22" ht="12.75">
      <c r="I57" s="18"/>
      <c r="L57" s="67" t="s">
        <v>60</v>
      </c>
      <c r="M57" s="68">
        <f>SUM($U$4:$U$54)</f>
        <v>2.1875</v>
      </c>
      <c r="O57" s="55"/>
      <c r="P57" s="55"/>
      <c r="Q57" s="55"/>
      <c r="R57" s="55"/>
      <c r="S57" s="28"/>
      <c r="T57" s="28"/>
      <c r="U57" s="80"/>
      <c r="V57" s="80"/>
    </row>
    <row r="58" spans="9:22" ht="12.75">
      <c r="I58" s="18"/>
      <c r="L58" s="65" t="s">
        <v>27</v>
      </c>
      <c r="M58" s="68">
        <f>SUM($V$4:$V$54)</f>
        <v>1.3046875</v>
      </c>
      <c r="O58" s="55"/>
      <c r="P58" s="55"/>
      <c r="Q58" s="55"/>
      <c r="R58" s="55"/>
      <c r="S58" s="28"/>
      <c r="T58" s="28"/>
      <c r="U58" s="80"/>
      <c r="V58" s="80"/>
    </row>
    <row r="59" spans="9:22" ht="12.75">
      <c r="I59" s="18"/>
      <c r="L59" s="65" t="s">
        <v>28</v>
      </c>
      <c r="M59" s="68">
        <f>SUM($W$4:$W$54)</f>
        <v>4.5859375</v>
      </c>
      <c r="O59" s="55"/>
      <c r="P59" s="55"/>
      <c r="Q59" s="55"/>
      <c r="R59" s="55"/>
      <c r="S59" s="28"/>
      <c r="T59" s="28"/>
      <c r="U59" s="80"/>
      <c r="V59" s="80"/>
    </row>
    <row r="60" spans="1:22" ht="12.75">
      <c r="A60" s="76"/>
      <c r="B60" s="55"/>
      <c r="C60" s="98"/>
      <c r="D60" s="97"/>
      <c r="E60" s="70"/>
      <c r="F60" s="45"/>
      <c r="G60" s="18"/>
      <c r="H60" s="18"/>
      <c r="I60" s="18"/>
      <c r="L60" s="65" t="s">
        <v>25</v>
      </c>
      <c r="M60" s="78">
        <f>SUM($X$4:$X$54)</f>
        <v>18.014322916666668</v>
      </c>
      <c r="O60" s="55"/>
      <c r="P60" s="55"/>
      <c r="Q60" s="55"/>
      <c r="R60" s="55"/>
      <c r="S60" s="28"/>
      <c r="T60" s="28"/>
      <c r="U60" s="80"/>
      <c r="V60" s="80"/>
    </row>
    <row r="61" spans="1:22" ht="12.75">
      <c r="A61" s="97"/>
      <c r="B61" s="34"/>
      <c r="C61" s="98"/>
      <c r="D61" s="18"/>
      <c r="E61" s="18"/>
      <c r="F61" s="18"/>
      <c r="G61" s="18"/>
      <c r="H61" s="18"/>
      <c r="I61" s="18"/>
      <c r="L61" s="65" t="s">
        <v>26</v>
      </c>
      <c r="M61" s="78">
        <f>SUM($Y$4:$Y$54)</f>
        <v>2.2799479166666665</v>
      </c>
      <c r="O61" s="55"/>
      <c r="P61" s="55"/>
      <c r="Q61" s="55"/>
      <c r="R61" s="55"/>
      <c r="S61" s="28"/>
      <c r="T61" s="28"/>
      <c r="U61" s="80"/>
      <c r="V61" s="80"/>
    </row>
    <row r="62" spans="1:22" ht="12.75">
      <c r="A62" s="18"/>
      <c r="B62" s="18"/>
      <c r="C62" s="18"/>
      <c r="D62" s="77"/>
      <c r="E62" s="120"/>
      <c r="F62" s="77"/>
      <c r="G62" s="77"/>
      <c r="H62" s="77"/>
      <c r="I62" s="77"/>
      <c r="L62" s="65" t="s">
        <v>62</v>
      </c>
      <c r="M62" s="78">
        <f>SUM($Z$4:$Z$54)</f>
        <v>0.7021484375</v>
      </c>
      <c r="O62" s="55"/>
      <c r="P62" s="55"/>
      <c r="Q62" s="55"/>
      <c r="R62" s="55"/>
      <c r="S62" s="28"/>
      <c r="T62" s="28"/>
      <c r="U62" s="80"/>
      <c r="V62" s="80"/>
    </row>
    <row r="63" spans="1:22" ht="12.75">
      <c r="A63" s="18"/>
      <c r="B63" s="18"/>
      <c r="C63" s="73"/>
      <c r="D63" s="73"/>
      <c r="E63" s="77"/>
      <c r="F63" s="73"/>
      <c r="G63" s="18"/>
      <c r="H63" s="73"/>
      <c r="I63" s="73"/>
      <c r="L63" s="30" t="s">
        <v>5</v>
      </c>
      <c r="M63" s="84">
        <f>$M$58/$M$57</f>
        <v>0.5964285714285714</v>
      </c>
      <c r="O63" s="55"/>
      <c r="P63" s="55"/>
      <c r="Q63" s="55"/>
      <c r="R63" s="55"/>
      <c r="S63" s="28"/>
      <c r="T63" s="28"/>
      <c r="U63" s="80"/>
      <c r="V63" s="80"/>
    </row>
    <row r="64" spans="1:22" ht="12.75">
      <c r="A64" s="18"/>
      <c r="B64" s="18"/>
      <c r="C64" s="47"/>
      <c r="D64" s="47"/>
      <c r="E64" s="47"/>
      <c r="F64" s="47"/>
      <c r="G64" s="18"/>
      <c r="H64" s="47"/>
      <c r="I64" s="47"/>
      <c r="L64" s="30" t="s">
        <v>6</v>
      </c>
      <c r="M64" s="84">
        <f>$M$59/$M$57</f>
        <v>2.0964285714285715</v>
      </c>
      <c r="O64" s="55"/>
      <c r="P64" s="55"/>
      <c r="Q64" s="55"/>
      <c r="R64" s="55"/>
      <c r="S64" s="28"/>
      <c r="T64" s="28"/>
      <c r="U64" s="80"/>
      <c r="V64" s="80"/>
    </row>
    <row r="65" spans="1:22" ht="12.75">
      <c r="A65" s="18"/>
      <c r="B65" s="82"/>
      <c r="C65" s="51"/>
      <c r="D65" s="51"/>
      <c r="E65" s="70"/>
      <c r="F65" s="70"/>
      <c r="G65" s="18"/>
      <c r="H65" s="70"/>
      <c r="I65" s="70"/>
      <c r="L65" s="89" t="s">
        <v>29</v>
      </c>
      <c r="M65" s="90">
        <f>$M$60-$M$57*$M$64^2</f>
        <v>8.400232514880953</v>
      </c>
      <c r="O65" s="55"/>
      <c r="P65" s="55"/>
      <c r="Q65" s="55"/>
      <c r="R65" s="55"/>
      <c r="S65" s="28"/>
      <c r="T65" s="28"/>
      <c r="U65" s="80"/>
      <c r="V65" s="80"/>
    </row>
    <row r="66" spans="1:22" ht="12.75">
      <c r="A66" s="18"/>
      <c r="B66" s="82"/>
      <c r="C66" s="51"/>
      <c r="D66" s="51"/>
      <c r="E66" s="73"/>
      <c r="F66" s="73"/>
      <c r="G66" s="18"/>
      <c r="H66" s="73"/>
      <c r="I66" s="73"/>
      <c r="L66" s="89" t="s">
        <v>30</v>
      </c>
      <c r="M66" s="90">
        <f>$M$61-$M$57*$M$63^2</f>
        <v>1.5017950148809525</v>
      </c>
      <c r="O66" s="55"/>
      <c r="P66" s="55"/>
      <c r="Q66" s="55"/>
      <c r="R66" s="55"/>
      <c r="S66" s="28"/>
      <c r="T66" s="28"/>
      <c r="U66" s="80"/>
      <c r="V66" s="80"/>
    </row>
    <row r="67" spans="1:22" ht="12.75">
      <c r="A67" s="18"/>
      <c r="B67" s="82"/>
      <c r="C67" s="51"/>
      <c r="D67" s="51"/>
      <c r="E67" s="47"/>
      <c r="F67" s="47"/>
      <c r="G67" s="18"/>
      <c r="H67" s="47"/>
      <c r="I67" s="47"/>
      <c r="L67" s="89" t="s">
        <v>63</v>
      </c>
      <c r="M67" s="90">
        <f>IF(ABS($M$62-$M$57*$M$63*$M$64)&lt;0.0005,0,$M$62-$M$57*$M$63*$M$64)</f>
        <v>-2.0330357142857145</v>
      </c>
      <c r="O67" s="55"/>
      <c r="P67" s="55"/>
      <c r="Q67" s="55"/>
      <c r="R67" s="55"/>
      <c r="S67" s="28"/>
      <c r="T67" s="28"/>
      <c r="U67" s="80"/>
      <c r="V67" s="80"/>
    </row>
    <row r="68" spans="1:22" ht="12.75">
      <c r="A68" s="18"/>
      <c r="B68" s="82"/>
      <c r="C68" s="51"/>
      <c r="D68" s="51"/>
      <c r="E68" s="70"/>
      <c r="F68" s="70"/>
      <c r="G68" s="82"/>
      <c r="H68" s="70"/>
      <c r="I68" s="70"/>
      <c r="L68" s="96" t="s">
        <v>64</v>
      </c>
      <c r="M68" s="84">
        <f>($M$65/$M$57)^(1/2)</f>
        <v>1.959618915125338</v>
      </c>
      <c r="N68" s="55"/>
      <c r="O68" s="55"/>
      <c r="P68" s="55"/>
      <c r="Q68" s="55"/>
      <c r="R68" s="55"/>
      <c r="S68" s="28"/>
      <c r="T68" s="28"/>
      <c r="U68" s="80"/>
      <c r="V68" s="80"/>
    </row>
    <row r="69" spans="1:22" ht="12.75">
      <c r="A69" s="18"/>
      <c r="B69" s="82"/>
      <c r="C69" s="51"/>
      <c r="D69" s="51"/>
      <c r="E69" s="70"/>
      <c r="F69" s="70"/>
      <c r="G69" s="82"/>
      <c r="H69" s="70"/>
      <c r="I69" s="70"/>
      <c r="L69" s="96" t="s">
        <v>65</v>
      </c>
      <c r="M69" s="84">
        <f>($M$66/$M$57)^(1/2)</f>
        <v>0.8285739942489013</v>
      </c>
      <c r="O69" s="55"/>
      <c r="P69" s="55"/>
      <c r="Q69" s="55"/>
      <c r="R69" s="55"/>
      <c r="S69" s="28"/>
      <c r="T69" s="28"/>
      <c r="U69" s="80"/>
      <c r="V69" s="80"/>
    </row>
    <row r="70" spans="1:22" ht="12.75">
      <c r="A70" s="18"/>
      <c r="B70" s="82"/>
      <c r="C70" s="51"/>
      <c r="D70" s="51"/>
      <c r="E70" s="70"/>
      <c r="F70" s="70"/>
      <c r="G70" s="82"/>
      <c r="H70" s="70"/>
      <c r="I70" s="70"/>
      <c r="L70" s="65" t="s">
        <v>97</v>
      </c>
      <c r="M70" s="95">
        <f>IF(ABS($M$65-$M$66)&lt;0.0005,IF($M$67&gt;0,-45,IF($M$67&lt;0,45,0)),DEGREES(ATAN(-2*$M$67/($M$65-$M$66))/2))</f>
        <v>15.257956699373134</v>
      </c>
      <c r="O70" s="55"/>
      <c r="P70" s="55"/>
      <c r="Q70" s="55"/>
      <c r="R70" s="55"/>
      <c r="S70" s="28"/>
      <c r="T70" s="28"/>
      <c r="U70" s="80"/>
      <c r="V70" s="80"/>
    </row>
    <row r="71" spans="1:22" ht="12.75">
      <c r="A71" s="18"/>
      <c r="B71" s="82"/>
      <c r="C71" s="51"/>
      <c r="D71" s="51"/>
      <c r="E71" s="70"/>
      <c r="F71" s="70"/>
      <c r="G71" s="82"/>
      <c r="H71" s="70"/>
      <c r="I71" s="70"/>
      <c r="L71" s="67" t="s">
        <v>67</v>
      </c>
      <c r="M71" s="78">
        <f>$M$65*COS($M$70*PI()/180)^2+$M$66*SIN($M$70*PI()/180)^2-$M$67*SIN(2*$M$70*PI()/180)</f>
        <v>8.954804993318419</v>
      </c>
      <c r="N71" s="55"/>
      <c r="O71" s="55"/>
      <c r="P71" s="55"/>
      <c r="Q71" s="55"/>
      <c r="R71" s="55"/>
      <c r="S71" s="28"/>
      <c r="T71" s="28"/>
      <c r="U71" s="80"/>
      <c r="V71" s="80"/>
    </row>
    <row r="72" spans="1:22" ht="12.75">
      <c r="A72" s="18"/>
      <c r="B72" s="82"/>
      <c r="C72" s="51"/>
      <c r="D72" s="51"/>
      <c r="E72" s="70"/>
      <c r="F72" s="70"/>
      <c r="G72" s="82"/>
      <c r="H72" s="70"/>
      <c r="I72" s="70"/>
      <c r="L72" s="67" t="s">
        <v>68</v>
      </c>
      <c r="M72" s="78">
        <f>$M$66*COS($M$70*PI()/180)^2+$M$65*SIN($M$70*PI()/180)^2+$M$67*SIN(2*$M$70*PI()/180)</f>
        <v>0.947222536443487</v>
      </c>
      <c r="N72" s="55"/>
      <c r="O72" s="55"/>
      <c r="P72" s="55"/>
      <c r="Q72" s="55"/>
      <c r="R72" s="55"/>
      <c r="S72" s="28"/>
      <c r="T72" s="28"/>
      <c r="U72" s="80"/>
      <c r="V72" s="80"/>
    </row>
    <row r="73" spans="1:22" ht="12.75">
      <c r="A73" s="18"/>
      <c r="B73" s="82"/>
      <c r="C73" s="51"/>
      <c r="D73" s="51"/>
      <c r="E73" s="70"/>
      <c r="F73" s="70"/>
      <c r="G73" s="82"/>
      <c r="H73" s="70"/>
      <c r="I73" s="70"/>
      <c r="L73" s="67" t="s">
        <v>69</v>
      </c>
      <c r="M73" s="90">
        <f>IF(ABS(($M$65-$M$66)/2*SIN(2*$M$70*PI()/180)+$M$67*COS(2*$M$70*PI()/180))&lt;0.0005,0,($M$65-$M$66)/2*SIN(2*$M$70*PI()/180)+$M$67*COS(2*$M$70*PI()/180))</f>
        <v>0</v>
      </c>
      <c r="N73" s="55"/>
      <c r="O73" s="55"/>
      <c r="P73" s="55"/>
      <c r="Q73" s="55"/>
      <c r="R73" s="55"/>
      <c r="S73" s="28"/>
      <c r="T73" s="28"/>
      <c r="U73" s="80"/>
      <c r="V73" s="80"/>
    </row>
    <row r="74" spans="1:22" ht="12.75">
      <c r="A74" s="18"/>
      <c r="B74" s="82"/>
      <c r="C74" s="51"/>
      <c r="D74" s="51"/>
      <c r="E74" s="70"/>
      <c r="F74" s="70"/>
      <c r="G74" s="82"/>
      <c r="H74" s="70"/>
      <c r="I74" s="70"/>
      <c r="L74" s="67" t="s">
        <v>70</v>
      </c>
      <c r="M74" s="95">
        <f>($M$71/$M$57)^(1/2)</f>
        <v>2.023270901239551</v>
      </c>
      <c r="N74" s="55"/>
      <c r="O74" s="55"/>
      <c r="P74" s="55"/>
      <c r="Q74" s="55"/>
      <c r="R74" s="55"/>
      <c r="S74" s="28"/>
      <c r="T74" s="28"/>
      <c r="U74" s="80"/>
      <c r="V74" s="80"/>
    </row>
    <row r="75" spans="1:22" ht="12.75">
      <c r="A75" s="18"/>
      <c r="B75" s="82"/>
      <c r="C75" s="51"/>
      <c r="D75" s="51"/>
      <c r="E75" s="70"/>
      <c r="F75" s="70"/>
      <c r="G75" s="82"/>
      <c r="H75" s="70"/>
      <c r="I75" s="70"/>
      <c r="L75" s="67" t="s">
        <v>71</v>
      </c>
      <c r="M75" s="95">
        <f>($M$72/$M$57)^(1/2)</f>
        <v>0.658039525150184</v>
      </c>
      <c r="N75" s="55"/>
      <c r="O75" s="55"/>
      <c r="P75" s="55"/>
      <c r="Q75" s="55"/>
      <c r="R75" s="55"/>
      <c r="S75" s="28"/>
      <c r="T75" s="28"/>
      <c r="U75" s="80"/>
      <c r="V75" s="80"/>
    </row>
    <row r="76" spans="1:22" ht="12.75">
      <c r="A76" s="18"/>
      <c r="B76" s="82"/>
      <c r="C76" s="51"/>
      <c r="D76" s="51"/>
      <c r="E76" s="70"/>
      <c r="F76" s="70"/>
      <c r="G76" s="82"/>
      <c r="H76" s="70"/>
      <c r="I76" s="70"/>
      <c r="M76" s="96"/>
      <c r="N76" s="55"/>
      <c r="O76" s="55"/>
      <c r="P76" s="55"/>
      <c r="Q76" s="55"/>
      <c r="R76" s="55"/>
      <c r="S76" s="28"/>
      <c r="T76" s="28"/>
      <c r="U76" s="80"/>
      <c r="V76" s="80"/>
    </row>
    <row r="77" spans="1:22" ht="12.75">
      <c r="A77" s="18"/>
      <c r="B77" s="82"/>
      <c r="C77" s="51"/>
      <c r="D77" s="51"/>
      <c r="E77" s="70"/>
      <c r="F77" s="70"/>
      <c r="G77" s="82"/>
      <c r="H77" s="70"/>
      <c r="I77" s="70"/>
      <c r="M77" s="96"/>
      <c r="N77" s="55"/>
      <c r="O77" s="55"/>
      <c r="P77" s="55"/>
      <c r="Q77" s="55"/>
      <c r="R77" s="55"/>
      <c r="S77" s="28"/>
      <c r="T77" s="28"/>
      <c r="U77" s="80"/>
      <c r="V77" s="80"/>
    </row>
    <row r="78" spans="1:22" ht="12.75">
      <c r="A78" s="18"/>
      <c r="B78" s="82"/>
      <c r="C78" s="51"/>
      <c r="D78" s="51"/>
      <c r="E78" s="70"/>
      <c r="F78" s="70"/>
      <c r="G78" s="82"/>
      <c r="H78" s="70"/>
      <c r="I78" s="70"/>
      <c r="M78" s="96"/>
      <c r="N78" s="55"/>
      <c r="O78" s="55"/>
      <c r="P78" s="55"/>
      <c r="Q78" s="55"/>
      <c r="R78" s="55"/>
      <c r="S78" s="28"/>
      <c r="T78" s="28"/>
      <c r="U78" s="80"/>
      <c r="V78" s="80"/>
    </row>
    <row r="79" spans="1:9" ht="12.75">
      <c r="A79" s="18"/>
      <c r="B79" s="82"/>
      <c r="C79" s="51"/>
      <c r="D79" s="51"/>
      <c r="E79" s="70"/>
      <c r="F79" s="70"/>
      <c r="G79" s="82"/>
      <c r="H79" s="70"/>
      <c r="I79" s="70"/>
    </row>
    <row r="80" spans="1:9" ht="12.75">
      <c r="A80" s="18"/>
      <c r="B80" s="82"/>
      <c r="C80" s="51"/>
      <c r="D80" s="51"/>
      <c r="E80" s="70"/>
      <c r="F80" s="70"/>
      <c r="G80" s="82"/>
      <c r="H80" s="70"/>
      <c r="I80" s="70"/>
    </row>
    <row r="81" spans="1:23" ht="12.75">
      <c r="A81" s="18"/>
      <c r="B81" s="82"/>
      <c r="C81" s="51"/>
      <c r="D81" s="51"/>
      <c r="E81" s="70"/>
      <c r="F81" s="70"/>
      <c r="G81" s="82"/>
      <c r="H81" s="70"/>
      <c r="I81" s="70"/>
      <c r="W81" s="79"/>
    </row>
    <row r="82" spans="1:26" ht="12.75">
      <c r="A82" s="18"/>
      <c r="B82" s="82"/>
      <c r="C82" s="51"/>
      <c r="D82" s="51"/>
      <c r="E82" s="70"/>
      <c r="F82" s="70"/>
      <c r="G82" s="82"/>
      <c r="H82" s="70"/>
      <c r="I82" s="70"/>
      <c r="W82" s="24"/>
      <c r="X82" s="24"/>
      <c r="Y82" s="24"/>
      <c r="Z82" s="24"/>
    </row>
    <row r="83" spans="1:26" ht="12.75">
      <c r="A83" s="18"/>
      <c r="B83" s="82"/>
      <c r="C83" s="51"/>
      <c r="D83" s="51"/>
      <c r="E83" s="70"/>
      <c r="F83" s="70"/>
      <c r="G83" s="82"/>
      <c r="H83" s="70"/>
      <c r="I83" s="70"/>
      <c r="W83" s="70" t="e">
        <f>IF(#REF!&gt;=5,#REF!-$M$63,"")</f>
        <v>#REF!</v>
      </c>
      <c r="X83" s="70" t="e">
        <f>IF(#REF!&gt;=6,#REF!-$M$63,"")</f>
        <v>#REF!</v>
      </c>
      <c r="Y83" s="70" t="e">
        <f>IF(#REF!&gt;=7,$I$42-$M$63,"")</f>
        <v>#REF!</v>
      </c>
      <c r="Z83" s="70" t="e">
        <f>IF(#REF!&gt;=8,#REF!-$M$63,"")</f>
        <v>#REF!</v>
      </c>
    </row>
    <row r="84" spans="1:26" ht="12.75">
      <c r="A84" s="18"/>
      <c r="B84" s="82"/>
      <c r="C84" s="51"/>
      <c r="D84" s="51"/>
      <c r="E84" s="70"/>
      <c r="F84" s="70"/>
      <c r="G84" s="82"/>
      <c r="H84" s="70"/>
      <c r="I84" s="70"/>
      <c r="W84" s="70" t="e">
        <f>IF(#REF!&gt;=5,#REF!-$M$64,"")</f>
        <v>#REF!</v>
      </c>
      <c r="X84" s="70" t="e">
        <f>IF(#REF!&gt;=6,#REF!-$M$64,"")</f>
        <v>#REF!</v>
      </c>
      <c r="Y84" s="70" t="e">
        <f>IF(#REF!&gt;=7,$I$43-$M$64,"")</f>
        <v>#REF!</v>
      </c>
      <c r="Z84" s="70" t="e">
        <f>IF(#REF!&gt;=8,#REF!-$M$64,"")</f>
        <v>#REF!</v>
      </c>
    </row>
    <row r="85" spans="1:26" ht="12.75">
      <c r="A85" s="18"/>
      <c r="B85" s="82"/>
      <c r="C85" s="51"/>
      <c r="D85" s="51"/>
      <c r="E85" s="70"/>
      <c r="F85" s="70"/>
      <c r="G85" s="82"/>
      <c r="H85" s="70"/>
      <c r="I85" s="70"/>
      <c r="W85" s="70" t="e">
        <f>IF(#REF!&gt;=5,#REF!*$W$84,"")</f>
        <v>#REF!</v>
      </c>
      <c r="X85" s="70" t="e">
        <f>IF(#REF!&gt;=6,#REF!*$X$84,"")</f>
        <v>#REF!</v>
      </c>
      <c r="Y85" s="70" t="e">
        <f>IF(#REF!&gt;=7,$I$45*$Y$84,"")</f>
        <v>#REF!</v>
      </c>
      <c r="Z85" s="70" t="e">
        <f>IF(#REF!&gt;=8,#REF!*$Z$84,"")</f>
        <v>#REF!</v>
      </c>
    </row>
    <row r="86" spans="1:26" ht="12.75">
      <c r="A86" s="18"/>
      <c r="B86" s="82"/>
      <c r="C86" s="51"/>
      <c r="D86" s="51"/>
      <c r="E86" s="70"/>
      <c r="F86" s="70"/>
      <c r="G86" s="82"/>
      <c r="H86" s="70"/>
      <c r="I86" s="70"/>
      <c r="W86" s="70" t="e">
        <f>IF(#REF!&gt;=5,#REF!*-$W$83,"")</f>
        <v>#REF!</v>
      </c>
      <c r="X86" s="70" t="e">
        <f>IF(#REF!&gt;=6,#REF!*-$X$83,"")</f>
        <v>#REF!</v>
      </c>
      <c r="Y86" s="70" t="e">
        <f>IF(#REF!&gt;=7,$I$45*-$Y$83,"")</f>
        <v>#REF!</v>
      </c>
      <c r="Z86" s="70" t="e">
        <f>IF(#REF!&gt;=8,#REF!*-$Z$83,"")</f>
        <v>#REF!</v>
      </c>
    </row>
    <row r="87" spans="1:26" ht="12.75">
      <c r="A87" s="18"/>
      <c r="B87" s="82"/>
      <c r="C87" s="51"/>
      <c r="D87" s="51"/>
      <c r="E87" s="70"/>
      <c r="F87" s="70"/>
      <c r="G87" s="82"/>
      <c r="H87" s="70"/>
      <c r="I87" s="70"/>
      <c r="W87" s="70" t="e">
        <f>IF(#REF!&gt;=5,#REF!*-#REF!,"")</f>
        <v>#REF!</v>
      </c>
      <c r="X87" s="70" t="e">
        <f>IF(#REF!&gt;=6,#REF!*-#REF!,"")</f>
        <v>#REF!</v>
      </c>
      <c r="Y87" s="70" t="e">
        <f>IF(#REF!&gt;=7,$I$44*-$I$47,"")</f>
        <v>#REF!</v>
      </c>
      <c r="Z87" s="70" t="e">
        <f>IF(#REF!&gt;=8,#REF!*-#REF!,"")</f>
        <v>#REF!</v>
      </c>
    </row>
    <row r="88" spans="1:26" ht="12.75">
      <c r="A88" s="18"/>
      <c r="B88" s="82"/>
      <c r="C88" s="51"/>
      <c r="D88" s="51"/>
      <c r="E88" s="70"/>
      <c r="F88" s="70"/>
      <c r="G88" s="82"/>
      <c r="H88" s="70"/>
      <c r="I88" s="70"/>
      <c r="W88" s="70" t="e">
        <f>IF(#REF!&gt;=5,#REF!*#REF!,"")</f>
        <v>#REF!</v>
      </c>
      <c r="X88" s="70" t="e">
        <f>IF(#REF!&gt;=6,#REF!*#REF!,"")</f>
        <v>#REF!</v>
      </c>
      <c r="Y88" s="70" t="e">
        <f>IF(#REF!&gt;=7,$I$44*$I$46,"")</f>
        <v>#REF!</v>
      </c>
      <c r="Z88" s="70" t="e">
        <f>IF(#REF!&gt;=8,#REF!*#REF!,"")</f>
        <v>#REF!</v>
      </c>
    </row>
    <row r="89" spans="1:26" ht="12.75">
      <c r="A89" s="18"/>
      <c r="B89" s="18"/>
      <c r="C89" s="18"/>
      <c r="D89" s="82"/>
      <c r="E89" s="70"/>
      <c r="F89" s="70"/>
      <c r="G89" s="82"/>
      <c r="H89" s="70"/>
      <c r="I89" s="70"/>
      <c r="W89" s="100" t="e">
        <f>IF(#REF!&gt;=5,#REF!*-$W$84,"")</f>
        <v>#REF!</v>
      </c>
      <c r="X89" s="70" t="e">
        <f>IF(#REF!&gt;=6,#REF!*-$X$84,"")</f>
        <v>#REF!</v>
      </c>
      <c r="Y89" s="100" t="e">
        <f>IF(#REF!&gt;=7,$I$46*-$S$32,"")</f>
        <v>#REF!</v>
      </c>
      <c r="Z89" s="100" t="e">
        <f>IF(#REF!&gt;=8,#REF!*-$T$32,"")</f>
        <v>#REF!</v>
      </c>
    </row>
    <row r="90" spans="1:26" ht="12.75">
      <c r="A90" s="18"/>
      <c r="B90" s="18"/>
      <c r="C90" s="18"/>
      <c r="D90" s="82"/>
      <c r="E90" s="70"/>
      <c r="F90" s="70"/>
      <c r="G90" s="82"/>
      <c r="H90" s="70"/>
      <c r="I90" s="70"/>
      <c r="W90" s="100" t="e">
        <f>IF(#REF!&gt;=5,#REF!*$W$83,"")</f>
        <v>#REF!</v>
      </c>
      <c r="X90" s="70" t="e">
        <f>IF(#REF!&gt;=6,#REF!*$X$83,"")</f>
        <v>#REF!</v>
      </c>
      <c r="Y90" s="100" t="e">
        <f>IF(#REF!&gt;=7,$I$47*$Y$83,"")</f>
        <v>#REF!</v>
      </c>
      <c r="Z90" s="100" t="e">
        <f>IF(#REF!&gt;=8,#REF!*$Z$83,"")</f>
        <v>#REF!</v>
      </c>
    </row>
    <row r="91" spans="1:23" ht="12.75">
      <c r="A91" s="18"/>
      <c r="B91" s="18"/>
      <c r="C91" s="101"/>
      <c r="D91" s="18"/>
      <c r="E91" s="18"/>
      <c r="F91" s="70"/>
      <c r="G91" s="82"/>
      <c r="H91" s="70"/>
      <c r="I91" s="70"/>
      <c r="W91" s="79"/>
    </row>
    <row r="92" spans="1:23" ht="12.75">
      <c r="A92" s="18"/>
      <c r="B92" s="18"/>
      <c r="C92" s="82"/>
      <c r="D92" s="51"/>
      <c r="E92" s="102"/>
      <c r="F92" s="70"/>
      <c r="G92" s="82"/>
      <c r="H92" s="70"/>
      <c r="I92" s="70"/>
      <c r="W92" s="79"/>
    </row>
    <row r="93" spans="1:23" ht="12.75">
      <c r="A93" s="18"/>
      <c r="B93" s="18"/>
      <c r="C93" s="82"/>
      <c r="D93" s="51"/>
      <c r="E93" s="103"/>
      <c r="F93" s="18"/>
      <c r="G93" s="18"/>
      <c r="H93" s="18"/>
      <c r="I93" s="18"/>
      <c r="W93" s="79"/>
    </row>
    <row r="94" spans="1:23" ht="12.75">
      <c r="A94" s="18"/>
      <c r="B94" s="18"/>
      <c r="C94" s="82"/>
      <c r="D94" s="51"/>
      <c r="E94" s="18"/>
      <c r="F94" s="18"/>
      <c r="G94" s="18"/>
      <c r="H94" s="18"/>
      <c r="I94" s="18"/>
      <c r="W94" s="79"/>
    </row>
    <row r="95" spans="1:23" ht="12.75">
      <c r="A95" s="18"/>
      <c r="B95" s="18"/>
      <c r="C95" s="18"/>
      <c r="D95" s="104"/>
      <c r="E95" s="18"/>
      <c r="F95" s="18"/>
      <c r="G95" s="18"/>
      <c r="H95" s="18"/>
      <c r="I95" s="18"/>
      <c r="W95" s="79"/>
    </row>
    <row r="96" spans="1:23" ht="12.75">
      <c r="A96" s="18"/>
      <c r="B96" s="18"/>
      <c r="C96" s="18"/>
      <c r="D96" s="18"/>
      <c r="E96" s="18"/>
      <c r="F96" s="18"/>
      <c r="G96" s="18"/>
      <c r="H96" s="18"/>
      <c r="I96" s="47"/>
      <c r="W96" s="79"/>
    </row>
    <row r="97" spans="1:23" ht="12.75">
      <c r="A97" s="18"/>
      <c r="B97" s="18"/>
      <c r="C97" s="18"/>
      <c r="D97" s="18"/>
      <c r="E97" s="18"/>
      <c r="F97" s="18"/>
      <c r="G97" s="18"/>
      <c r="H97" s="47"/>
      <c r="I97" s="105"/>
      <c r="W97" s="79"/>
    </row>
    <row r="98" spans="1:23" ht="12.75">
      <c r="A98" s="18"/>
      <c r="B98" s="18"/>
      <c r="C98" s="18"/>
      <c r="D98" s="18"/>
      <c r="E98" s="18"/>
      <c r="F98" s="18"/>
      <c r="G98" s="18"/>
      <c r="H98" s="47"/>
      <c r="I98" s="106"/>
      <c r="W98" s="79"/>
    </row>
  </sheetData>
  <sheetProtection sheet="1" objects="1" scenarios="1"/>
  <conditionalFormatting sqref="E40">
    <cfRule type="cellIs" priority="1" dxfId="0" operator="notEqual" stopIfTrue="1">
      <formula>"OK"</formula>
    </cfRule>
  </conditionalFormatting>
  <dataValidations count="2">
    <dataValidation type="list" allowBlank="1" showInputMessage="1" showErrorMessage="1" errorTitle="Warning!" error="Invalid input&#10;(must input a value between 3 and 50)" sqref="C9">
      <formula1>$J$3:$J$50</formula1>
    </dataValidation>
    <dataValidation type="decimal" operator="greaterThan" allowBlank="1" showInputMessage="1" showErrorMessage="1" prompt="The X/Y ratio is the ratio of the actual on-screen measured lenghts of the X and Y axes.  The default value initially set up for use in this work sheet is X/Y = 1.0." sqref="AC4">
      <formula1>0</formula1>
    </dataValidation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&amp;R"SECTPROP.xls" Program
Version 2.6</oddHeader>
    <oddFooter>&amp;C&amp;P of &amp;N&amp;R&amp;D 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2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20" customWidth="1"/>
    <col min="2" max="2" width="9.140625" style="20" customWidth="1"/>
    <col min="3" max="4" width="10.7109375" style="20" customWidth="1"/>
    <col min="5" max="5" width="7.57421875" style="20" customWidth="1"/>
    <col min="6" max="8" width="9.140625" style="20" customWidth="1"/>
    <col min="9" max="9" width="12.140625" style="20" customWidth="1"/>
    <col min="10" max="14" width="9.140625" style="123" hidden="1" customWidth="1"/>
    <col min="15" max="15" width="10.140625" style="134" hidden="1" customWidth="1"/>
    <col min="16" max="21" width="9.140625" style="123" hidden="1" customWidth="1"/>
    <col min="22" max="22" width="9.140625" style="140" hidden="1" customWidth="1"/>
    <col min="23" max="26" width="9.140625" style="123" hidden="1" customWidth="1"/>
    <col min="27" max="31" width="9.140625" style="123" customWidth="1"/>
    <col min="32" max="16384" width="9.140625" style="126" customWidth="1"/>
  </cols>
  <sheetData>
    <row r="1" spans="1:27" ht="15.75">
      <c r="A1" s="107" t="s">
        <v>221</v>
      </c>
      <c r="B1" s="108"/>
      <c r="C1" s="109"/>
      <c r="D1" s="109"/>
      <c r="E1" s="109"/>
      <c r="F1" s="109"/>
      <c r="G1" s="108"/>
      <c r="H1" s="108"/>
      <c r="I1" s="121"/>
      <c r="J1" s="122"/>
      <c r="K1" s="19"/>
      <c r="M1" s="313" t="s">
        <v>4</v>
      </c>
      <c r="N1" s="124"/>
      <c r="O1" s="124"/>
      <c r="V1" s="123"/>
      <c r="Z1" s="125"/>
      <c r="AA1" s="315" t="s">
        <v>329</v>
      </c>
    </row>
    <row r="2" spans="1:31" ht="12.75">
      <c r="A2" s="110" t="s">
        <v>222</v>
      </c>
      <c r="B2" s="112"/>
      <c r="C2" s="112"/>
      <c r="D2" s="112"/>
      <c r="E2" s="112"/>
      <c r="F2" s="112"/>
      <c r="G2" s="112"/>
      <c r="H2" s="112"/>
      <c r="I2" s="127"/>
      <c r="J2" s="128"/>
      <c r="K2" s="24"/>
      <c r="M2" s="124"/>
      <c r="N2" s="124"/>
      <c r="O2" s="124"/>
      <c r="V2" s="123"/>
      <c r="Z2" s="125"/>
      <c r="AA2" s="129"/>
      <c r="AE2" s="130"/>
    </row>
    <row r="3" spans="1:31" ht="12.75">
      <c r="A3" s="131"/>
      <c r="B3" s="132"/>
      <c r="C3" s="132"/>
      <c r="D3" s="132"/>
      <c r="E3" s="132"/>
      <c r="F3" s="132"/>
      <c r="G3" s="132"/>
      <c r="H3" s="132"/>
      <c r="I3" s="133"/>
      <c r="J3" s="125"/>
      <c r="K3" s="134"/>
      <c r="M3" s="29" t="s">
        <v>316</v>
      </c>
      <c r="Z3" s="125"/>
      <c r="AA3" s="137"/>
      <c r="AE3" s="138"/>
    </row>
    <row r="4" spans="1:31" ht="12.75">
      <c r="A4" s="227" t="s">
        <v>2</v>
      </c>
      <c r="B4" s="359"/>
      <c r="C4" s="360"/>
      <c r="D4" s="360"/>
      <c r="E4" s="360"/>
      <c r="F4" s="226" t="s">
        <v>197</v>
      </c>
      <c r="G4" s="356"/>
      <c r="H4" s="357"/>
      <c r="I4" s="358"/>
      <c r="J4" s="9"/>
      <c r="K4" s="138"/>
      <c r="L4" s="15"/>
      <c r="M4" s="65" t="s">
        <v>292</v>
      </c>
      <c r="N4" s="135">
        <f>IF(AND($B$21&lt;&gt;"",$B$22&lt;&gt;""),(-$B$16/$B$10)+($B$21*($B$18*12*$B$11-(-$B$17)*12*$B$13)/($B$11*$B$12-$B$13^2))+($B$22*(-$B$17*12*$B$12-$B$18*12*$B$13)/($B$11*$B$12-$B$13^2)),"N.A.")</f>
        <v>13.57622222222222</v>
      </c>
      <c r="O4" s="136" t="s">
        <v>262</v>
      </c>
      <c r="P4" s="314" t="s">
        <v>323</v>
      </c>
      <c r="V4" s="123"/>
      <c r="Z4" s="125"/>
      <c r="AA4" s="141"/>
      <c r="AB4" s="142"/>
      <c r="AE4" s="7"/>
    </row>
    <row r="5" spans="1:31" ht="12.75">
      <c r="A5" s="228" t="s">
        <v>3</v>
      </c>
      <c r="B5" s="14"/>
      <c r="C5" s="11"/>
      <c r="D5" s="12"/>
      <c r="E5" s="13"/>
      <c r="F5" s="226" t="s">
        <v>196</v>
      </c>
      <c r="G5" s="316"/>
      <c r="H5" s="324" t="s">
        <v>195</v>
      </c>
      <c r="I5" s="316"/>
      <c r="J5" s="9"/>
      <c r="K5" s="134"/>
      <c r="L5" s="15"/>
      <c r="M5" s="65" t="s">
        <v>293</v>
      </c>
      <c r="N5" s="135">
        <f>IF(AND($B$24&lt;&gt;"",$B$25&lt;&gt;""),(-$B$16/$B$10)+($B$24*($B$18*12*$B$11-(-$B$17)*12*$B$13)/($B$11*$B$12-$B$13^2))+($B$25*(-$B$17*12*$B$12-$B$18*12*$B$13)/($B$11*$B$12-$B$13^2)),"N.A.")</f>
        <v>0.12167676767676738</v>
      </c>
      <c r="O5" s="136" t="s">
        <v>262</v>
      </c>
      <c r="P5" s="314" t="s">
        <v>324</v>
      </c>
      <c r="V5" s="123"/>
      <c r="Z5" s="125"/>
      <c r="AA5" s="141"/>
      <c r="AB5" s="142"/>
      <c r="AE5" s="7"/>
    </row>
    <row r="6" spans="1:27" ht="12.75">
      <c r="A6" s="144"/>
      <c r="B6" s="17"/>
      <c r="C6" s="17"/>
      <c r="D6" s="17"/>
      <c r="E6" s="17"/>
      <c r="F6" s="17"/>
      <c r="G6" s="18"/>
      <c r="H6" s="47"/>
      <c r="I6" s="325"/>
      <c r="J6" s="125"/>
      <c r="K6" s="134"/>
      <c r="L6" s="15"/>
      <c r="M6" s="65" t="s">
        <v>294</v>
      </c>
      <c r="N6" s="135">
        <f>IF(AND($B$27&lt;&gt;"",$B$28&lt;&gt;""),(-$B$16/$B$10)+($B$27*($B$18*12*$B$11-(-$B$17)*12*$B$13)/($B$11*$B$12-$B$13^2))+($B$28*(-$B$17*12*$B$12-$B$18*12*$B$13)/($B$11*$B$12-$B$13^2)),"N.A.")</f>
        <v>-8.96923232323232</v>
      </c>
      <c r="O6" s="136" t="s">
        <v>262</v>
      </c>
      <c r="P6" s="314" t="s">
        <v>325</v>
      </c>
      <c r="V6" s="123"/>
      <c r="Z6" s="125"/>
      <c r="AA6" s="137"/>
    </row>
    <row r="7" spans="1:31" ht="12.75">
      <c r="A7" s="38" t="s">
        <v>1</v>
      </c>
      <c r="B7" s="17"/>
      <c r="C7" s="17"/>
      <c r="D7" s="17"/>
      <c r="E7" s="146"/>
      <c r="F7" s="17"/>
      <c r="G7" s="39"/>
      <c r="H7" s="47"/>
      <c r="I7" s="326"/>
      <c r="J7" s="125"/>
      <c r="K7" s="134"/>
      <c r="L7" s="15"/>
      <c r="M7" s="65" t="s">
        <v>295</v>
      </c>
      <c r="N7" s="135" t="str">
        <f>IF(AND($B$30&lt;&gt;"",$B$31&lt;&gt;""),(-$B$16/$B$10)+($B$30*($B$18*12*$B$11-(-$B$17)*12*$B$13)/($B$11*$B$12-$B$13^2))+($B$31*(-$B$17*12*$B$12-$B$18*12*$B$13)/($B$11*$B$12-$B$13^2)),"N.A.")</f>
        <v>N.A.</v>
      </c>
      <c r="O7" s="136" t="s">
        <v>262</v>
      </c>
      <c r="P7" s="314" t="s">
        <v>326</v>
      </c>
      <c r="U7" s="145"/>
      <c r="V7" s="123"/>
      <c r="Z7" s="125"/>
      <c r="AA7" s="141"/>
      <c r="AB7" s="142"/>
      <c r="AE7" s="7"/>
    </row>
    <row r="8" spans="1:31" ht="12.75">
      <c r="A8" s="148"/>
      <c r="B8" s="17"/>
      <c r="C8" s="17"/>
      <c r="D8" s="17"/>
      <c r="E8" s="17"/>
      <c r="F8" s="17"/>
      <c r="G8" s="42"/>
      <c r="H8" s="47"/>
      <c r="I8" s="317"/>
      <c r="J8" s="125"/>
      <c r="K8" s="149"/>
      <c r="L8" s="15"/>
      <c r="M8" s="65" t="s">
        <v>296</v>
      </c>
      <c r="N8" s="135" t="str">
        <f>IF(AND($B$33&lt;&gt;"",$B$34&lt;&gt;""),(-$B$16/$B$10)+($B$33*($B$18*12*$B$11-(-$B$17)*12*$B$13)/($B$11*$B$12-$B$13^2))+($B$34*(-$B$17*12*$B$12-$B$18*12*$B$13)/($B$11*$B$12-$B$13^2)),"N.A.")</f>
        <v>N.A.</v>
      </c>
      <c r="O8" s="136" t="s">
        <v>262</v>
      </c>
      <c r="P8" s="314" t="s">
        <v>327</v>
      </c>
      <c r="Q8" s="147"/>
      <c r="R8" s="124"/>
      <c r="S8" s="124"/>
      <c r="V8" s="123"/>
      <c r="Z8" s="125"/>
      <c r="AA8" s="141"/>
      <c r="AB8" s="142"/>
      <c r="AE8" s="7"/>
    </row>
    <row r="9" spans="1:28" ht="12.75">
      <c r="A9" s="38" t="s">
        <v>223</v>
      </c>
      <c r="B9" s="18"/>
      <c r="C9" s="82"/>
      <c r="D9" s="283"/>
      <c r="E9" s="284"/>
      <c r="F9" s="150"/>
      <c r="G9" s="53"/>
      <c r="H9" s="18"/>
      <c r="I9" s="52"/>
      <c r="J9" s="125"/>
      <c r="K9" s="149"/>
      <c r="L9" s="15"/>
      <c r="M9" s="65" t="s">
        <v>297</v>
      </c>
      <c r="N9" s="135" t="str">
        <f>IF(AND($B$36&lt;&gt;"",$B$37&lt;&gt;""),(-$B$16/$B$10)+($B$36*($B$18*12*$B$11-(-$B$17)*12*$B$13)/($B$11*$B$12-$B$13^2))+($B$37*(-$B$17*12*$B$12-$B$18*12*$B$13)/($B$11*$B$12-$B$13^2)),"N.A.")</f>
        <v>N.A.</v>
      </c>
      <c r="O9" s="136" t="s">
        <v>262</v>
      </c>
      <c r="P9" s="314" t="s">
        <v>328</v>
      </c>
      <c r="Q9" s="124"/>
      <c r="R9" s="124"/>
      <c r="S9" s="124"/>
      <c r="T9" s="145"/>
      <c r="V9" s="123"/>
      <c r="Z9" s="125"/>
      <c r="AA9" s="141"/>
      <c r="AB9" s="142"/>
    </row>
    <row r="10" spans="1:28" ht="12.75">
      <c r="A10" s="36" t="s">
        <v>60</v>
      </c>
      <c r="B10" s="292">
        <v>1.44</v>
      </c>
      <c r="C10" s="154" t="s">
        <v>224</v>
      </c>
      <c r="D10" s="285"/>
      <c r="E10" s="286"/>
      <c r="F10" s="155"/>
      <c r="G10" s="45"/>
      <c r="H10" s="45"/>
      <c r="I10" s="46"/>
      <c r="J10" s="8"/>
      <c r="L10" s="15"/>
      <c r="M10" s="143"/>
      <c r="N10" s="139"/>
      <c r="O10" s="140"/>
      <c r="P10" s="156"/>
      <c r="T10" s="145"/>
      <c r="V10" s="123"/>
      <c r="Z10" s="125"/>
      <c r="AA10" s="157"/>
      <c r="AB10" s="140"/>
    </row>
    <row r="11" spans="1:28" ht="12.75">
      <c r="A11" s="36" t="s">
        <v>29</v>
      </c>
      <c r="B11" s="267">
        <v>1.24</v>
      </c>
      <c r="C11" s="154" t="s">
        <v>225</v>
      </c>
      <c r="D11" s="172"/>
      <c r="E11" s="287"/>
      <c r="F11" s="155"/>
      <c r="G11" s="45"/>
      <c r="H11" s="45"/>
      <c r="I11" s="46"/>
      <c r="L11" s="17"/>
      <c r="M11" s="158"/>
      <c r="O11" s="123"/>
      <c r="P11" s="140"/>
      <c r="V11" s="123"/>
      <c r="Z11" s="125"/>
      <c r="AA11" s="141"/>
      <c r="AB11" s="159"/>
    </row>
    <row r="12" spans="1:28" ht="12.75">
      <c r="A12" s="160" t="s">
        <v>30</v>
      </c>
      <c r="B12" s="267">
        <v>1.24</v>
      </c>
      <c r="C12" s="154" t="s">
        <v>225</v>
      </c>
      <c r="D12" s="172"/>
      <c r="E12" s="168"/>
      <c r="F12" s="45"/>
      <c r="G12" s="45"/>
      <c r="H12" s="45"/>
      <c r="I12" s="46"/>
      <c r="K12" s="149"/>
      <c r="L12" s="15"/>
      <c r="M12" s="143"/>
      <c r="N12" s="161"/>
      <c r="O12" s="140"/>
      <c r="P12" s="140"/>
      <c r="V12" s="162"/>
      <c r="Z12" s="125"/>
      <c r="AA12" s="141"/>
      <c r="AB12" s="142"/>
    </row>
    <row r="13" spans="1:28" ht="12.75">
      <c r="A13" s="36" t="s">
        <v>63</v>
      </c>
      <c r="B13" s="293">
        <v>-0.74</v>
      </c>
      <c r="C13" s="154" t="s">
        <v>225</v>
      </c>
      <c r="D13" s="7"/>
      <c r="E13" s="286"/>
      <c r="F13" s="163"/>
      <c r="G13" s="45"/>
      <c r="H13" s="45"/>
      <c r="I13" s="46"/>
      <c r="K13" s="149"/>
      <c r="L13" s="15"/>
      <c r="M13" s="164"/>
      <c r="N13" s="161"/>
      <c r="O13" s="140"/>
      <c r="P13" s="140"/>
      <c r="V13" s="162"/>
      <c r="Z13" s="125"/>
      <c r="AA13" s="165"/>
      <c r="AB13" s="140"/>
    </row>
    <row r="14" spans="1:31" ht="12.75">
      <c r="A14" s="304"/>
      <c r="B14" s="287"/>
      <c r="C14" s="287"/>
      <c r="D14" s="303"/>
      <c r="E14" s="287"/>
      <c r="F14" s="45"/>
      <c r="G14" s="45"/>
      <c r="H14" s="45"/>
      <c r="I14" s="46"/>
      <c r="K14" s="149"/>
      <c r="L14" s="15"/>
      <c r="M14" s="143"/>
      <c r="N14" s="162"/>
      <c r="O14" s="166"/>
      <c r="P14" s="156"/>
      <c r="V14" s="162"/>
      <c r="Z14" s="125"/>
      <c r="AA14" s="141"/>
      <c r="AB14" s="159"/>
      <c r="AE14" s="7"/>
    </row>
    <row r="15" spans="1:31" ht="12.75">
      <c r="A15" s="38" t="s">
        <v>226</v>
      </c>
      <c r="B15" s="73"/>
      <c r="C15" s="73"/>
      <c r="D15" s="288"/>
      <c r="E15" s="287"/>
      <c r="F15" s="45"/>
      <c r="G15" s="45"/>
      <c r="H15" s="45"/>
      <c r="I15" s="46"/>
      <c r="K15" s="149"/>
      <c r="L15" s="167"/>
      <c r="M15" s="143"/>
      <c r="N15" s="161"/>
      <c r="O15" s="140"/>
      <c r="P15" s="140"/>
      <c r="V15" s="162"/>
      <c r="Z15" s="125"/>
      <c r="AA15" s="141"/>
      <c r="AB15" s="159"/>
      <c r="AE15" s="7"/>
    </row>
    <row r="16" spans="1:31" ht="12.75">
      <c r="A16" s="36" t="s">
        <v>227</v>
      </c>
      <c r="B16" s="292">
        <v>-5</v>
      </c>
      <c r="C16" s="154" t="s">
        <v>228</v>
      </c>
      <c r="D16" s="288"/>
      <c r="E16" s="288"/>
      <c r="F16" s="45"/>
      <c r="G16" s="45"/>
      <c r="H16" s="45"/>
      <c r="I16" s="46"/>
      <c r="K16" s="149"/>
      <c r="M16" s="143"/>
      <c r="N16" s="161"/>
      <c r="O16" s="140"/>
      <c r="P16" s="140"/>
      <c r="V16" s="162"/>
      <c r="Z16" s="125"/>
      <c r="AA16" s="141"/>
      <c r="AB16" s="142"/>
      <c r="AE16" s="7"/>
    </row>
    <row r="17" spans="1:26" ht="12.75">
      <c r="A17" s="36" t="s">
        <v>229</v>
      </c>
      <c r="B17" s="267">
        <v>0.5</v>
      </c>
      <c r="C17" s="154" t="s">
        <v>230</v>
      </c>
      <c r="D17" s="7"/>
      <c r="E17" s="288"/>
      <c r="F17" s="45"/>
      <c r="G17" s="45"/>
      <c r="H17" s="45"/>
      <c r="I17" s="46"/>
      <c r="K17" s="149"/>
      <c r="M17" s="143"/>
      <c r="N17" s="162"/>
      <c r="O17" s="166"/>
      <c r="P17" s="156"/>
      <c r="V17" s="162"/>
      <c r="Z17" s="125"/>
    </row>
    <row r="18" spans="1:26" ht="12.75">
      <c r="A18" s="36" t="s">
        <v>231</v>
      </c>
      <c r="B18" s="293">
        <v>0</v>
      </c>
      <c r="C18" s="154" t="s">
        <v>230</v>
      </c>
      <c r="D18" s="7"/>
      <c r="E18" s="168"/>
      <c r="F18" s="45"/>
      <c r="G18" s="45"/>
      <c r="H18" s="45"/>
      <c r="I18" s="46"/>
      <c r="K18" s="134"/>
      <c r="L18" s="167"/>
      <c r="M18" s="158"/>
      <c r="V18" s="123"/>
      <c r="Z18" s="125"/>
    </row>
    <row r="19" spans="1:31" ht="12.75">
      <c r="A19" s="40"/>
      <c r="B19" s="18"/>
      <c r="C19" s="18"/>
      <c r="D19" s="18"/>
      <c r="E19" s="168"/>
      <c r="F19" s="45"/>
      <c r="G19" s="45"/>
      <c r="H19" s="45"/>
      <c r="I19" s="46"/>
      <c r="K19" s="134"/>
      <c r="L19" s="167"/>
      <c r="M19" s="9"/>
      <c r="N19" s="9"/>
      <c r="O19" s="9"/>
      <c r="P19" s="9"/>
      <c r="V19" s="123"/>
      <c r="Z19" s="125"/>
      <c r="AA19" s="141"/>
      <c r="AB19" s="168"/>
      <c r="AC19" s="169"/>
      <c r="AD19" s="169"/>
      <c r="AE19" s="170"/>
    </row>
    <row r="20" spans="1:33" ht="12.75">
      <c r="A20" s="69" t="s">
        <v>310</v>
      </c>
      <c r="B20" s="18"/>
      <c r="C20" s="82"/>
      <c r="D20" s="288"/>
      <c r="E20" s="168"/>
      <c r="F20" s="45"/>
      <c r="G20" s="45"/>
      <c r="H20" s="45"/>
      <c r="I20" s="46"/>
      <c r="K20" s="134"/>
      <c r="L20" s="167"/>
      <c r="M20" s="171"/>
      <c r="N20" s="172"/>
      <c r="O20" s="17"/>
      <c r="P20" s="9"/>
      <c r="V20" s="123"/>
      <c r="Z20" s="125"/>
      <c r="AA20" s="141"/>
      <c r="AB20" s="348" t="s">
        <v>313</v>
      </c>
      <c r="AC20" s="349"/>
      <c r="AD20" s="349"/>
      <c r="AE20" s="350"/>
      <c r="AF20" s="349"/>
      <c r="AG20" s="351"/>
    </row>
    <row r="21" spans="1:33" ht="12.75">
      <c r="A21" s="36" t="s">
        <v>298</v>
      </c>
      <c r="B21" s="266">
        <v>-0.842</v>
      </c>
      <c r="C21" s="154" t="s">
        <v>232</v>
      </c>
      <c r="D21" s="18"/>
      <c r="E21" s="168"/>
      <c r="F21" s="45"/>
      <c r="G21" s="45"/>
      <c r="H21" s="45"/>
      <c r="I21" s="46"/>
      <c r="K21" s="134"/>
      <c r="L21" s="167"/>
      <c r="M21" s="153"/>
      <c r="O21" s="123"/>
      <c r="P21" s="140"/>
      <c r="V21" s="123"/>
      <c r="Z21" s="125"/>
      <c r="AA21" s="173"/>
      <c r="AB21" s="352" t="s">
        <v>311</v>
      </c>
      <c r="AC21" s="353"/>
      <c r="AD21" s="353"/>
      <c r="AE21" s="347"/>
      <c r="AF21" s="353"/>
      <c r="AG21" s="354"/>
    </row>
    <row r="22" spans="1:33" ht="12.75">
      <c r="A22" s="160" t="s">
        <v>299</v>
      </c>
      <c r="B22" s="291">
        <v>-0.842</v>
      </c>
      <c r="C22" s="154" t="s">
        <v>233</v>
      </c>
      <c r="D22" s="51"/>
      <c r="E22" s="288"/>
      <c r="F22" s="45"/>
      <c r="G22" s="45"/>
      <c r="H22" s="45"/>
      <c r="I22" s="46"/>
      <c r="K22" s="134"/>
      <c r="L22" s="167"/>
      <c r="M22" s="143"/>
      <c r="N22" s="161"/>
      <c r="O22" s="140"/>
      <c r="P22" s="15"/>
      <c r="V22" s="123"/>
      <c r="Z22" s="125"/>
      <c r="AA22" s="141"/>
      <c r="AB22" s="341" t="s">
        <v>312</v>
      </c>
      <c r="AC22" s="353"/>
      <c r="AD22" s="353"/>
      <c r="AE22" s="347"/>
      <c r="AF22" s="353"/>
      <c r="AG22" s="354"/>
    </row>
    <row r="23" spans="1:33" ht="12.75">
      <c r="A23" s="40"/>
      <c r="B23" s="18"/>
      <c r="C23" s="18"/>
      <c r="D23" s="18"/>
      <c r="E23" s="44"/>
      <c r="F23" s="174"/>
      <c r="G23" s="44"/>
      <c r="H23" s="175"/>
      <c r="I23" s="46"/>
      <c r="K23" s="134"/>
      <c r="L23" s="167"/>
      <c r="M23" s="143"/>
      <c r="N23" s="161"/>
      <c r="O23" s="140"/>
      <c r="P23" s="140"/>
      <c r="V23" s="123"/>
      <c r="Z23" s="125"/>
      <c r="AA23" s="141"/>
      <c r="AB23" s="342" t="s">
        <v>314</v>
      </c>
      <c r="AC23" s="343"/>
      <c r="AD23" s="343"/>
      <c r="AE23" s="344"/>
      <c r="AF23" s="345"/>
      <c r="AG23" s="346"/>
    </row>
    <row r="24" spans="1:31" ht="12.75">
      <c r="A24" s="36" t="s">
        <v>300</v>
      </c>
      <c r="B24" s="266">
        <v>2.158</v>
      </c>
      <c r="C24" s="154" t="s">
        <v>232</v>
      </c>
      <c r="D24" s="18"/>
      <c r="E24" s="88"/>
      <c r="F24" s="45"/>
      <c r="G24" s="45"/>
      <c r="H24" s="45"/>
      <c r="I24" s="46"/>
      <c r="J24" s="125"/>
      <c r="K24" s="134"/>
      <c r="L24" s="167"/>
      <c r="M24" s="151"/>
      <c r="N24" s="139"/>
      <c r="O24" s="140"/>
      <c r="P24" s="152"/>
      <c r="V24" s="123"/>
      <c r="Z24" s="125"/>
      <c r="AA24" s="141"/>
      <c r="AB24" s="168"/>
      <c r="AC24" s="169"/>
      <c r="AD24" s="169"/>
      <c r="AE24" s="170"/>
    </row>
    <row r="25" spans="1:31" ht="12.75">
      <c r="A25" s="160" t="s">
        <v>301</v>
      </c>
      <c r="B25" s="291">
        <v>-0.842</v>
      </c>
      <c r="C25" s="154" t="s">
        <v>233</v>
      </c>
      <c r="D25" s="51"/>
      <c r="E25" s="168"/>
      <c r="F25" s="5"/>
      <c r="G25" s="45"/>
      <c r="H25" s="45"/>
      <c r="I25" s="46"/>
      <c r="J25" s="125"/>
      <c r="K25" s="134"/>
      <c r="L25" s="167"/>
      <c r="M25" s="151"/>
      <c r="N25" s="145"/>
      <c r="O25" s="140"/>
      <c r="P25" s="152"/>
      <c r="U25" s="152"/>
      <c r="V25" s="123"/>
      <c r="Z25" s="125"/>
      <c r="AA25" s="141"/>
      <c r="AB25" s="168"/>
      <c r="AC25" s="169"/>
      <c r="AD25" s="169"/>
      <c r="AE25" s="170"/>
    </row>
    <row r="26" spans="1:33" ht="12.75">
      <c r="A26" s="304"/>
      <c r="B26" s="287"/>
      <c r="C26" s="287"/>
      <c r="D26" s="287"/>
      <c r="E26" s="168"/>
      <c r="F26" s="5"/>
      <c r="G26" s="45"/>
      <c r="H26" s="45"/>
      <c r="I26" s="46"/>
      <c r="J26" s="125"/>
      <c r="K26" s="134"/>
      <c r="L26" s="167"/>
      <c r="P26" s="15"/>
      <c r="U26" s="177"/>
      <c r="V26" s="123"/>
      <c r="Z26" s="125"/>
      <c r="AA26" s="141"/>
      <c r="AB26" s="362" t="s">
        <v>321</v>
      </c>
      <c r="AC26" s="349"/>
      <c r="AD26" s="349"/>
      <c r="AE26" s="350"/>
      <c r="AF26" s="349"/>
      <c r="AG26" s="351"/>
    </row>
    <row r="27" spans="1:34" ht="12.75">
      <c r="A27" s="36" t="s">
        <v>302</v>
      </c>
      <c r="B27" s="266">
        <v>-0.842</v>
      </c>
      <c r="C27" s="154" t="s">
        <v>232</v>
      </c>
      <c r="D27" s="18"/>
      <c r="E27" s="44"/>
      <c r="F27" s="45"/>
      <c r="G27" s="45"/>
      <c r="H27" s="45"/>
      <c r="I27" s="46"/>
      <c r="J27" s="125"/>
      <c r="K27" s="134"/>
      <c r="L27" s="167"/>
      <c r="M27" s="158"/>
      <c r="N27" s="161"/>
      <c r="O27" s="140"/>
      <c r="P27" s="140"/>
      <c r="V27" s="123"/>
      <c r="Z27" s="125"/>
      <c r="AA27" s="141"/>
      <c r="AB27" s="363" t="s">
        <v>319</v>
      </c>
      <c r="AC27" s="353"/>
      <c r="AD27" s="353"/>
      <c r="AE27" s="347"/>
      <c r="AF27" s="353"/>
      <c r="AG27" s="354"/>
      <c r="AH27" s="361"/>
    </row>
    <row r="28" spans="1:33" ht="12.75">
      <c r="A28" s="160" t="s">
        <v>303</v>
      </c>
      <c r="B28" s="291">
        <v>2.158</v>
      </c>
      <c r="C28" s="154" t="s">
        <v>233</v>
      </c>
      <c r="D28" s="51"/>
      <c r="E28" s="168"/>
      <c r="F28" s="45"/>
      <c r="G28" s="45"/>
      <c r="H28" s="45"/>
      <c r="I28" s="46"/>
      <c r="J28" s="125"/>
      <c r="K28" s="134"/>
      <c r="L28" s="171"/>
      <c r="M28" s="153"/>
      <c r="N28" s="153"/>
      <c r="O28" s="123"/>
      <c r="P28" s="140"/>
      <c r="V28" s="123"/>
      <c r="Z28" s="125"/>
      <c r="AA28" s="141"/>
      <c r="AB28" s="341" t="s">
        <v>322</v>
      </c>
      <c r="AC28" s="353"/>
      <c r="AD28" s="353"/>
      <c r="AE28" s="347"/>
      <c r="AF28" s="353"/>
      <c r="AG28" s="354"/>
    </row>
    <row r="29" spans="1:33" ht="12.75">
      <c r="A29" s="40"/>
      <c r="B29" s="18"/>
      <c r="C29" s="18"/>
      <c r="D29" s="18"/>
      <c r="E29" s="44"/>
      <c r="F29" s="45"/>
      <c r="G29" s="45"/>
      <c r="H29" s="45"/>
      <c r="I29" s="46"/>
      <c r="J29" s="125"/>
      <c r="K29" s="134"/>
      <c r="L29" s="171"/>
      <c r="M29" s="167"/>
      <c r="N29" s="145"/>
      <c r="O29" s="15"/>
      <c r="P29" s="15"/>
      <c r="Q29" s="153"/>
      <c r="V29" s="123"/>
      <c r="Z29" s="125"/>
      <c r="AA29" s="141"/>
      <c r="AB29" s="342" t="s">
        <v>320</v>
      </c>
      <c r="AC29" s="364"/>
      <c r="AD29" s="364"/>
      <c r="AE29" s="365"/>
      <c r="AF29" s="364"/>
      <c r="AG29" s="366"/>
    </row>
    <row r="30" spans="1:31" ht="13.5" customHeight="1">
      <c r="A30" s="36" t="s">
        <v>304</v>
      </c>
      <c r="B30" s="266" t="s">
        <v>0</v>
      </c>
      <c r="C30" s="154" t="s">
        <v>232</v>
      </c>
      <c r="D30" s="18"/>
      <c r="E30" s="44"/>
      <c r="F30" s="45"/>
      <c r="G30" s="180"/>
      <c r="H30" s="45"/>
      <c r="I30" s="46"/>
      <c r="J30" s="125"/>
      <c r="K30" s="134"/>
      <c r="L30" s="167"/>
      <c r="M30" s="167"/>
      <c r="N30" s="145"/>
      <c r="O30" s="15"/>
      <c r="P30" s="15"/>
      <c r="Q30" s="153"/>
      <c r="V30" s="123"/>
      <c r="Z30" s="125"/>
      <c r="AA30" s="141"/>
      <c r="AB30" s="168"/>
      <c r="AC30" s="169"/>
      <c r="AD30" s="169"/>
      <c r="AE30" s="170"/>
    </row>
    <row r="31" spans="1:27" ht="13.5" customHeight="1">
      <c r="A31" s="160" t="s">
        <v>305</v>
      </c>
      <c r="B31" s="291"/>
      <c r="C31" s="154" t="s">
        <v>233</v>
      </c>
      <c r="D31" s="51"/>
      <c r="E31" s="168"/>
      <c r="F31" s="180"/>
      <c r="G31" s="180"/>
      <c r="H31" s="180"/>
      <c r="I31" s="46"/>
      <c r="J31" s="125"/>
      <c r="K31" s="134"/>
      <c r="L31" s="167"/>
      <c r="M31" s="143"/>
      <c r="N31" s="161"/>
      <c r="O31" s="140"/>
      <c r="P31" s="140"/>
      <c r="U31" s="153"/>
      <c r="V31" s="139"/>
      <c r="Z31" s="125"/>
      <c r="AA31" s="141"/>
    </row>
    <row r="32" spans="1:27" ht="12.75">
      <c r="A32" s="305"/>
      <c r="B32" s="168"/>
      <c r="C32" s="168"/>
      <c r="D32" s="168"/>
      <c r="E32" s="168"/>
      <c r="F32" s="45"/>
      <c r="G32" s="45"/>
      <c r="H32" s="45"/>
      <c r="I32" s="46"/>
      <c r="J32" s="125"/>
      <c r="K32" s="134"/>
      <c r="L32" s="167"/>
      <c r="M32" s="167"/>
      <c r="N32" s="162"/>
      <c r="O32" s="15"/>
      <c r="P32" s="15"/>
      <c r="Q32" s="153"/>
      <c r="R32" s="153"/>
      <c r="V32" s="123"/>
      <c r="Z32" s="125"/>
      <c r="AA32" s="141"/>
    </row>
    <row r="33" spans="1:27" ht="12.75">
      <c r="A33" s="36" t="s">
        <v>306</v>
      </c>
      <c r="B33" s="266"/>
      <c r="C33" s="154" t="s">
        <v>232</v>
      </c>
      <c r="D33" s="18"/>
      <c r="E33" s="168"/>
      <c r="F33" s="181"/>
      <c r="G33" s="182"/>
      <c r="H33" s="180"/>
      <c r="I33" s="46"/>
      <c r="J33" s="125"/>
      <c r="K33" s="134"/>
      <c r="L33" s="167"/>
      <c r="O33" s="123"/>
      <c r="P33" s="140"/>
      <c r="V33" s="123"/>
      <c r="Z33" s="125"/>
      <c r="AA33" s="141"/>
    </row>
    <row r="34" spans="1:22" ht="12.75">
      <c r="A34" s="160" t="s">
        <v>307</v>
      </c>
      <c r="B34" s="291"/>
      <c r="C34" s="154" t="s">
        <v>233</v>
      </c>
      <c r="D34" s="51"/>
      <c r="E34" s="168"/>
      <c r="F34" s="45"/>
      <c r="G34" s="45"/>
      <c r="H34" s="45"/>
      <c r="I34" s="46"/>
      <c r="J34" s="125"/>
      <c r="K34" s="134"/>
      <c r="M34" s="143"/>
      <c r="N34" s="161"/>
      <c r="O34" s="140"/>
      <c r="P34" s="140"/>
      <c r="V34" s="123"/>
    </row>
    <row r="35" spans="1:22" ht="12.75">
      <c r="A35" s="305"/>
      <c r="B35" s="306"/>
      <c r="C35" s="168"/>
      <c r="D35" s="306"/>
      <c r="E35" s="168"/>
      <c r="F35" s="45"/>
      <c r="G35" s="45"/>
      <c r="H35" s="45"/>
      <c r="I35" s="46"/>
      <c r="J35" s="125"/>
      <c r="K35" s="134"/>
      <c r="M35" s="143"/>
      <c r="N35" s="161"/>
      <c r="O35" s="140"/>
      <c r="P35" s="140"/>
      <c r="V35" s="123"/>
    </row>
    <row r="36" spans="1:22" ht="12.75" customHeight="1">
      <c r="A36" s="36" t="s">
        <v>308</v>
      </c>
      <c r="B36" s="266"/>
      <c r="C36" s="154" t="s">
        <v>232</v>
      </c>
      <c r="D36" s="18"/>
      <c r="E36" s="168"/>
      <c r="F36" s="45"/>
      <c r="G36" s="45"/>
      <c r="H36" s="45"/>
      <c r="I36" s="46"/>
      <c r="J36" s="125"/>
      <c r="K36" s="134"/>
      <c r="L36" s="167"/>
      <c r="O36" s="123"/>
      <c r="P36" s="140"/>
      <c r="V36" s="123"/>
    </row>
    <row r="37" spans="1:22" ht="12.75" customHeight="1">
      <c r="A37" s="160" t="s">
        <v>309</v>
      </c>
      <c r="B37" s="291"/>
      <c r="C37" s="154" t="s">
        <v>233</v>
      </c>
      <c r="D37" s="51"/>
      <c r="E37" s="168"/>
      <c r="F37" s="45"/>
      <c r="G37" s="45"/>
      <c r="H37" s="45"/>
      <c r="I37" s="46"/>
      <c r="J37" s="125"/>
      <c r="K37" s="134"/>
      <c r="L37" s="167"/>
      <c r="M37" s="143"/>
      <c r="N37" s="161"/>
      <c r="O37" s="140"/>
      <c r="P37" s="140"/>
      <c r="V37" s="123"/>
    </row>
    <row r="38" spans="1:22" ht="12.75" customHeight="1">
      <c r="A38" s="304"/>
      <c r="B38" s="287"/>
      <c r="C38" s="287"/>
      <c r="D38" s="287"/>
      <c r="E38" s="168"/>
      <c r="F38" s="178"/>
      <c r="G38" s="45"/>
      <c r="H38" s="45"/>
      <c r="I38" s="46"/>
      <c r="K38" s="134"/>
      <c r="L38" s="153"/>
      <c r="M38" s="143"/>
      <c r="N38" s="161"/>
      <c r="O38" s="140"/>
      <c r="P38" s="140"/>
      <c r="V38" s="123"/>
    </row>
    <row r="39" spans="1:22" ht="12.75" customHeight="1">
      <c r="A39" s="304"/>
      <c r="B39" s="287"/>
      <c r="C39" s="287"/>
      <c r="D39" s="287"/>
      <c r="E39" s="168"/>
      <c r="F39" s="178"/>
      <c r="G39" s="163"/>
      <c r="H39" s="44"/>
      <c r="I39" s="46"/>
      <c r="K39" s="134"/>
      <c r="L39" s="171"/>
      <c r="M39" s="143"/>
      <c r="N39" s="161"/>
      <c r="O39" s="123"/>
      <c r="P39" s="140"/>
      <c r="V39" s="139"/>
    </row>
    <row r="40" spans="1:22" ht="12.75" customHeight="1">
      <c r="A40" s="38" t="s">
        <v>7</v>
      </c>
      <c r="B40" s="45"/>
      <c r="C40" s="178"/>
      <c r="D40" s="163"/>
      <c r="E40" s="168"/>
      <c r="F40" s="178"/>
      <c r="G40" s="163"/>
      <c r="H40" s="44"/>
      <c r="I40" s="46"/>
      <c r="K40" s="134"/>
      <c r="L40" s="167"/>
      <c r="M40" s="143"/>
      <c r="N40" s="161"/>
      <c r="O40" s="123"/>
      <c r="P40" s="140"/>
      <c r="V40" s="139"/>
    </row>
    <row r="41" spans="1:22" ht="12.75" customHeight="1">
      <c r="A41" s="305"/>
      <c r="B41" s="5"/>
      <c r="C41" s="289"/>
      <c r="D41" s="170"/>
      <c r="E41" s="168"/>
      <c r="F41" s="178"/>
      <c r="G41" s="163"/>
      <c r="H41" s="44"/>
      <c r="I41" s="46"/>
      <c r="K41" s="134"/>
      <c r="M41" s="143"/>
      <c r="N41" s="162"/>
      <c r="O41" s="123"/>
      <c r="P41" s="140"/>
      <c r="V41" s="123"/>
    </row>
    <row r="42" spans="1:22" ht="12.75">
      <c r="A42" s="38" t="s">
        <v>315</v>
      </c>
      <c r="B42" s="45"/>
      <c r="C42" s="178"/>
      <c r="D42" s="163"/>
      <c r="E42" s="168"/>
      <c r="F42" s="178"/>
      <c r="G42" s="163"/>
      <c r="H42" s="44"/>
      <c r="I42" s="46"/>
      <c r="J42" s="125"/>
      <c r="K42" s="134"/>
      <c r="M42" s="143"/>
      <c r="N42" s="161"/>
      <c r="O42" s="140"/>
      <c r="P42" s="140"/>
      <c r="V42" s="123"/>
    </row>
    <row r="43" spans="1:22" ht="12.75">
      <c r="A43" s="179" t="s">
        <v>286</v>
      </c>
      <c r="B43" s="273">
        <f>$N$4</f>
        <v>13.57622222222222</v>
      </c>
      <c r="C43" s="154" t="str">
        <f>IF($N$4="N.A.","",IF($N$4&gt;0,"ksi (compression)",IF($N$4&lt;0,"ksi (tension)","ksi")))</f>
        <v>ksi (compression)</v>
      </c>
      <c r="D43" s="45"/>
      <c r="E43" s="168"/>
      <c r="F43" s="76"/>
      <c r="G43" s="183"/>
      <c r="H43" s="44"/>
      <c r="I43" s="46"/>
      <c r="J43" s="125"/>
      <c r="K43" s="134"/>
      <c r="L43" s="167"/>
      <c r="O43" s="123"/>
      <c r="P43" s="140"/>
      <c r="V43" s="123"/>
    </row>
    <row r="44" spans="1:22" ht="12.75" customHeight="1">
      <c r="A44" s="179" t="s">
        <v>287</v>
      </c>
      <c r="B44" s="275">
        <f>$N$5</f>
        <v>0.12167676767676738</v>
      </c>
      <c r="C44" s="154" t="str">
        <f>IF($N$5="N.A.","",IF($N$5&gt;0,"ksi (compression)",IF($N$5&lt;0,"ksi (tension)","ksi")))</f>
        <v>ksi (compression)</v>
      </c>
      <c r="D44" s="45"/>
      <c r="E44" s="168"/>
      <c r="F44" s="45"/>
      <c r="G44" s="45"/>
      <c r="H44" s="45"/>
      <c r="I44" s="46"/>
      <c r="J44" s="125"/>
      <c r="K44" s="134"/>
      <c r="L44" s="167"/>
      <c r="M44" s="184"/>
      <c r="N44" s="138"/>
      <c r="O44" s="15"/>
      <c r="P44" s="140"/>
      <c r="V44" s="123"/>
    </row>
    <row r="45" spans="1:22" ht="12.75">
      <c r="A45" s="179" t="s">
        <v>288</v>
      </c>
      <c r="B45" s="275">
        <f>$N$6</f>
        <v>-8.96923232323232</v>
      </c>
      <c r="C45" s="154" t="str">
        <f>IF($N$6="N.A.","",IF($N$6&gt;0,"ksi (compression)",IF($N$6&lt;0,"ksi (tension)","ksi")))</f>
        <v>ksi (tension)</v>
      </c>
      <c r="D45" s="45"/>
      <c r="E45" s="168"/>
      <c r="F45" s="45"/>
      <c r="G45" s="45"/>
      <c r="H45" s="45"/>
      <c r="I45" s="185"/>
      <c r="J45" s="125"/>
      <c r="K45" s="134"/>
      <c r="L45" s="167"/>
      <c r="O45" s="123"/>
      <c r="P45" s="140"/>
      <c r="V45" s="123"/>
    </row>
    <row r="46" spans="1:22" ht="12.75">
      <c r="A46" s="179" t="s">
        <v>289</v>
      </c>
      <c r="B46" s="275" t="str">
        <f>$N$7</f>
        <v>N.A.</v>
      </c>
      <c r="C46" s="154">
        <f>IF($N$7="N.A.","",IF($N$7&gt;0,"ksi (compression)",IF($N$7&lt;0,"ksi (tension)","ksi")))</f>
      </c>
      <c r="D46" s="45"/>
      <c r="E46" s="168"/>
      <c r="F46" s="45"/>
      <c r="G46" s="45"/>
      <c r="H46" s="45"/>
      <c r="I46" s="46"/>
      <c r="J46" s="125"/>
      <c r="K46" s="134"/>
      <c r="L46" s="167"/>
      <c r="M46" s="186"/>
      <c r="N46" s="162"/>
      <c r="O46" s="15"/>
      <c r="P46" s="140"/>
      <c r="V46" s="123"/>
    </row>
    <row r="47" spans="1:22" ht="12.75">
      <c r="A47" s="179" t="s">
        <v>290</v>
      </c>
      <c r="B47" s="275" t="str">
        <f>$N$8</f>
        <v>N.A.</v>
      </c>
      <c r="C47" s="154">
        <f>IF($N$8="N.A.","",IF($N$8&gt;0,"ksi (compression)",IF($N$8&lt;0,"ksi (tension)","ksi")))</f>
      </c>
      <c r="D47" s="45"/>
      <c r="E47" s="168"/>
      <c r="F47" s="45"/>
      <c r="G47" s="45"/>
      <c r="H47" s="45"/>
      <c r="I47" s="187"/>
      <c r="J47" s="125"/>
      <c r="K47" s="134"/>
      <c r="L47" s="167"/>
      <c r="M47" s="186"/>
      <c r="N47" s="162"/>
      <c r="O47" s="15"/>
      <c r="P47" s="140"/>
      <c r="V47" s="123"/>
    </row>
    <row r="48" spans="1:22" ht="12.75" customHeight="1">
      <c r="A48" s="179" t="s">
        <v>291</v>
      </c>
      <c r="B48" s="339" t="str">
        <f>$N$9</f>
        <v>N.A.</v>
      </c>
      <c r="C48" s="154">
        <f>IF($N$9="N.A.","",IF($N$9&gt;0,"ksi (compression)",IF($N$9&lt;0,"ksi (tension)","ksi")))</f>
      </c>
      <c r="D48" s="45"/>
      <c r="E48" s="18"/>
      <c r="F48" s="18"/>
      <c r="G48" s="18"/>
      <c r="H48" s="18"/>
      <c r="I48" s="187"/>
      <c r="J48" s="125"/>
      <c r="K48" s="134"/>
      <c r="L48" s="171"/>
      <c r="M48" s="186"/>
      <c r="N48" s="161"/>
      <c r="O48" s="166"/>
      <c r="P48" s="156"/>
      <c r="V48" s="123"/>
    </row>
    <row r="49" spans="1:22" ht="12.75">
      <c r="A49" s="340"/>
      <c r="B49" s="288"/>
      <c r="C49" s="288"/>
      <c r="D49" s="288"/>
      <c r="E49" s="288"/>
      <c r="F49" s="288"/>
      <c r="G49" s="288"/>
      <c r="H49" s="288"/>
      <c r="I49" s="290"/>
      <c r="K49" s="134"/>
      <c r="L49" s="167"/>
      <c r="N49" s="143"/>
      <c r="O49" s="140"/>
      <c r="P49" s="140"/>
      <c r="V49" s="123"/>
    </row>
    <row r="50" spans="1:22" ht="12.75">
      <c r="A50" s="308" t="s">
        <v>234</v>
      </c>
      <c r="B50" s="18"/>
      <c r="C50" s="45"/>
      <c r="D50" s="45"/>
      <c r="E50" s="45"/>
      <c r="F50" s="45"/>
      <c r="G50" s="45"/>
      <c r="H50" s="45"/>
      <c r="I50" s="290"/>
      <c r="K50" s="134"/>
      <c r="L50" s="167"/>
      <c r="N50" s="143"/>
      <c r="O50" s="140"/>
      <c r="P50" s="140"/>
      <c r="V50" s="123"/>
    </row>
    <row r="51" spans="1:22" ht="12.75">
      <c r="A51" s="309"/>
      <c r="B51" s="307" t="s">
        <v>330</v>
      </c>
      <c r="C51" s="5"/>
      <c r="D51" s="5"/>
      <c r="E51" s="5"/>
      <c r="F51" s="5"/>
      <c r="G51" s="5"/>
      <c r="H51" s="5"/>
      <c r="I51" s="290"/>
      <c r="K51" s="134"/>
      <c r="L51" s="167"/>
      <c r="N51" s="143"/>
      <c r="O51" s="140"/>
      <c r="P51" s="140"/>
      <c r="V51" s="123"/>
    </row>
    <row r="52" spans="1:22" ht="12.75">
      <c r="A52" s="310"/>
      <c r="B52" s="311"/>
      <c r="C52" s="311"/>
      <c r="D52" s="311"/>
      <c r="E52" s="311"/>
      <c r="F52" s="311"/>
      <c r="G52" s="311"/>
      <c r="H52" s="311"/>
      <c r="I52" s="312"/>
      <c r="K52" s="134"/>
      <c r="M52" s="143"/>
      <c r="N52" s="161"/>
      <c r="O52" s="140"/>
      <c r="P52" s="140"/>
      <c r="V52" s="123"/>
    </row>
    <row r="53" spans="1:22" ht="12.75">
      <c r="A53" s="45"/>
      <c r="B53" s="180"/>
      <c r="C53" s="45"/>
      <c r="D53" s="45"/>
      <c r="E53" s="45"/>
      <c r="F53" s="45"/>
      <c r="G53" s="45"/>
      <c r="H53" s="188"/>
      <c r="I53" s="189"/>
      <c r="K53" s="134"/>
      <c r="M53" s="143"/>
      <c r="N53" s="161"/>
      <c r="O53" s="140"/>
      <c r="P53" s="15"/>
      <c r="V53" s="123"/>
    </row>
    <row r="54" spans="1:22" ht="12.75">
      <c r="A54" s="190"/>
      <c r="B54" s="45"/>
      <c r="C54" s="45"/>
      <c r="D54" s="45"/>
      <c r="E54" s="45"/>
      <c r="F54" s="45"/>
      <c r="G54" s="45"/>
      <c r="H54" s="188"/>
      <c r="I54" s="191"/>
      <c r="K54" s="134"/>
      <c r="M54" s="153"/>
      <c r="O54" s="123"/>
      <c r="P54" s="140"/>
      <c r="V54" s="123"/>
    </row>
    <row r="55" spans="1:22" ht="12.75">
      <c r="A55" s="45"/>
      <c r="B55" s="45"/>
      <c r="C55" s="45"/>
      <c r="D55" s="45"/>
      <c r="E55" s="45"/>
      <c r="F55" s="45"/>
      <c r="G55" s="45"/>
      <c r="H55" s="192"/>
      <c r="I55" s="193"/>
      <c r="K55" s="134"/>
      <c r="M55" s="143"/>
      <c r="N55" s="194"/>
      <c r="O55" s="140"/>
      <c r="P55" s="140"/>
      <c r="V55" s="123"/>
    </row>
    <row r="56" spans="1:22" ht="12.75">
      <c r="A56" s="190"/>
      <c r="B56" s="45"/>
      <c r="C56" s="45"/>
      <c r="D56" s="45"/>
      <c r="E56" s="45"/>
      <c r="F56" s="45"/>
      <c r="G56" s="45"/>
      <c r="H56" s="188"/>
      <c r="I56" s="193"/>
      <c r="K56" s="134"/>
      <c r="M56" s="143"/>
      <c r="N56" s="139"/>
      <c r="O56" s="140"/>
      <c r="P56" s="140"/>
      <c r="V56" s="123"/>
    </row>
    <row r="57" spans="1:22" ht="12.75">
      <c r="A57" s="195"/>
      <c r="B57" s="163"/>
      <c r="C57" s="176"/>
      <c r="D57" s="196"/>
      <c r="E57" s="98"/>
      <c r="F57" s="98"/>
      <c r="G57" s="98"/>
      <c r="H57" s="98"/>
      <c r="I57" s="98"/>
      <c r="K57" s="134"/>
      <c r="M57" s="151"/>
      <c r="N57" s="139"/>
      <c r="O57" s="140"/>
      <c r="P57" s="152"/>
      <c r="V57" s="123"/>
    </row>
    <row r="58" spans="1:22" ht="12.75">
      <c r="A58" s="197"/>
      <c r="B58" s="163"/>
      <c r="C58" s="188"/>
      <c r="D58" s="98"/>
      <c r="E58" s="98"/>
      <c r="F58" s="98"/>
      <c r="G58" s="98"/>
      <c r="H58" s="98"/>
      <c r="I58" s="198"/>
      <c r="K58" s="134"/>
      <c r="M58" s="151"/>
      <c r="N58" s="145"/>
      <c r="O58" s="140"/>
      <c r="P58" s="152"/>
      <c r="V58" s="123"/>
    </row>
    <row r="59" spans="1:22" ht="12.75">
      <c r="A59" s="197"/>
      <c r="B59" s="163"/>
      <c r="C59" s="188"/>
      <c r="D59" s="98"/>
      <c r="E59" s="98"/>
      <c r="F59" s="98"/>
      <c r="G59" s="98"/>
      <c r="H59" s="98"/>
      <c r="I59" s="98"/>
      <c r="K59" s="134"/>
      <c r="M59" s="199"/>
      <c r="N59" s="138"/>
      <c r="O59" s="15"/>
      <c r="P59" s="140"/>
      <c r="V59" s="123"/>
    </row>
    <row r="60" spans="1:22" ht="12.75">
      <c r="A60" s="197"/>
      <c r="B60" s="163"/>
      <c r="C60" s="188"/>
      <c r="D60" s="98"/>
      <c r="E60" s="98"/>
      <c r="F60" s="98"/>
      <c r="G60" s="98"/>
      <c r="H60" s="98"/>
      <c r="I60" s="98"/>
      <c r="K60" s="134"/>
      <c r="O60" s="123"/>
      <c r="P60" s="140"/>
      <c r="V60" s="123"/>
    </row>
    <row r="61" spans="1:22" ht="12.75">
      <c r="A61" s="195"/>
      <c r="B61" s="163"/>
      <c r="C61" s="44"/>
      <c r="D61" s="196"/>
      <c r="E61" s="98"/>
      <c r="F61" s="98"/>
      <c r="G61" s="98"/>
      <c r="H61" s="98"/>
      <c r="I61" s="98"/>
      <c r="K61" s="134"/>
      <c r="M61" s="186"/>
      <c r="N61" s="200"/>
      <c r="O61" s="15"/>
      <c r="P61" s="140"/>
      <c r="V61" s="123"/>
    </row>
    <row r="62" spans="1:22" ht="12.75">
      <c r="A62" s="97"/>
      <c r="B62" s="163"/>
      <c r="C62" s="176"/>
      <c r="D62" s="196"/>
      <c r="E62" s="98"/>
      <c r="F62" s="98"/>
      <c r="G62" s="98"/>
      <c r="H62" s="98"/>
      <c r="I62" s="98"/>
      <c r="K62" s="134"/>
      <c r="M62" s="186"/>
      <c r="N62" s="162"/>
      <c r="O62" s="15"/>
      <c r="P62" s="140"/>
      <c r="V62" s="123"/>
    </row>
    <row r="63" spans="1:22" ht="12.75">
      <c r="A63" s="197"/>
      <c r="B63" s="163"/>
      <c r="C63" s="176"/>
      <c r="D63" s="176"/>
      <c r="E63" s="98"/>
      <c r="F63" s="98"/>
      <c r="G63" s="98"/>
      <c r="H63" s="98"/>
      <c r="I63" s="98"/>
      <c r="K63" s="134"/>
      <c r="M63" s="201"/>
      <c r="N63" s="162"/>
      <c r="O63" s="166"/>
      <c r="P63" s="156"/>
      <c r="V63" s="123"/>
    </row>
    <row r="64" spans="1:22" ht="12.75">
      <c r="A64" s="98"/>
      <c r="B64" s="98"/>
      <c r="C64" s="98"/>
      <c r="D64" s="98"/>
      <c r="E64" s="98"/>
      <c r="F64" s="98"/>
      <c r="G64" s="98"/>
      <c r="H64" s="98"/>
      <c r="I64" s="98"/>
      <c r="K64" s="134"/>
      <c r="N64" s="143"/>
      <c r="O64" s="140"/>
      <c r="P64" s="140"/>
      <c r="V64" s="123"/>
    </row>
    <row r="65" spans="1:22" ht="12.75">
      <c r="A65" s="190"/>
      <c r="B65" s="98"/>
      <c r="C65" s="98"/>
      <c r="D65" s="98"/>
      <c r="E65" s="98"/>
      <c r="F65" s="98"/>
      <c r="G65" s="98"/>
      <c r="H65" s="98"/>
      <c r="I65" s="198"/>
      <c r="K65" s="134"/>
      <c r="M65" s="143"/>
      <c r="N65" s="161"/>
      <c r="O65" s="140"/>
      <c r="P65" s="140"/>
      <c r="S65" s="202"/>
      <c r="V65" s="123"/>
    </row>
    <row r="66" spans="1:22" ht="12.75">
      <c r="A66" s="197"/>
      <c r="B66" s="174"/>
      <c r="C66" s="176"/>
      <c r="D66" s="176"/>
      <c r="E66" s="98"/>
      <c r="F66" s="98"/>
      <c r="G66" s="98"/>
      <c r="H66" s="98"/>
      <c r="I66" s="98"/>
      <c r="K66" s="134"/>
      <c r="M66" s="143"/>
      <c r="N66" s="161"/>
      <c r="O66" s="140"/>
      <c r="P66" s="15"/>
      <c r="V66" s="123"/>
    </row>
    <row r="67" spans="1:22" ht="12.75">
      <c r="A67" s="94"/>
      <c r="B67" s="174"/>
      <c r="C67" s="176"/>
      <c r="D67" s="176"/>
      <c r="E67" s="98"/>
      <c r="F67" s="98"/>
      <c r="G67" s="98"/>
      <c r="H67" s="98"/>
      <c r="I67" s="98"/>
      <c r="K67" s="134"/>
      <c r="M67" s="143"/>
      <c r="N67" s="161"/>
      <c r="O67" s="140"/>
      <c r="P67" s="140"/>
      <c r="V67" s="123"/>
    </row>
    <row r="68" spans="1:22" ht="12.75">
      <c r="A68" s="197"/>
      <c r="B68" s="174"/>
      <c r="C68" s="103"/>
      <c r="D68" s="176"/>
      <c r="E68" s="98"/>
      <c r="F68" s="98"/>
      <c r="G68" s="98"/>
      <c r="H68" s="98"/>
      <c r="I68" s="98"/>
      <c r="K68" s="134"/>
      <c r="M68" s="143"/>
      <c r="N68" s="162"/>
      <c r="O68" s="140"/>
      <c r="P68" s="140"/>
      <c r="V68" s="123"/>
    </row>
    <row r="69" spans="1:22" ht="12.75">
      <c r="A69" s="197"/>
      <c r="B69" s="174"/>
      <c r="C69" s="176"/>
      <c r="D69" s="176"/>
      <c r="E69" s="98"/>
      <c r="F69" s="98"/>
      <c r="G69" s="98"/>
      <c r="H69" s="98"/>
      <c r="I69" s="98"/>
      <c r="K69" s="134"/>
      <c r="M69" s="143"/>
      <c r="N69" s="161"/>
      <c r="O69" s="140"/>
      <c r="P69" s="9"/>
      <c r="V69" s="123"/>
    </row>
    <row r="70" spans="1:22" ht="12.75">
      <c r="A70" s="197"/>
      <c r="B70" s="174"/>
      <c r="C70" s="176"/>
      <c r="D70" s="176"/>
      <c r="E70" s="98"/>
      <c r="F70" s="98"/>
      <c r="G70" s="98"/>
      <c r="H70" s="98"/>
      <c r="I70" s="98"/>
      <c r="K70" s="134"/>
      <c r="M70" s="143"/>
      <c r="N70" s="161"/>
      <c r="O70" s="140"/>
      <c r="P70" s="140"/>
      <c r="V70" s="123"/>
    </row>
    <row r="71" spans="1:22" ht="12.75">
      <c r="A71" s="197"/>
      <c r="B71" s="174"/>
      <c r="C71" s="103"/>
      <c r="D71" s="176"/>
      <c r="E71" s="98"/>
      <c r="F71" s="98"/>
      <c r="G71" s="98"/>
      <c r="H71" s="98"/>
      <c r="I71" s="98"/>
      <c r="K71" s="134"/>
      <c r="M71" s="140"/>
      <c r="O71" s="123"/>
      <c r="P71" s="140"/>
      <c r="V71" s="123"/>
    </row>
    <row r="72" spans="1:22" ht="12.75">
      <c r="A72" s="98"/>
      <c r="B72" s="98"/>
      <c r="C72" s="98"/>
      <c r="D72" s="98"/>
      <c r="E72" s="98"/>
      <c r="F72" s="98"/>
      <c r="G72" s="98"/>
      <c r="H72" s="98"/>
      <c r="I72" s="98"/>
      <c r="K72" s="134"/>
      <c r="M72" s="143"/>
      <c r="N72" s="194"/>
      <c r="O72" s="140"/>
      <c r="P72" s="140"/>
      <c r="V72" s="123"/>
    </row>
    <row r="73" spans="1:22" ht="12.75">
      <c r="A73" s="190"/>
      <c r="B73" s="98"/>
      <c r="C73" s="98"/>
      <c r="D73" s="98"/>
      <c r="E73" s="98"/>
      <c r="F73" s="98"/>
      <c r="G73" s="98"/>
      <c r="H73" s="98"/>
      <c r="I73" s="98"/>
      <c r="K73" s="134"/>
      <c r="M73" s="143"/>
      <c r="N73" s="161"/>
      <c r="O73" s="140"/>
      <c r="P73" s="140"/>
      <c r="V73" s="123"/>
    </row>
    <row r="74" spans="1:22" ht="12.75">
      <c r="A74" s="98"/>
      <c r="B74" s="98"/>
      <c r="C74" s="98"/>
      <c r="D74" s="98"/>
      <c r="E74" s="98"/>
      <c r="F74" s="98"/>
      <c r="G74" s="98"/>
      <c r="H74" s="98"/>
      <c r="I74" s="98"/>
      <c r="M74" s="151"/>
      <c r="N74" s="139"/>
      <c r="O74" s="140"/>
      <c r="P74" s="152"/>
      <c r="V74" s="123"/>
    </row>
    <row r="75" spans="1:22" ht="12.75">
      <c r="A75" s="197"/>
      <c r="B75" s="174"/>
      <c r="C75" s="176"/>
      <c r="D75" s="98"/>
      <c r="E75" s="98"/>
      <c r="F75" s="98"/>
      <c r="G75" s="98"/>
      <c r="H75" s="45"/>
      <c r="I75" s="45"/>
      <c r="M75" s="151"/>
      <c r="N75" s="145"/>
      <c r="O75" s="140"/>
      <c r="P75" s="152"/>
      <c r="V75" s="123"/>
    </row>
    <row r="76" spans="1:22" ht="12.75">
      <c r="A76" s="45"/>
      <c r="B76" s="45"/>
      <c r="C76" s="45"/>
      <c r="D76" s="44"/>
      <c r="E76" s="98"/>
      <c r="F76" s="98"/>
      <c r="G76" s="98"/>
      <c r="H76" s="98"/>
      <c r="I76" s="98"/>
      <c r="M76" s="140"/>
      <c r="O76" s="123"/>
      <c r="P76" s="140"/>
      <c r="V76" s="161"/>
    </row>
    <row r="77" spans="1:22" ht="12.75">
      <c r="A77" s="197"/>
      <c r="B77" s="174"/>
      <c r="C77" s="44"/>
      <c r="D77" s="44"/>
      <c r="E77" s="44"/>
      <c r="F77" s="98"/>
      <c r="G77" s="98"/>
      <c r="H77" s="98"/>
      <c r="I77" s="45"/>
      <c r="M77" s="143"/>
      <c r="N77" s="161"/>
      <c r="O77" s="140"/>
      <c r="P77" s="140"/>
      <c r="V77" s="123"/>
    </row>
    <row r="78" spans="1:22" ht="12.75">
      <c r="A78" s="197"/>
      <c r="B78" s="174"/>
      <c r="C78" s="44"/>
      <c r="D78" s="176"/>
      <c r="E78" s="176"/>
      <c r="F78" s="98"/>
      <c r="G78" s="98"/>
      <c r="H78" s="98"/>
      <c r="I78" s="45"/>
      <c r="M78" s="143"/>
      <c r="N78" s="161"/>
      <c r="O78" s="140"/>
      <c r="P78" s="15"/>
      <c r="V78" s="123"/>
    </row>
    <row r="79" spans="1:22" ht="12.75">
      <c r="A79" s="97"/>
      <c r="B79" s="163"/>
      <c r="C79" s="44"/>
      <c r="D79" s="196"/>
      <c r="E79" s="196"/>
      <c r="F79" s="98"/>
      <c r="G79" s="98"/>
      <c r="H79" s="98"/>
      <c r="I79" s="98"/>
      <c r="M79" s="140"/>
      <c r="O79" s="123"/>
      <c r="P79" s="140"/>
      <c r="V79" s="123"/>
    </row>
    <row r="80" spans="1:22" ht="12.75">
      <c r="A80" s="97"/>
      <c r="B80" s="163"/>
      <c r="C80" s="44"/>
      <c r="D80" s="196"/>
      <c r="E80" s="196"/>
      <c r="F80" s="98"/>
      <c r="G80" s="98"/>
      <c r="H80" s="98"/>
      <c r="I80" s="98"/>
      <c r="M80" s="143"/>
      <c r="N80" s="161"/>
      <c r="O80" s="140"/>
      <c r="P80" s="140"/>
      <c r="V80" s="123"/>
    </row>
    <row r="81" spans="1:22" ht="12.75">
      <c r="A81" s="98"/>
      <c r="B81" s="98"/>
      <c r="C81" s="98"/>
      <c r="D81" s="44"/>
      <c r="E81" s="98"/>
      <c r="F81" s="98"/>
      <c r="G81" s="98"/>
      <c r="H81" s="98"/>
      <c r="I81" s="98"/>
      <c r="M81" s="143"/>
      <c r="N81" s="161"/>
      <c r="O81" s="140"/>
      <c r="P81" s="140"/>
      <c r="V81" s="123"/>
    </row>
    <row r="82" spans="1:22" ht="12.75">
      <c r="A82" s="98"/>
      <c r="B82" s="98"/>
      <c r="C82" s="98"/>
      <c r="D82" s="98"/>
      <c r="E82" s="98"/>
      <c r="F82" s="98"/>
      <c r="G82" s="45"/>
      <c r="H82" s="98"/>
      <c r="I82" s="98"/>
      <c r="M82" s="199"/>
      <c r="N82" s="138"/>
      <c r="O82" s="15"/>
      <c r="P82" s="140"/>
      <c r="S82" s="162"/>
      <c r="V82" s="123"/>
    </row>
    <row r="83" spans="1:22" ht="12.75">
      <c r="A83" s="203"/>
      <c r="B83" s="98"/>
      <c r="C83" s="98"/>
      <c r="D83" s="98"/>
      <c r="E83" s="98"/>
      <c r="F83" s="45"/>
      <c r="G83" s="98"/>
      <c r="H83" s="98"/>
      <c r="I83" s="98"/>
      <c r="O83" s="123"/>
      <c r="P83" s="140"/>
      <c r="V83" s="123"/>
    </row>
    <row r="84" spans="1:22" ht="12.75">
      <c r="A84" s="45"/>
      <c r="B84" s="45"/>
      <c r="C84" s="45"/>
      <c r="D84" s="44"/>
      <c r="E84" s="45"/>
      <c r="F84" s="98"/>
      <c r="G84" s="98"/>
      <c r="H84" s="98"/>
      <c r="I84" s="98"/>
      <c r="M84" s="164"/>
      <c r="N84" s="162"/>
      <c r="O84" s="204"/>
      <c r="P84" s="140"/>
      <c r="V84" s="123"/>
    </row>
    <row r="85" spans="1:22" ht="12.75">
      <c r="A85" s="178"/>
      <c r="B85" s="163"/>
      <c r="C85" s="44"/>
      <c r="D85" s="44"/>
      <c r="E85" s="45"/>
      <c r="F85" s="45"/>
      <c r="G85" s="45"/>
      <c r="H85" s="45"/>
      <c r="I85" s="45"/>
      <c r="M85" s="164"/>
      <c r="N85" s="162"/>
      <c r="O85" s="15"/>
      <c r="P85" s="140"/>
      <c r="V85" s="123"/>
    </row>
    <row r="86" spans="1:22" ht="12.75">
      <c r="A86" s="178"/>
      <c r="B86" s="163"/>
      <c r="C86" s="44"/>
      <c r="D86" s="44"/>
      <c r="E86" s="45"/>
      <c r="F86" s="45"/>
      <c r="G86" s="45"/>
      <c r="H86" s="45"/>
      <c r="I86" s="98"/>
      <c r="O86" s="123"/>
      <c r="P86" s="140"/>
      <c r="V86" s="123"/>
    </row>
    <row r="87" spans="1:22" ht="12.75">
      <c r="A87" s="178"/>
      <c r="B87" s="174"/>
      <c r="C87" s="44"/>
      <c r="D87" s="44"/>
      <c r="E87" s="98"/>
      <c r="F87" s="98"/>
      <c r="G87" s="98"/>
      <c r="H87" s="98"/>
      <c r="I87" s="45"/>
      <c r="M87" s="143"/>
      <c r="N87" s="205"/>
      <c r="O87" s="140"/>
      <c r="P87" s="140"/>
      <c r="V87" s="123"/>
    </row>
    <row r="88" spans="1:22" ht="12.75">
      <c r="A88" s="178"/>
      <c r="B88" s="174"/>
      <c r="C88" s="44"/>
      <c r="D88" s="44"/>
      <c r="E88" s="45"/>
      <c r="F88" s="45"/>
      <c r="G88" s="98"/>
      <c r="H88" s="45"/>
      <c r="I88" s="45"/>
      <c r="M88" s="143"/>
      <c r="N88" s="161"/>
      <c r="O88" s="140"/>
      <c r="P88" s="140"/>
      <c r="V88" s="123"/>
    </row>
    <row r="89" spans="1:22" ht="12.75">
      <c r="A89" s="45"/>
      <c r="B89" s="98"/>
      <c r="C89" s="98"/>
      <c r="D89" s="44"/>
      <c r="E89" s="98"/>
      <c r="F89" s="98"/>
      <c r="G89" s="98"/>
      <c r="H89" s="98"/>
      <c r="I89" s="98"/>
      <c r="M89" s="143"/>
      <c r="N89" s="161"/>
      <c r="O89" s="140"/>
      <c r="P89" s="140"/>
      <c r="V89" s="123"/>
    </row>
    <row r="90" spans="1:22" ht="12.75">
      <c r="A90" s="178"/>
      <c r="B90" s="174"/>
      <c r="C90" s="44"/>
      <c r="D90" s="44"/>
      <c r="E90" s="45"/>
      <c r="F90" s="45"/>
      <c r="G90" s="45"/>
      <c r="H90" s="45"/>
      <c r="I90" s="45"/>
      <c r="M90" s="143"/>
      <c r="N90" s="161"/>
      <c r="O90" s="140"/>
      <c r="P90" s="140"/>
      <c r="V90" s="123"/>
    </row>
    <row r="91" spans="1:22" ht="12.75">
      <c r="A91" s="178"/>
      <c r="B91" s="206"/>
      <c r="C91" s="44"/>
      <c r="D91" s="44"/>
      <c r="E91" s="98"/>
      <c r="F91" s="98"/>
      <c r="G91" s="98"/>
      <c r="H91" s="45"/>
      <c r="I91" s="45"/>
      <c r="M91" s="143"/>
      <c r="N91" s="162"/>
      <c r="O91" s="123"/>
      <c r="P91" s="140"/>
      <c r="V91" s="123"/>
    </row>
    <row r="92" spans="1:22" ht="12.75">
      <c r="A92" s="45"/>
      <c r="B92" s="98"/>
      <c r="C92" s="98"/>
      <c r="D92" s="44"/>
      <c r="E92" s="98"/>
      <c r="F92" s="98"/>
      <c r="G92" s="98"/>
      <c r="H92" s="98"/>
      <c r="I92" s="45"/>
      <c r="M92" s="143"/>
      <c r="N92" s="162"/>
      <c r="O92" s="123"/>
      <c r="P92" s="140"/>
      <c r="V92" s="123"/>
    </row>
    <row r="93" spans="1:22" ht="12.75">
      <c r="A93" s="197"/>
      <c r="B93" s="174"/>
      <c r="C93" s="176"/>
      <c r="D93" s="44"/>
      <c r="E93" s="98"/>
      <c r="F93" s="98"/>
      <c r="G93" s="98"/>
      <c r="H93" s="98"/>
      <c r="I93" s="45"/>
      <c r="M93" s="143"/>
      <c r="N93" s="172"/>
      <c r="O93" s="140"/>
      <c r="P93" s="207"/>
      <c r="R93" s="208"/>
      <c r="S93" s="134"/>
      <c r="V93" s="123"/>
    </row>
    <row r="94" spans="1:22" ht="12.75">
      <c r="A94" s="197"/>
      <c r="B94" s="174"/>
      <c r="C94" s="176"/>
      <c r="D94" s="44"/>
      <c r="E94" s="98"/>
      <c r="F94" s="98"/>
      <c r="G94" s="98"/>
      <c r="H94" s="98"/>
      <c r="I94" s="98"/>
      <c r="M94" s="143"/>
      <c r="N94" s="172"/>
      <c r="O94" s="140"/>
      <c r="P94" s="207"/>
      <c r="R94" s="162"/>
      <c r="U94" s="139"/>
      <c r="V94" s="123"/>
    </row>
    <row r="95" spans="1:22" ht="12.75">
      <c r="A95" s="197"/>
      <c r="B95" s="174"/>
      <c r="C95" s="98"/>
      <c r="D95" s="44"/>
      <c r="E95" s="98"/>
      <c r="F95" s="98"/>
      <c r="G95" s="98"/>
      <c r="H95" s="98"/>
      <c r="I95" s="98"/>
      <c r="M95" s="143"/>
      <c r="N95" s="161"/>
      <c r="O95" s="15"/>
      <c r="P95" s="15"/>
      <c r="V95" s="123"/>
    </row>
    <row r="96" spans="1:22" ht="12.75">
      <c r="A96" s="197"/>
      <c r="B96" s="174"/>
      <c r="C96" s="98"/>
      <c r="D96" s="176"/>
      <c r="E96" s="98"/>
      <c r="F96" s="98"/>
      <c r="G96" s="98"/>
      <c r="H96" s="98"/>
      <c r="I96" s="45"/>
      <c r="M96" s="143"/>
      <c r="N96" s="161"/>
      <c r="O96" s="140"/>
      <c r="P96" s="140"/>
      <c r="V96" s="123"/>
    </row>
    <row r="97" spans="1:22" ht="12.75">
      <c r="A97" s="197"/>
      <c r="B97" s="174"/>
      <c r="C97" s="98"/>
      <c r="D97" s="176"/>
      <c r="E97" s="98"/>
      <c r="F97" s="98"/>
      <c r="G97" s="98"/>
      <c r="H97" s="98"/>
      <c r="I97" s="98"/>
      <c r="M97" s="143"/>
      <c r="N97" s="172"/>
      <c r="O97" s="140"/>
      <c r="P97" s="207"/>
      <c r="V97" s="123"/>
    </row>
    <row r="98" spans="1:16" ht="12.75">
      <c r="A98" s="197"/>
      <c r="B98" s="174"/>
      <c r="C98" s="176"/>
      <c r="D98" s="98"/>
      <c r="E98" s="98"/>
      <c r="F98" s="98"/>
      <c r="G98" s="98"/>
      <c r="H98" s="98"/>
      <c r="I98" s="45"/>
      <c r="M98" s="143"/>
      <c r="N98" s="172"/>
      <c r="O98" s="140"/>
      <c r="P98" s="207"/>
    </row>
    <row r="99" spans="1:22" ht="12.75">
      <c r="A99" s="45"/>
      <c r="B99" s="193"/>
      <c r="C99" s="45"/>
      <c r="D99" s="176"/>
      <c r="E99" s="98"/>
      <c r="F99" s="98"/>
      <c r="G99" s="98"/>
      <c r="H99" s="98"/>
      <c r="I99" s="45"/>
      <c r="M99" s="167"/>
      <c r="N99" s="172"/>
      <c r="O99" s="15"/>
      <c r="P99" s="207"/>
      <c r="S99" s="17"/>
      <c r="V99" s="123"/>
    </row>
    <row r="100" spans="1:22" ht="12.75">
      <c r="A100" s="45"/>
      <c r="B100" s="193"/>
      <c r="C100" s="45"/>
      <c r="D100" s="176"/>
      <c r="E100" s="98"/>
      <c r="F100" s="98"/>
      <c r="G100" s="98"/>
      <c r="H100" s="98"/>
      <c r="I100" s="98"/>
      <c r="M100" s="167"/>
      <c r="N100" s="172"/>
      <c r="O100" s="15"/>
      <c r="P100" s="207"/>
      <c r="R100" s="140"/>
      <c r="V100" s="123"/>
    </row>
    <row r="101" spans="1:22" ht="12.75">
      <c r="A101" s="98"/>
      <c r="B101" s="98"/>
      <c r="C101" s="98"/>
      <c r="D101" s="98"/>
      <c r="E101" s="98"/>
      <c r="F101" s="98"/>
      <c r="G101" s="98"/>
      <c r="H101" s="45"/>
      <c r="I101" s="45"/>
      <c r="M101" s="140"/>
      <c r="O101" s="123"/>
      <c r="P101" s="140"/>
      <c r="V101" s="123"/>
    </row>
    <row r="102" spans="1:22" ht="12.75">
      <c r="A102" s="98"/>
      <c r="B102" s="98"/>
      <c r="C102" s="98"/>
      <c r="D102" s="98"/>
      <c r="E102" s="45"/>
      <c r="F102" s="45"/>
      <c r="G102" s="45"/>
      <c r="H102" s="188"/>
      <c r="I102" s="193"/>
      <c r="M102" s="167"/>
      <c r="N102" s="209"/>
      <c r="O102" s="140"/>
      <c r="P102" s="140"/>
      <c r="V102" s="123"/>
    </row>
    <row r="103" spans="1:22" ht="12.75">
      <c r="A103" s="18"/>
      <c r="B103" s="18"/>
      <c r="C103" s="18"/>
      <c r="D103" s="18"/>
      <c r="E103" s="45"/>
      <c r="F103" s="45"/>
      <c r="G103" s="45"/>
      <c r="H103" s="47"/>
      <c r="I103" s="105"/>
      <c r="M103" s="167"/>
      <c r="N103" s="209"/>
      <c r="O103" s="140"/>
      <c r="P103" s="140"/>
      <c r="V103" s="123"/>
    </row>
    <row r="104" spans="1:22" ht="12.75">
      <c r="A104" s="210"/>
      <c r="B104" s="18"/>
      <c r="C104" s="18"/>
      <c r="D104" s="18"/>
      <c r="E104" s="18"/>
      <c r="F104" s="18"/>
      <c r="G104" s="18"/>
      <c r="H104" s="47"/>
      <c r="I104" s="106"/>
      <c r="M104" s="167"/>
      <c r="N104" s="209"/>
      <c r="O104" s="140"/>
      <c r="P104" s="140"/>
      <c r="V104" s="123"/>
    </row>
    <row r="105" spans="1:22" ht="12.75">
      <c r="A105" s="18"/>
      <c r="B105" s="18"/>
      <c r="C105" s="18"/>
      <c r="D105" s="18"/>
      <c r="E105" s="18"/>
      <c r="F105" s="18"/>
      <c r="G105" s="18"/>
      <c r="H105" s="47"/>
      <c r="I105" s="24"/>
      <c r="M105" s="143"/>
      <c r="N105" s="205"/>
      <c r="O105" s="140"/>
      <c r="P105" s="140"/>
      <c r="V105" s="123"/>
    </row>
    <row r="106" spans="1:22" ht="12.75">
      <c r="A106" s="211"/>
      <c r="B106" s="70"/>
      <c r="C106" s="44"/>
      <c r="D106" s="176"/>
      <c r="E106" s="18"/>
      <c r="F106" s="18"/>
      <c r="G106" s="18"/>
      <c r="H106" s="47"/>
      <c r="I106" s="24"/>
      <c r="M106" s="151"/>
      <c r="N106" s="205"/>
      <c r="O106" s="123"/>
      <c r="P106" s="152"/>
      <c r="V106" s="123"/>
    </row>
    <row r="107" spans="1:22" ht="12.75">
      <c r="A107" s="211"/>
      <c r="B107" s="70"/>
      <c r="C107" s="44"/>
      <c r="D107" s="176"/>
      <c r="E107" s="18"/>
      <c r="F107" s="18"/>
      <c r="G107" s="18"/>
      <c r="H107" s="47"/>
      <c r="I107" s="18"/>
      <c r="M107" s="143"/>
      <c r="N107" s="134"/>
      <c r="O107" s="140"/>
      <c r="P107" s="140"/>
      <c r="V107" s="123"/>
    </row>
    <row r="108" spans="1:22" ht="12.75">
      <c r="A108" s="211"/>
      <c r="B108" s="70"/>
      <c r="C108" s="103"/>
      <c r="D108" s="176"/>
      <c r="E108" s="18"/>
      <c r="F108" s="18"/>
      <c r="G108" s="18"/>
      <c r="H108" s="18"/>
      <c r="I108" s="18"/>
      <c r="M108" s="143"/>
      <c r="N108" s="134"/>
      <c r="O108" s="140"/>
      <c r="P108" s="140"/>
      <c r="V108" s="123"/>
    </row>
    <row r="109" spans="1:22" ht="12.75">
      <c r="A109" s="18"/>
      <c r="B109" s="18"/>
      <c r="C109" s="18"/>
      <c r="D109" s="18"/>
      <c r="E109" s="18"/>
      <c r="F109" s="18"/>
      <c r="G109" s="18"/>
      <c r="H109" s="18"/>
      <c r="I109" s="18"/>
      <c r="M109" s="143"/>
      <c r="N109" s="205"/>
      <c r="O109" s="140"/>
      <c r="P109" s="140"/>
      <c r="V109" s="123"/>
    </row>
    <row r="110" spans="1:22" ht="12.75">
      <c r="A110" s="45"/>
      <c r="B110" s="178"/>
      <c r="C110" s="44"/>
      <c r="D110" s="44"/>
      <c r="E110" s="18"/>
      <c r="F110" s="18"/>
      <c r="G110" s="18"/>
      <c r="H110" s="18"/>
      <c r="I110" s="18"/>
      <c r="M110" s="151"/>
      <c r="N110" s="205"/>
      <c r="O110" s="123"/>
      <c r="P110" s="152"/>
      <c r="V110" s="123"/>
    </row>
    <row r="111" spans="1:22" ht="12.75">
      <c r="A111" s="178"/>
      <c r="B111" s="70"/>
      <c r="C111" s="44"/>
      <c r="D111" s="44"/>
      <c r="E111" s="18"/>
      <c r="F111" s="18"/>
      <c r="G111" s="18"/>
      <c r="H111" s="18"/>
      <c r="I111" s="18"/>
      <c r="M111" s="151"/>
      <c r="N111" s="145"/>
      <c r="O111" s="123"/>
      <c r="P111" s="152"/>
      <c r="V111" s="123"/>
    </row>
    <row r="112" spans="1:22" ht="12.75">
      <c r="A112" s="178"/>
      <c r="B112" s="70"/>
      <c r="C112" s="44"/>
      <c r="D112" s="44"/>
      <c r="E112" s="18"/>
      <c r="F112" s="18"/>
      <c r="G112" s="18"/>
      <c r="H112" s="212"/>
      <c r="I112" s="98"/>
      <c r="M112" s="151"/>
      <c r="N112" s="205"/>
      <c r="O112" s="123"/>
      <c r="P112" s="17"/>
      <c r="V112" s="123"/>
    </row>
    <row r="113" spans="1:22" ht="12.75">
      <c r="A113" s="18"/>
      <c r="B113" s="18"/>
      <c r="C113" s="18"/>
      <c r="D113" s="18"/>
      <c r="E113" s="18"/>
      <c r="F113" s="18"/>
      <c r="G113" s="18"/>
      <c r="H113" s="18"/>
      <c r="I113" s="18"/>
      <c r="M113" s="143"/>
      <c r="N113" s="139"/>
      <c r="O113" s="140"/>
      <c r="P113" s="140"/>
      <c r="V113" s="123"/>
    </row>
    <row r="114" spans="1:22" ht="12.75">
      <c r="A114" s="45"/>
      <c r="B114" s="45"/>
      <c r="C114" s="45"/>
      <c r="D114" s="44"/>
      <c r="E114" s="45"/>
      <c r="F114" s="45"/>
      <c r="G114" s="45"/>
      <c r="H114" s="45"/>
      <c r="I114" s="45"/>
      <c r="M114" s="143"/>
      <c r="N114" s="139"/>
      <c r="O114" s="140"/>
      <c r="P114" s="140"/>
      <c r="V114" s="123"/>
    </row>
    <row r="115" spans="1:22" ht="12.75">
      <c r="A115" s="197"/>
      <c r="B115" s="70"/>
      <c r="C115" s="176"/>
      <c r="D115" s="176"/>
      <c r="E115" s="18"/>
      <c r="F115" s="18"/>
      <c r="G115" s="18"/>
      <c r="H115" s="18"/>
      <c r="I115" s="18"/>
      <c r="M115" s="151"/>
      <c r="N115" s="205"/>
      <c r="O115" s="123"/>
      <c r="P115" s="152"/>
      <c r="V115" s="123"/>
    </row>
    <row r="116" spans="1:22" ht="12.75">
      <c r="A116" s="197"/>
      <c r="B116" s="51"/>
      <c r="C116" s="176"/>
      <c r="D116" s="176"/>
      <c r="E116" s="18"/>
      <c r="F116" s="18"/>
      <c r="G116" s="18"/>
      <c r="H116" s="18"/>
      <c r="I116" s="18"/>
      <c r="M116" s="143"/>
      <c r="N116" s="161"/>
      <c r="O116" s="140"/>
      <c r="P116" s="125"/>
      <c r="V116" s="123"/>
    </row>
    <row r="117" spans="1:22" ht="12.75">
      <c r="A117" s="97"/>
      <c r="B117" s="51"/>
      <c r="C117" s="176"/>
      <c r="D117" s="196"/>
      <c r="E117" s="18"/>
      <c r="F117" s="18"/>
      <c r="G117" s="18"/>
      <c r="H117" s="18"/>
      <c r="I117" s="18"/>
      <c r="O117" s="123"/>
      <c r="P117" s="125"/>
      <c r="V117" s="123"/>
    </row>
    <row r="118" spans="1:22" ht="12.75">
      <c r="A118" s="97"/>
      <c r="B118" s="51"/>
      <c r="C118" s="176"/>
      <c r="D118" s="196"/>
      <c r="E118" s="18"/>
      <c r="F118" s="18"/>
      <c r="G118" s="18"/>
      <c r="H118" s="18"/>
      <c r="I118" s="18"/>
      <c r="M118" s="140"/>
      <c r="O118" s="123"/>
      <c r="P118" s="213"/>
      <c r="V118" s="123"/>
    </row>
    <row r="119" spans="1:22" ht="12.75">
      <c r="A119" s="18"/>
      <c r="B119" s="18"/>
      <c r="C119" s="18"/>
      <c r="D119" s="18"/>
      <c r="E119" s="18"/>
      <c r="F119" s="18"/>
      <c r="G119" s="214"/>
      <c r="H119" s="18"/>
      <c r="I119" s="18"/>
      <c r="M119" s="143"/>
      <c r="N119" s="161"/>
      <c r="O119" s="140"/>
      <c r="P119" s="140"/>
      <c r="V119" s="123"/>
    </row>
    <row r="120" spans="1:22" ht="12.75">
      <c r="A120" s="215"/>
      <c r="B120" s="70"/>
      <c r="C120" s="44"/>
      <c r="D120" s="44"/>
      <c r="E120" s="45"/>
      <c r="F120" s="214"/>
      <c r="G120" s="45"/>
      <c r="H120" s="45"/>
      <c r="I120" s="45"/>
      <c r="M120" s="143"/>
      <c r="N120" s="161"/>
      <c r="O120" s="140"/>
      <c r="P120" s="140"/>
      <c r="V120" s="123"/>
    </row>
    <row r="121" spans="1:22" ht="12.75">
      <c r="A121" s="18"/>
      <c r="B121" s="18"/>
      <c r="C121" s="18"/>
      <c r="D121" s="18"/>
      <c r="E121" s="18"/>
      <c r="F121" s="18"/>
      <c r="G121" s="18"/>
      <c r="H121" s="18"/>
      <c r="I121" s="18"/>
      <c r="M121" s="143"/>
      <c r="N121" s="161"/>
      <c r="O121" s="140"/>
      <c r="P121" s="140"/>
      <c r="V121" s="123"/>
    </row>
    <row r="122" spans="1:22" ht="12.75">
      <c r="A122" s="211"/>
      <c r="B122" s="216"/>
      <c r="C122" s="44"/>
      <c r="D122" s="176"/>
      <c r="E122" s="45"/>
      <c r="F122" s="45"/>
      <c r="G122" s="45"/>
      <c r="H122" s="45"/>
      <c r="I122" s="18"/>
      <c r="M122" s="143"/>
      <c r="N122" s="161"/>
      <c r="O122" s="140"/>
      <c r="P122" s="140"/>
      <c r="V122" s="123"/>
    </row>
    <row r="123" spans="1:22" ht="12.75">
      <c r="A123" s="211"/>
      <c r="B123" s="70"/>
      <c r="C123" s="44"/>
      <c r="D123" s="176"/>
      <c r="E123" s="45"/>
      <c r="F123" s="45"/>
      <c r="G123" s="45"/>
      <c r="H123" s="45"/>
      <c r="I123" s="18"/>
      <c r="M123" s="140"/>
      <c r="O123" s="123"/>
      <c r="P123" s="140"/>
      <c r="V123" s="123"/>
    </row>
    <row r="124" spans="1:22" ht="12.75">
      <c r="A124" s="76"/>
      <c r="B124" s="70"/>
      <c r="C124" s="103"/>
      <c r="D124" s="176"/>
      <c r="E124" s="45"/>
      <c r="F124" s="45"/>
      <c r="G124" s="45"/>
      <c r="H124" s="45"/>
      <c r="I124" s="18"/>
      <c r="M124" s="143"/>
      <c r="N124" s="139"/>
      <c r="O124" s="140"/>
      <c r="P124" s="140"/>
      <c r="V124" s="123"/>
    </row>
    <row r="125" spans="1:22" ht="12.75">
      <c r="A125" s="98"/>
      <c r="B125" s="197"/>
      <c r="C125" s="44"/>
      <c r="D125" s="45"/>
      <c r="E125" s="45"/>
      <c r="F125" s="45"/>
      <c r="G125" s="45"/>
      <c r="H125" s="45"/>
      <c r="I125" s="98"/>
      <c r="M125" s="143"/>
      <c r="N125" s="161"/>
      <c r="O125" s="140"/>
      <c r="P125" s="140"/>
      <c r="V125" s="123"/>
    </row>
    <row r="126" spans="1:22" ht="12.75">
      <c r="A126" s="197"/>
      <c r="B126" s="70"/>
      <c r="C126" s="44"/>
      <c r="D126" s="44"/>
      <c r="E126" s="45"/>
      <c r="F126" s="45"/>
      <c r="G126" s="45"/>
      <c r="H126" s="45"/>
      <c r="I126" s="98"/>
      <c r="M126" s="143"/>
      <c r="N126" s="161"/>
      <c r="O126" s="140"/>
      <c r="P126" s="140"/>
      <c r="T126" s="139"/>
      <c r="V126" s="123"/>
    </row>
    <row r="127" spans="1:22" ht="12.75">
      <c r="A127" s="197"/>
      <c r="B127" s="70"/>
      <c r="C127" s="176"/>
      <c r="D127" s="44"/>
      <c r="E127" s="217"/>
      <c r="F127" s="45"/>
      <c r="G127" s="18"/>
      <c r="H127" s="212"/>
      <c r="I127" s="45"/>
      <c r="O127" s="123"/>
      <c r="P127" s="140"/>
      <c r="V127" s="123"/>
    </row>
    <row r="128" spans="1:22" ht="12.75">
      <c r="A128" s="178"/>
      <c r="B128" s="66"/>
      <c r="C128" s="44"/>
      <c r="D128" s="44"/>
      <c r="E128" s="217"/>
      <c r="F128" s="18"/>
      <c r="G128" s="18"/>
      <c r="H128" s="45"/>
      <c r="I128" s="45"/>
      <c r="M128" s="164"/>
      <c r="N128" s="162"/>
      <c r="O128" s="15"/>
      <c r="P128" s="140"/>
      <c r="V128" s="123"/>
    </row>
    <row r="129" spans="1:22" ht="12.75">
      <c r="A129" s="197"/>
      <c r="B129" s="70"/>
      <c r="C129" s="44"/>
      <c r="D129" s="44"/>
      <c r="E129" s="45"/>
      <c r="F129" s="18"/>
      <c r="G129" s="212"/>
      <c r="H129" s="98"/>
      <c r="I129" s="45"/>
      <c r="M129" s="143"/>
      <c r="N129" s="139"/>
      <c r="O129" s="140"/>
      <c r="P129" s="140"/>
      <c r="V129" s="123"/>
    </row>
    <row r="130" spans="1:22" ht="12.75">
      <c r="A130" s="82"/>
      <c r="B130" s="70"/>
      <c r="C130" s="44"/>
      <c r="D130" s="18"/>
      <c r="E130" s="18"/>
      <c r="F130" s="18"/>
      <c r="G130" s="18"/>
      <c r="H130" s="18"/>
      <c r="I130" s="45"/>
      <c r="M130" s="143"/>
      <c r="N130" s="161"/>
      <c r="O130" s="140"/>
      <c r="S130" s="161"/>
      <c r="V130" s="123"/>
    </row>
    <row r="131" spans="1:22" ht="12.75">
      <c r="A131" s="82"/>
      <c r="B131" s="70"/>
      <c r="C131" s="176"/>
      <c r="D131" s="44"/>
      <c r="E131" s="18"/>
      <c r="F131" s="18"/>
      <c r="G131" s="18"/>
      <c r="H131" s="212"/>
      <c r="I131" s="45"/>
      <c r="M131" s="143"/>
      <c r="N131" s="205"/>
      <c r="O131" s="140"/>
      <c r="P131" s="140"/>
      <c r="S131" s="139"/>
      <c r="V131" s="123"/>
    </row>
    <row r="132" spans="1:22" ht="12.75">
      <c r="A132" s="176"/>
      <c r="B132" s="98"/>
      <c r="C132" s="98"/>
      <c r="D132" s="176"/>
      <c r="E132" s="98"/>
      <c r="F132" s="98"/>
      <c r="G132" s="98"/>
      <c r="H132" s="45"/>
      <c r="I132" s="45"/>
      <c r="M132" s="143"/>
      <c r="N132" s="161"/>
      <c r="O132" s="140"/>
      <c r="S132" s="161"/>
      <c r="V132" s="123"/>
    </row>
    <row r="133" spans="1:22" ht="12.75">
      <c r="A133" s="82"/>
      <c r="B133" s="70"/>
      <c r="C133" s="18"/>
      <c r="D133" s="176"/>
      <c r="E133" s="18"/>
      <c r="F133" s="18"/>
      <c r="G133" s="18"/>
      <c r="H133" s="18"/>
      <c r="I133" s="45"/>
      <c r="M133" s="143"/>
      <c r="N133" s="161"/>
      <c r="O133" s="140"/>
      <c r="P133" s="140"/>
      <c r="V133" s="123"/>
    </row>
    <row r="134" spans="1:22" ht="12.75">
      <c r="A134" s="197"/>
      <c r="B134" s="70"/>
      <c r="C134" s="176"/>
      <c r="D134" s="176"/>
      <c r="E134" s="98"/>
      <c r="F134" s="98"/>
      <c r="G134" s="98"/>
      <c r="H134" s="18"/>
      <c r="I134" s="45"/>
      <c r="O134" s="123"/>
      <c r="P134" s="140"/>
      <c r="V134" s="123"/>
    </row>
    <row r="135" spans="1:22" ht="12.75">
      <c r="A135" s="97"/>
      <c r="B135" s="51"/>
      <c r="C135" s="176"/>
      <c r="D135" s="196"/>
      <c r="E135" s="98"/>
      <c r="F135" s="98"/>
      <c r="G135" s="18"/>
      <c r="H135" s="18"/>
      <c r="I135" s="18"/>
      <c r="M135" s="143"/>
      <c r="N135" s="161"/>
      <c r="O135" s="140"/>
      <c r="P135" s="140"/>
      <c r="V135" s="123"/>
    </row>
    <row r="136" spans="1:22" ht="12.75">
      <c r="A136" s="97"/>
      <c r="B136" s="51"/>
      <c r="C136" s="176"/>
      <c r="D136" s="196"/>
      <c r="E136" s="18"/>
      <c r="F136" s="18"/>
      <c r="G136" s="18"/>
      <c r="H136" s="214"/>
      <c r="I136" s="18"/>
      <c r="M136" s="143"/>
      <c r="N136" s="139"/>
      <c r="O136" s="140"/>
      <c r="P136" s="140"/>
      <c r="V136" s="123"/>
    </row>
    <row r="137" spans="1:22" ht="12.75">
      <c r="A137" s="18"/>
      <c r="B137" s="18"/>
      <c r="C137" s="18"/>
      <c r="D137" s="18"/>
      <c r="E137" s="18"/>
      <c r="F137" s="18"/>
      <c r="G137" s="214"/>
      <c r="H137" s="18"/>
      <c r="I137" s="18"/>
      <c r="M137" s="151"/>
      <c r="N137" s="145"/>
      <c r="O137" s="140"/>
      <c r="P137" s="152"/>
      <c r="V137" s="123"/>
    </row>
    <row r="138" spans="1:22" ht="12.75">
      <c r="A138" s="176"/>
      <c r="B138" s="98"/>
      <c r="C138" s="45"/>
      <c r="D138" s="45"/>
      <c r="E138" s="18"/>
      <c r="F138" s="214"/>
      <c r="G138" s="18"/>
      <c r="H138" s="18"/>
      <c r="I138" s="18"/>
      <c r="M138" s="151"/>
      <c r="N138" s="145"/>
      <c r="O138" s="140"/>
      <c r="P138" s="152"/>
      <c r="V138" s="123"/>
    </row>
    <row r="139" spans="1:22" ht="12.75">
      <c r="A139" s="18"/>
      <c r="B139" s="18"/>
      <c r="C139" s="18"/>
      <c r="D139" s="18"/>
      <c r="E139" s="18"/>
      <c r="F139" s="18"/>
      <c r="G139" s="18"/>
      <c r="H139" s="18"/>
      <c r="I139" s="18"/>
      <c r="O139" s="123"/>
      <c r="P139" s="140"/>
      <c r="V139" s="123"/>
    </row>
    <row r="140" spans="1:22" ht="12.75">
      <c r="A140" s="218"/>
      <c r="B140" s="29"/>
      <c r="C140" s="29"/>
      <c r="D140" s="29"/>
      <c r="E140" s="29"/>
      <c r="F140" s="29"/>
      <c r="G140" s="29"/>
      <c r="H140" s="29"/>
      <c r="I140" s="18"/>
      <c r="M140" s="143"/>
      <c r="N140" s="139"/>
      <c r="O140" s="140"/>
      <c r="P140" s="140"/>
      <c r="V140" s="123"/>
    </row>
    <row r="141" spans="1:22" ht="12.75">
      <c r="A141" s="197"/>
      <c r="B141" s="70"/>
      <c r="C141" s="219"/>
      <c r="D141" s="219"/>
      <c r="E141" s="29"/>
      <c r="F141" s="29"/>
      <c r="G141" s="29"/>
      <c r="H141" s="29"/>
      <c r="I141" s="18"/>
      <c r="M141" s="143"/>
      <c r="N141" s="161"/>
      <c r="O141" s="140"/>
      <c r="P141" s="140"/>
      <c r="V141" s="123"/>
    </row>
    <row r="142" spans="1:22" ht="12.75">
      <c r="A142" s="197"/>
      <c r="B142" s="70"/>
      <c r="C142" s="219"/>
      <c r="D142" s="219"/>
      <c r="E142" s="29"/>
      <c r="F142" s="29"/>
      <c r="G142" s="29"/>
      <c r="H142" s="220"/>
      <c r="I142" s="18"/>
      <c r="M142" s="143"/>
      <c r="N142" s="161"/>
      <c r="O142" s="140"/>
      <c r="P142" s="140"/>
      <c r="V142" s="123"/>
    </row>
    <row r="143" spans="1:22" ht="12.75">
      <c r="A143" s="44"/>
      <c r="B143" s="29"/>
      <c r="C143" s="29"/>
      <c r="D143" s="219"/>
      <c r="E143" s="29"/>
      <c r="F143" s="29"/>
      <c r="G143" s="220"/>
      <c r="H143" s="29"/>
      <c r="I143" s="18"/>
      <c r="M143" s="153"/>
      <c r="O143" s="123"/>
      <c r="P143" s="140"/>
      <c r="V143" s="123"/>
    </row>
    <row r="144" spans="1:22" ht="12.75">
      <c r="A144" s="178"/>
      <c r="B144" s="70"/>
      <c r="C144" s="219"/>
      <c r="D144" s="219"/>
      <c r="E144" s="29"/>
      <c r="F144" s="29"/>
      <c r="G144" s="29"/>
      <c r="H144" s="29"/>
      <c r="I144" s="18"/>
      <c r="M144" s="143"/>
      <c r="N144" s="139"/>
      <c r="O144" s="140"/>
      <c r="P144" s="140"/>
      <c r="V144" s="123"/>
    </row>
    <row r="145" spans="1:22" ht="12.75">
      <c r="A145" s="178"/>
      <c r="B145" s="70"/>
      <c r="C145" s="219"/>
      <c r="D145" s="219"/>
      <c r="E145" s="29"/>
      <c r="F145" s="29"/>
      <c r="G145" s="29"/>
      <c r="H145" s="29"/>
      <c r="I145" s="18"/>
      <c r="M145" s="143"/>
      <c r="N145" s="161"/>
      <c r="O145" s="140"/>
      <c r="P145" s="140"/>
      <c r="V145" s="123"/>
    </row>
    <row r="146" spans="1:22" ht="12.75">
      <c r="A146" s="215"/>
      <c r="B146" s="24"/>
      <c r="C146" s="219"/>
      <c r="D146" s="29"/>
      <c r="E146" s="29"/>
      <c r="F146" s="29"/>
      <c r="G146" s="29"/>
      <c r="H146" s="220"/>
      <c r="I146" s="18"/>
      <c r="M146" s="143"/>
      <c r="N146" s="139"/>
      <c r="O146" s="140"/>
      <c r="P146" s="140"/>
      <c r="V146" s="123"/>
    </row>
    <row r="147" spans="1:22" ht="12.75">
      <c r="A147" s="18"/>
      <c r="B147" s="29"/>
      <c r="C147" s="29"/>
      <c r="D147" s="29"/>
      <c r="E147" s="29"/>
      <c r="F147" s="29"/>
      <c r="G147" s="29"/>
      <c r="H147" s="29"/>
      <c r="I147" s="18"/>
      <c r="M147" s="151"/>
      <c r="N147" s="139"/>
      <c r="O147" s="140"/>
      <c r="P147" s="152"/>
      <c r="V147" s="123"/>
    </row>
    <row r="148" spans="1:22" ht="12.75">
      <c r="A148" s="94"/>
      <c r="B148" s="70"/>
      <c r="C148" s="221"/>
      <c r="D148" s="219"/>
      <c r="E148" s="29"/>
      <c r="F148" s="29"/>
      <c r="G148" s="29"/>
      <c r="H148" s="29"/>
      <c r="I148" s="18"/>
      <c r="M148" s="151"/>
      <c r="N148" s="145"/>
      <c r="O148" s="140"/>
      <c r="P148" s="152"/>
      <c r="V148" s="123"/>
    </row>
    <row r="149" spans="1:22" ht="12.75">
      <c r="A149" s="94"/>
      <c r="B149" s="70"/>
      <c r="C149" s="219"/>
      <c r="D149" s="219"/>
      <c r="E149" s="29"/>
      <c r="F149" s="29"/>
      <c r="G149" s="29"/>
      <c r="H149" s="29"/>
      <c r="I149" s="18"/>
      <c r="M149" s="9"/>
      <c r="O149" s="123"/>
      <c r="P149" s="140"/>
      <c r="V149" s="123"/>
    </row>
    <row r="150" spans="1:22" ht="12.75">
      <c r="A150" s="44"/>
      <c r="B150" s="29"/>
      <c r="C150" s="29"/>
      <c r="D150" s="29"/>
      <c r="E150" s="29"/>
      <c r="F150" s="29"/>
      <c r="G150" s="29"/>
      <c r="H150" s="29"/>
      <c r="I150" s="18"/>
      <c r="M150" s="143"/>
      <c r="N150" s="161"/>
      <c r="O150" s="140"/>
      <c r="P150" s="140"/>
      <c r="V150" s="123"/>
    </row>
    <row r="151" spans="1:22" ht="12.75">
      <c r="A151" s="222"/>
      <c r="B151" s="223"/>
      <c r="C151" s="53"/>
      <c r="D151" s="53"/>
      <c r="E151" s="53"/>
      <c r="F151" s="53"/>
      <c r="G151" s="53"/>
      <c r="H151" s="53"/>
      <c r="I151" s="53"/>
      <c r="M151" s="143"/>
      <c r="N151" s="161"/>
      <c r="O151" s="140"/>
      <c r="P151" s="140"/>
      <c r="V151" s="123"/>
    </row>
    <row r="152" spans="1:22" ht="12.75">
      <c r="A152" s="18"/>
      <c r="B152" s="18"/>
      <c r="C152" s="18"/>
      <c r="D152" s="18"/>
      <c r="E152" s="18"/>
      <c r="F152" s="18"/>
      <c r="G152" s="18"/>
      <c r="H152" s="18"/>
      <c r="I152" s="193"/>
      <c r="M152" s="9"/>
      <c r="O152" s="123"/>
      <c r="P152" s="140"/>
      <c r="V152" s="123"/>
    </row>
    <row r="153" spans="1:22" ht="12.75">
      <c r="A153" s="18"/>
      <c r="B153" s="18"/>
      <c r="C153" s="18"/>
      <c r="D153" s="18"/>
      <c r="E153" s="18"/>
      <c r="F153" s="18"/>
      <c r="G153" s="18"/>
      <c r="H153" s="47"/>
      <c r="I153" s="105"/>
      <c r="M153" s="143"/>
      <c r="N153" s="134"/>
      <c r="O153" s="140"/>
      <c r="P153" s="140"/>
      <c r="V153" s="123"/>
    </row>
    <row r="154" spans="1:22" ht="12.75">
      <c r="A154" s="215"/>
      <c r="B154" s="18"/>
      <c r="C154" s="18"/>
      <c r="D154" s="18"/>
      <c r="E154" s="18"/>
      <c r="F154" s="18"/>
      <c r="G154" s="18"/>
      <c r="H154" s="47"/>
      <c r="I154" s="106"/>
      <c r="M154" s="143"/>
      <c r="N154" s="134"/>
      <c r="O154" s="140"/>
      <c r="P154" s="140"/>
      <c r="V154" s="123"/>
    </row>
    <row r="155" spans="1:22" ht="12.75">
      <c r="A155" s="197"/>
      <c r="B155" s="70"/>
      <c r="C155" s="176"/>
      <c r="D155" s="176"/>
      <c r="E155" s="18"/>
      <c r="F155" s="98"/>
      <c r="G155" s="18"/>
      <c r="H155" s="224"/>
      <c r="I155" s="24"/>
      <c r="M155" s="143"/>
      <c r="N155" s="161"/>
      <c r="O155" s="140"/>
      <c r="P155" s="140"/>
      <c r="V155" s="123"/>
    </row>
    <row r="156" spans="1:22" ht="12.75">
      <c r="A156" s="178"/>
      <c r="B156" s="66"/>
      <c r="C156" s="44"/>
      <c r="D156" s="176"/>
      <c r="E156" s="18"/>
      <c r="F156" s="98"/>
      <c r="G156" s="18"/>
      <c r="H156" s="47"/>
      <c r="I156" s="24"/>
      <c r="M156" s="143"/>
      <c r="N156" s="161"/>
      <c r="O156" s="140"/>
      <c r="P156" s="140"/>
      <c r="V156" s="123"/>
    </row>
    <row r="157" spans="1:22" ht="12.75">
      <c r="A157" s="82"/>
      <c r="B157" s="70"/>
      <c r="C157" s="44"/>
      <c r="D157" s="176"/>
      <c r="E157" s="217"/>
      <c r="F157" s="217"/>
      <c r="G157" s="217"/>
      <c r="H157" s="18"/>
      <c r="I157" s="18"/>
      <c r="M157" s="143"/>
      <c r="N157" s="161"/>
      <c r="O157" s="140"/>
      <c r="P157" s="140"/>
      <c r="V157" s="123"/>
    </row>
    <row r="158" spans="1:22" ht="12.75">
      <c r="A158" s="197"/>
      <c r="B158" s="70"/>
      <c r="C158" s="176"/>
      <c r="D158" s="44"/>
      <c r="E158" s="18"/>
      <c r="F158" s="18"/>
      <c r="G158" s="18"/>
      <c r="H158" s="18"/>
      <c r="I158" s="18"/>
      <c r="V158" s="123"/>
    </row>
    <row r="159" spans="1:22" ht="12.75">
      <c r="A159" s="197"/>
      <c r="B159" s="70"/>
      <c r="C159" s="44"/>
      <c r="D159" s="44"/>
      <c r="E159" s="217"/>
      <c r="F159" s="217"/>
      <c r="G159" s="18"/>
      <c r="H159" s="212"/>
      <c r="I159" s="18"/>
      <c r="V159" s="123"/>
    </row>
    <row r="160" spans="1:22" ht="12.75">
      <c r="A160" s="82"/>
      <c r="B160" s="70"/>
      <c r="C160" s="176"/>
      <c r="D160" s="176"/>
      <c r="E160" s="18"/>
      <c r="F160" s="18"/>
      <c r="G160" s="18"/>
      <c r="H160" s="18"/>
      <c r="I160" s="18"/>
      <c r="V160" s="123"/>
    </row>
    <row r="161" spans="1:22" ht="12.75">
      <c r="A161" s="82"/>
      <c r="B161" s="70"/>
      <c r="C161" s="176"/>
      <c r="D161" s="180"/>
      <c r="E161" s="18"/>
      <c r="F161" s="18"/>
      <c r="G161" s="18"/>
      <c r="H161" s="18"/>
      <c r="I161" s="18"/>
      <c r="V161" s="123"/>
    </row>
    <row r="162" spans="1:22" ht="12.75">
      <c r="A162" s="178"/>
      <c r="B162" s="70"/>
      <c r="C162" s="44"/>
      <c r="D162" s="44"/>
      <c r="E162" s="18"/>
      <c r="F162" s="18"/>
      <c r="G162" s="18"/>
      <c r="H162" s="212"/>
      <c r="I162" s="18"/>
      <c r="V162" s="123"/>
    </row>
    <row r="163" spans="1:22" ht="12.75">
      <c r="A163" s="176"/>
      <c r="B163" s="98"/>
      <c r="C163" s="98"/>
      <c r="D163" s="98"/>
      <c r="E163" s="98"/>
      <c r="F163" s="18"/>
      <c r="G163" s="18"/>
      <c r="H163" s="18"/>
      <c r="I163" s="18"/>
      <c r="V163" s="123"/>
    </row>
    <row r="164" spans="1:22" ht="12.75">
      <c r="A164" s="178"/>
      <c r="B164" s="57"/>
      <c r="C164" s="176"/>
      <c r="D164" s="176"/>
      <c r="E164" s="98"/>
      <c r="F164" s="18"/>
      <c r="G164" s="18"/>
      <c r="H164" s="18"/>
      <c r="I164" s="18"/>
      <c r="V164" s="123"/>
    </row>
    <row r="165" spans="1:22" ht="12.75">
      <c r="A165" s="178"/>
      <c r="B165" s="57"/>
      <c r="C165" s="176"/>
      <c r="D165" s="176"/>
      <c r="E165" s="98"/>
      <c r="F165" s="18"/>
      <c r="G165" s="18"/>
      <c r="H165" s="18"/>
      <c r="I165" s="18"/>
      <c r="V165" s="123"/>
    </row>
    <row r="166" spans="1:22" ht="12.75">
      <c r="A166" s="178"/>
      <c r="B166" s="57"/>
      <c r="C166" s="176"/>
      <c r="D166" s="176"/>
      <c r="E166" s="98"/>
      <c r="F166" s="98"/>
      <c r="G166" s="18"/>
      <c r="H166" s="18"/>
      <c r="I166" s="98"/>
      <c r="V166" s="123"/>
    </row>
    <row r="167" spans="1:22" ht="12.75">
      <c r="A167" s="197"/>
      <c r="B167" s="57"/>
      <c r="C167" s="176"/>
      <c r="D167" s="176"/>
      <c r="E167" s="98"/>
      <c r="F167" s="98"/>
      <c r="G167" s="18"/>
      <c r="H167" s="45"/>
      <c r="I167" s="98"/>
      <c r="V167" s="123"/>
    </row>
    <row r="168" spans="1:9" ht="12.75">
      <c r="A168" s="97"/>
      <c r="B168" s="57"/>
      <c r="C168" s="98"/>
      <c r="D168" s="196"/>
      <c r="E168" s="98"/>
      <c r="F168" s="98"/>
      <c r="G168" s="18"/>
      <c r="H168" s="45"/>
      <c r="I168" s="18"/>
    </row>
    <row r="169" spans="1:9" ht="12.75">
      <c r="A169" s="197"/>
      <c r="B169" s="57"/>
      <c r="C169" s="176"/>
      <c r="D169" s="176"/>
      <c r="E169" s="98"/>
      <c r="F169" s="98"/>
      <c r="G169" s="18"/>
      <c r="H169" s="18"/>
      <c r="I169" s="18"/>
    </row>
    <row r="170" spans="1:9" ht="12.75">
      <c r="A170" s="97"/>
      <c r="B170" s="57"/>
      <c r="C170" s="98"/>
      <c r="D170" s="196"/>
      <c r="E170" s="98"/>
      <c r="F170" s="98"/>
      <c r="G170" s="18"/>
      <c r="H170" s="98"/>
      <c r="I170" s="98"/>
    </row>
    <row r="171" spans="1:9" ht="12.75">
      <c r="A171" s="97"/>
      <c r="B171" s="51"/>
      <c r="C171" s="98"/>
      <c r="D171" s="196"/>
      <c r="E171" s="98"/>
      <c r="F171" s="98"/>
      <c r="G171" s="98"/>
      <c r="H171" s="98"/>
      <c r="I171" s="98"/>
    </row>
    <row r="172" spans="1:9" ht="12.75">
      <c r="A172" s="97"/>
      <c r="B172" s="57"/>
      <c r="C172" s="98"/>
      <c r="D172" s="44"/>
      <c r="E172" s="98"/>
      <c r="F172" s="98"/>
      <c r="G172" s="98"/>
      <c r="H172" s="98"/>
      <c r="I172" s="98"/>
    </row>
    <row r="173" spans="1:9" ht="12.75">
      <c r="A173" s="197"/>
      <c r="B173" s="51"/>
      <c r="C173" s="176"/>
      <c r="D173" s="176"/>
      <c r="E173" s="98"/>
      <c r="F173" s="98"/>
      <c r="G173" s="98"/>
      <c r="H173" s="212"/>
      <c r="I173" s="98"/>
    </row>
    <row r="174" spans="1:9" ht="12.75">
      <c r="A174" s="197"/>
      <c r="B174" s="51"/>
      <c r="C174" s="176"/>
      <c r="D174" s="98"/>
      <c r="E174" s="98"/>
      <c r="F174" s="98"/>
      <c r="G174" s="98"/>
      <c r="H174" s="98"/>
      <c r="I174" s="98"/>
    </row>
    <row r="175" spans="1:9" ht="12.75">
      <c r="A175" s="97"/>
      <c r="B175" s="57"/>
      <c r="C175" s="98"/>
      <c r="D175" s="225"/>
      <c r="E175" s="98"/>
      <c r="F175" s="98"/>
      <c r="G175" s="98"/>
      <c r="H175" s="45"/>
      <c r="I175" s="98"/>
    </row>
    <row r="176" spans="1:9" ht="12.75">
      <c r="A176" s="197"/>
      <c r="B176" s="70"/>
      <c r="C176" s="176"/>
      <c r="D176" s="98"/>
      <c r="E176" s="98"/>
      <c r="F176" s="98"/>
      <c r="G176" s="98"/>
      <c r="H176" s="45"/>
      <c r="I176" s="98"/>
    </row>
    <row r="177" spans="1:9" ht="12.75">
      <c r="A177" s="98"/>
      <c r="B177" s="98"/>
      <c r="C177" s="98"/>
      <c r="D177" s="98"/>
      <c r="E177" s="98"/>
      <c r="F177" s="98"/>
      <c r="G177" s="98"/>
      <c r="H177" s="212"/>
      <c r="I177" s="98"/>
    </row>
    <row r="178" spans="1:9" ht="12.75">
      <c r="A178" s="44"/>
      <c r="B178" s="45"/>
      <c r="C178" s="45"/>
      <c r="D178" s="18"/>
      <c r="E178" s="18"/>
      <c r="F178" s="18"/>
      <c r="G178" s="18"/>
      <c r="H178" s="45"/>
      <c r="I178" s="98"/>
    </row>
    <row r="179" spans="1:9" ht="12.75">
      <c r="A179" s="178"/>
      <c r="B179" s="70"/>
      <c r="C179" s="44"/>
      <c r="D179" s="44"/>
      <c r="E179" s="18"/>
      <c r="F179" s="18"/>
      <c r="G179" s="18"/>
      <c r="H179" s="45"/>
      <c r="I179" s="18"/>
    </row>
    <row r="180" spans="1:9" ht="12.75">
      <c r="A180" s="178"/>
      <c r="B180" s="70"/>
      <c r="C180" s="44"/>
      <c r="D180" s="44"/>
      <c r="E180" s="18"/>
      <c r="F180" s="18"/>
      <c r="G180" s="18"/>
      <c r="H180" s="18"/>
      <c r="I180" s="18"/>
    </row>
    <row r="181" spans="1:9" ht="12.75">
      <c r="A181" s="178"/>
      <c r="B181" s="70"/>
      <c r="C181" s="44"/>
      <c r="D181" s="44"/>
      <c r="E181" s="18"/>
      <c r="F181" s="18"/>
      <c r="G181" s="18"/>
      <c r="H181" s="18"/>
      <c r="I181" s="18"/>
    </row>
    <row r="182" spans="1:9" ht="12.75">
      <c r="A182" s="178"/>
      <c r="B182" s="70"/>
      <c r="C182" s="44"/>
      <c r="D182" s="44"/>
      <c r="E182" s="45"/>
      <c r="F182" s="45"/>
      <c r="G182" s="18"/>
      <c r="H182" s="18"/>
      <c r="I182" s="18"/>
    </row>
    <row r="183" spans="1:9" ht="12.75">
      <c r="A183" s="44"/>
      <c r="B183" s="45"/>
      <c r="C183" s="45"/>
      <c r="D183" s="45"/>
      <c r="E183" s="45"/>
      <c r="F183" s="45"/>
      <c r="G183" s="18"/>
      <c r="H183" s="212"/>
      <c r="I183" s="18"/>
    </row>
    <row r="184" spans="1:9" ht="12.75">
      <c r="A184" s="178"/>
      <c r="B184" s="55"/>
      <c r="C184" s="44"/>
      <c r="D184" s="44"/>
      <c r="E184" s="45"/>
      <c r="F184" s="45"/>
      <c r="G184" s="45"/>
      <c r="H184" s="45"/>
      <c r="I184" s="18"/>
    </row>
    <row r="185" spans="1:9" ht="12.75">
      <c r="A185" s="178"/>
      <c r="B185" s="66"/>
      <c r="C185" s="44"/>
      <c r="D185" s="44"/>
      <c r="E185" s="45"/>
      <c r="F185" s="45"/>
      <c r="G185" s="45"/>
      <c r="H185" s="18"/>
      <c r="I185" s="18"/>
    </row>
    <row r="186" spans="1:9" ht="12.75">
      <c r="A186" s="178"/>
      <c r="B186" s="66"/>
      <c r="C186" s="176"/>
      <c r="D186" s="44"/>
      <c r="E186" s="45"/>
      <c r="F186" s="45"/>
      <c r="G186" s="18"/>
      <c r="H186" s="212"/>
      <c r="I186" s="18"/>
    </row>
    <row r="187" spans="1:9" ht="12.75">
      <c r="A187" s="45"/>
      <c r="B187" s="217"/>
      <c r="C187" s="98"/>
      <c r="D187" s="176"/>
      <c r="E187" s="98"/>
      <c r="F187" s="98"/>
      <c r="G187" s="98"/>
      <c r="H187" s="18"/>
      <c r="I187" s="18"/>
    </row>
    <row r="188" spans="1:9" ht="12.75">
      <c r="A188" s="94"/>
      <c r="B188" s="66"/>
      <c r="C188" s="44"/>
      <c r="D188" s="44"/>
      <c r="E188" s="98"/>
      <c r="F188" s="98"/>
      <c r="G188" s="98"/>
      <c r="H188" s="18"/>
      <c r="I188" s="18"/>
    </row>
    <row r="189" spans="1:9" ht="12.75">
      <c r="A189" s="178"/>
      <c r="B189" s="55"/>
      <c r="C189" s="176"/>
      <c r="D189" s="44"/>
      <c r="E189" s="45"/>
      <c r="F189" s="45"/>
      <c r="G189" s="45"/>
      <c r="H189" s="18"/>
      <c r="I189" s="18"/>
    </row>
    <row r="190" spans="1:9" ht="12.75">
      <c r="A190" s="178"/>
      <c r="B190" s="66"/>
      <c r="C190" s="176"/>
      <c r="D190" s="44"/>
      <c r="E190" s="45"/>
      <c r="F190" s="45"/>
      <c r="G190" s="45"/>
      <c r="H190" s="18"/>
      <c r="I190" s="18"/>
    </row>
    <row r="191" spans="1:9" ht="12.75">
      <c r="A191" s="178"/>
      <c r="B191" s="34"/>
      <c r="C191" s="176"/>
      <c r="D191" s="44"/>
      <c r="E191" s="45"/>
      <c r="F191" s="45"/>
      <c r="G191" s="45"/>
      <c r="H191" s="18"/>
      <c r="I191" s="18"/>
    </row>
    <row r="192" spans="1:9" ht="12.75">
      <c r="A192" s="178"/>
      <c r="B192" s="66"/>
      <c r="C192" s="176"/>
      <c r="D192" s="44"/>
      <c r="E192" s="45"/>
      <c r="F192" s="45"/>
      <c r="G192" s="45"/>
      <c r="H192" s="18"/>
      <c r="I192" s="18"/>
    </row>
    <row r="193" spans="1:9" ht="12.75">
      <c r="A193" s="178"/>
      <c r="B193" s="66"/>
      <c r="C193" s="176"/>
      <c r="D193" s="44"/>
      <c r="E193" s="45"/>
      <c r="F193" s="45"/>
      <c r="G193" s="18"/>
      <c r="H193" s="212"/>
      <c r="I193" s="45"/>
    </row>
    <row r="194" spans="1:9" ht="12.75">
      <c r="A194" s="98"/>
      <c r="B194" s="98"/>
      <c r="C194" s="98"/>
      <c r="D194" s="176"/>
      <c r="E194" s="98"/>
      <c r="F194" s="98"/>
      <c r="G194" s="98"/>
      <c r="H194" s="98"/>
      <c r="I194" s="45"/>
    </row>
    <row r="195" spans="1:9" ht="12.75">
      <c r="A195" s="197"/>
      <c r="B195" s="70"/>
      <c r="C195" s="176"/>
      <c r="D195" s="44"/>
      <c r="E195" s="98"/>
      <c r="F195" s="98"/>
      <c r="G195" s="98"/>
      <c r="H195" s="98"/>
      <c r="I195" s="18"/>
    </row>
    <row r="196" spans="1:9" ht="12.75">
      <c r="A196" s="197"/>
      <c r="B196" s="51"/>
      <c r="C196" s="176"/>
      <c r="D196" s="176"/>
      <c r="E196" s="98"/>
      <c r="F196" s="98"/>
      <c r="G196" s="98"/>
      <c r="H196" s="98"/>
      <c r="I196" s="98"/>
    </row>
    <row r="197" spans="1:9" ht="12.75">
      <c r="A197" s="97"/>
      <c r="B197" s="51"/>
      <c r="C197" s="176"/>
      <c r="D197" s="196"/>
      <c r="E197" s="18"/>
      <c r="F197" s="18"/>
      <c r="G197" s="18"/>
      <c r="H197" s="214"/>
      <c r="I197" s="45"/>
    </row>
    <row r="198" spans="1:9" ht="12.75">
      <c r="A198" s="97"/>
      <c r="B198" s="51"/>
      <c r="C198" s="176"/>
      <c r="D198" s="196"/>
      <c r="E198" s="18"/>
      <c r="F198" s="18"/>
      <c r="G198" s="18"/>
      <c r="H198" s="18"/>
      <c r="I198" s="18"/>
    </row>
    <row r="199" spans="1:9" ht="12.75">
      <c r="A199" s="18"/>
      <c r="B199" s="18"/>
      <c r="C199" s="18"/>
      <c r="D199" s="18"/>
      <c r="E199" s="18"/>
      <c r="F199" s="18"/>
      <c r="G199" s="214"/>
      <c r="H199" s="18"/>
      <c r="I199" s="18"/>
    </row>
    <row r="200" spans="1:9" ht="12.75">
      <c r="A200" s="18"/>
      <c r="B200" s="18"/>
      <c r="C200" s="18"/>
      <c r="D200" s="18"/>
      <c r="E200" s="45"/>
      <c r="F200" s="214">
        <f>IF($K$2="Yes",IF(#REF!&gt;0,IF($B$197&gt;$B$198,"    Increase doubler or use full-pen. weld",""),""),"")</f>
      </c>
      <c r="G200" s="18"/>
      <c r="H200" s="18"/>
      <c r="I200" s="18"/>
    </row>
    <row r="201" spans="1:9" ht="12.75">
      <c r="A201" s="18"/>
      <c r="B201" s="18"/>
      <c r="C201" s="18"/>
      <c r="D201" s="18"/>
      <c r="E201" s="45"/>
      <c r="F201" s="45"/>
      <c r="G201" s="18"/>
      <c r="H201" s="18"/>
      <c r="I201" s="18"/>
    </row>
    <row r="202" spans="1:9" ht="12.75">
      <c r="A202" s="18"/>
      <c r="B202" s="18"/>
      <c r="C202" s="18"/>
      <c r="D202" s="18"/>
      <c r="E202" s="18"/>
      <c r="F202" s="18"/>
      <c r="G202" s="18"/>
      <c r="H202" s="18"/>
      <c r="I202" s="193"/>
    </row>
    <row r="203" spans="1:9" ht="12.75">
      <c r="A203" s="18"/>
      <c r="B203" s="18"/>
      <c r="C203" s="18"/>
      <c r="D203" s="18"/>
      <c r="E203" s="18"/>
      <c r="F203" s="18"/>
      <c r="G203" s="18"/>
      <c r="H203" s="47"/>
      <c r="I203" s="105"/>
    </row>
    <row r="204" spans="1:9" ht="12.75">
      <c r="A204" s="215"/>
      <c r="B204" s="18"/>
      <c r="C204" s="18"/>
      <c r="D204" s="18"/>
      <c r="E204" s="45"/>
      <c r="F204" s="45"/>
      <c r="G204" s="45"/>
      <c r="H204" s="47"/>
      <c r="I204" s="106"/>
    </row>
    <row r="205" spans="1:9" ht="12.75">
      <c r="A205" s="45"/>
      <c r="B205" s="217"/>
      <c r="C205" s="45"/>
      <c r="D205" s="44"/>
      <c r="E205" s="18"/>
      <c r="F205" s="217"/>
      <c r="G205" s="18"/>
      <c r="H205" s="224"/>
      <c r="I205" s="24"/>
    </row>
    <row r="206" spans="1:9" ht="12.75">
      <c r="A206" s="178"/>
      <c r="B206" s="55"/>
      <c r="C206" s="176"/>
      <c r="D206" s="44"/>
      <c r="E206" s="18"/>
      <c r="F206" s="217"/>
      <c r="G206" s="45"/>
      <c r="H206" s="47"/>
      <c r="I206" s="24"/>
    </row>
    <row r="207" spans="1:9" ht="12.75">
      <c r="A207" s="178"/>
      <c r="B207" s="66"/>
      <c r="C207" s="176"/>
      <c r="D207" s="44"/>
      <c r="E207" s="18"/>
      <c r="F207" s="217"/>
      <c r="G207" s="18"/>
      <c r="H207" s="18"/>
      <c r="I207" s="18"/>
    </row>
    <row r="208" spans="1:9" ht="12.75">
      <c r="A208" s="178"/>
      <c r="B208" s="66"/>
      <c r="C208" s="176"/>
      <c r="D208" s="44"/>
      <c r="E208" s="18"/>
      <c r="F208" s="18"/>
      <c r="G208" s="18"/>
      <c r="H208" s="212"/>
      <c r="I208" s="45"/>
    </row>
    <row r="209" spans="1:9" ht="12.75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2.75">
      <c r="A210" s="45"/>
      <c r="B210" s="98"/>
      <c r="C210" s="98"/>
      <c r="D210" s="176"/>
      <c r="E210" s="18"/>
      <c r="F210" s="18"/>
      <c r="G210" s="18"/>
      <c r="H210" s="18"/>
      <c r="I210" s="18"/>
    </row>
    <row r="211" spans="1:9" ht="12.75">
      <c r="A211" s="82"/>
      <c r="B211" s="51"/>
      <c r="C211" s="176"/>
      <c r="D211" s="176"/>
      <c r="E211" s="18"/>
      <c r="F211" s="18"/>
      <c r="G211" s="18"/>
      <c r="H211" s="18"/>
      <c r="I211" s="18"/>
    </row>
    <row r="212" spans="1:9" ht="12.75">
      <c r="A212" s="197"/>
      <c r="B212" s="70"/>
      <c r="C212" s="176"/>
      <c r="D212" s="176"/>
      <c r="E212" s="18"/>
      <c r="F212" s="18"/>
      <c r="G212" s="18"/>
      <c r="H212" s="18"/>
      <c r="I212" s="18"/>
    </row>
    <row r="213" spans="1:9" ht="12.75">
      <c r="A213" s="197"/>
      <c r="B213" s="51"/>
      <c r="C213" s="176"/>
      <c r="D213" s="176"/>
      <c r="E213" s="18"/>
      <c r="F213" s="18"/>
      <c r="G213" s="18"/>
      <c r="H213" s="18"/>
      <c r="I213" s="45"/>
    </row>
    <row r="214" spans="1:9" ht="12.75">
      <c r="A214" s="97"/>
      <c r="B214" s="51"/>
      <c r="C214" s="176"/>
      <c r="D214" s="196"/>
      <c r="E214" s="98"/>
      <c r="F214" s="18"/>
      <c r="G214" s="18"/>
      <c r="H214" s="214"/>
      <c r="I214" s="45"/>
    </row>
    <row r="215" spans="1:9" ht="12.75">
      <c r="A215" s="97"/>
      <c r="B215" s="51"/>
      <c r="C215" s="176"/>
      <c r="D215" s="196"/>
      <c r="E215" s="18"/>
      <c r="F215" s="18"/>
      <c r="G215" s="18"/>
      <c r="H215" s="18"/>
      <c r="I215" s="18"/>
    </row>
    <row r="216" spans="1:9" ht="12.75">
      <c r="A216" s="18"/>
      <c r="B216" s="18"/>
      <c r="C216" s="18"/>
      <c r="D216" s="18"/>
      <c r="E216" s="18"/>
      <c r="F216" s="18"/>
      <c r="G216" s="214"/>
      <c r="H216" s="18"/>
      <c r="I216" s="18"/>
    </row>
    <row r="217" spans="1:9" ht="12.75">
      <c r="A217" s="45"/>
      <c r="B217" s="18"/>
      <c r="C217" s="18"/>
      <c r="D217" s="18"/>
      <c r="E217" s="18"/>
      <c r="F217" s="214"/>
      <c r="G217" s="18"/>
      <c r="H217" s="18"/>
      <c r="I217" s="18"/>
    </row>
    <row r="218" spans="1:9" ht="12.75">
      <c r="A218" s="178"/>
      <c r="B218" s="70"/>
      <c r="C218" s="44"/>
      <c r="D218" s="44"/>
      <c r="E218" s="217"/>
      <c r="F218" s="18"/>
      <c r="G218" s="18"/>
      <c r="H218" s="18"/>
      <c r="I218" s="45"/>
    </row>
    <row r="219" spans="1:9" ht="12.75">
      <c r="A219" s="178"/>
      <c r="B219" s="70"/>
      <c r="C219" s="44"/>
      <c r="D219" s="44"/>
      <c r="E219" s="217"/>
      <c r="F219" s="217"/>
      <c r="G219" s="18"/>
      <c r="H219" s="212"/>
      <c r="I219" s="18"/>
    </row>
    <row r="220" spans="1:9" ht="12.75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2.75">
      <c r="A221" s="45"/>
      <c r="B221" s="45"/>
      <c r="C221" s="45"/>
      <c r="D221" s="44"/>
      <c r="E221" s="217"/>
      <c r="F221" s="217"/>
      <c r="G221" s="18"/>
      <c r="H221" s="18"/>
      <c r="I221" s="18"/>
    </row>
    <row r="222" spans="1:9" ht="12.75">
      <c r="A222" s="178"/>
      <c r="B222" s="57"/>
      <c r="C222" s="44"/>
      <c r="D222" s="44"/>
      <c r="E222" s="217"/>
      <c r="F222" s="217"/>
      <c r="G222" s="18"/>
      <c r="H222" s="18"/>
      <c r="I222" s="18"/>
    </row>
    <row r="223" spans="1:9" ht="12.75">
      <c r="A223" s="178"/>
      <c r="B223" s="70"/>
      <c r="C223" s="44"/>
      <c r="D223" s="44"/>
      <c r="E223" s="217"/>
      <c r="F223" s="217"/>
      <c r="G223" s="18"/>
      <c r="H223" s="18"/>
      <c r="I223" s="18"/>
    </row>
    <row r="224" spans="1:9" ht="12.75">
      <c r="A224" s="178"/>
      <c r="B224" s="70"/>
      <c r="C224" s="44"/>
      <c r="D224" s="44"/>
      <c r="E224" s="217"/>
      <c r="F224" s="217"/>
      <c r="G224" s="18"/>
      <c r="H224" s="18"/>
      <c r="I224" s="18"/>
    </row>
    <row r="225" spans="1:9" ht="12.75">
      <c r="A225" s="178"/>
      <c r="B225" s="70"/>
      <c r="C225" s="44"/>
      <c r="D225" s="44"/>
      <c r="E225" s="217"/>
      <c r="F225" s="217"/>
      <c r="G225" s="18"/>
      <c r="H225" s="212"/>
      <c r="I225" s="18"/>
    </row>
    <row r="226" spans="1:9" ht="12.75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2.75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2.75">
      <c r="A228" s="218"/>
      <c r="B228" s="18"/>
      <c r="C228" s="18"/>
      <c r="D228" s="18"/>
      <c r="E228" s="18"/>
      <c r="F228" s="18"/>
      <c r="G228" s="18"/>
      <c r="H228" s="18"/>
      <c r="I228" s="18"/>
    </row>
    <row r="229" spans="1:9" ht="12.75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2.75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2.75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2.75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2.75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2.75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2.75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2.75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2.75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2.75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2.75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2.75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2.75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2.75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2.75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2.75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2.75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2.75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2.75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2.75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2.75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2.75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2.75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2.75">
      <c r="A252" s="18"/>
      <c r="B252" s="18"/>
      <c r="C252" s="18"/>
      <c r="D252" s="18"/>
      <c r="E252" s="18"/>
      <c r="F252" s="18"/>
      <c r="G252" s="18"/>
      <c r="H252" s="18"/>
      <c r="I252" s="18"/>
    </row>
  </sheetData>
  <sheetProtection sheet="1" objects="1" scenarios="1"/>
  <conditionalFormatting sqref="E56">
    <cfRule type="cellIs" priority="1" dxfId="0" operator="notEqual" stopIfTrue="1">
      <formula>"OK"</formula>
    </cfRule>
  </conditionalFormatting>
  <dataValidations count="19">
    <dataValidation allowBlank="1" showInputMessage="1" showErrorMessage="1" prompt="'x6' = the x-distance from the centroidal Y-axis to the point under consideration.  Note: 'x6' is positive (+) in 1st and 4th quadrants, while 'x6' is negative (-) in 2nd and 3rd quadrants. " sqref="B36"/>
    <dataValidation allowBlank="1" showInputMessage="1" showErrorMessage="1" prompt="'y6' = the y-distance from the centroidal Y-axis to the point under consideration.  Note: 'y6' is positive (+) in 1st and 2nd quadrants, while 'y6' is negative (-) in 3rd and 4th quadrants. " sqref="B37"/>
    <dataValidation allowBlank="1" showInputMessage="1" showErrorMessage="1" prompt="'Pz' = applied axial load in the centroidal Z-axis direction.  Axial tension load is assumed positive (+), while axial compression load is assumed negative (-). " sqref="B16"/>
    <dataValidation allowBlank="1" showInputMessage="1" showErrorMessage="1" prompt="'Mx' = applied moment about the centroidal X-axis.  Note: sign convention is moment is assumed positive (+) per &quot;right-hand-rule&quot;. " sqref="B17"/>
    <dataValidation allowBlank="1" showInputMessage="1" showErrorMessage="1" prompt="'My' = applied moment about the centroidal Y-axis.  Note: sign convention is moment is assumed positive (+) per &quot;right-hand-rule&quot;. " sqref="B18"/>
    <dataValidation allowBlank="1" showInputMessage="1" showErrorMessage="1" prompt="'A' = the total area of cross-section." sqref="B10"/>
    <dataValidation allowBlank="1" showInputMessage="1" showErrorMessage="1" prompt="'Ix' = moment of inertia of cross-section about centroidal X-axis." sqref="B11"/>
    <dataValidation allowBlank="1" showInputMessage="1" showErrorMessage="1" prompt="'Iy' = moment of inertia of cross-section about centroidal Y-axis." sqref="B12"/>
    <dataValidation allowBlank="1" showInputMessage="1" showErrorMessage="1" prompt="'Ixy' = product of inertia of cross-section about centroidal axes.       &#10;Note:  the value of 'Ixy' = 0  for cross-sections with at least one axis of symmetry." sqref="B13"/>
    <dataValidation allowBlank="1" showInputMessage="1" showErrorMessage="1" prompt="'x1' = the x-distance from the centroidal Y-axis to the point under consideration.  Note: 'x1' is positive (+) in 1st and 4th quadrants, while 'x1' is negative (-) in 2nd and 3rd quadrants. " sqref="B21"/>
    <dataValidation allowBlank="1" showInputMessage="1" showErrorMessage="1" prompt="'y1' = the y-distance from the centroidal Y-axis to the point under consideration.  Note: 'y1' is positive (+) in 1st and 2nd quadrants, while 'y1' is negative (-) in 3rd and 4th quadrants. " sqref="B22"/>
    <dataValidation allowBlank="1" showInputMessage="1" showErrorMessage="1" prompt="'x2' = the x-distance from the centroidal Y-axis to the point under consideration.  Note: 'x2' is positive (+) in 1st and 4th quadrants, while 'x2' is negative (-) in 2nd and 3rd quadrants. " sqref="B24"/>
    <dataValidation allowBlank="1" showInputMessage="1" showErrorMessage="1" prompt="'y2' = the y-distance from the centroidal Y-axis to the point under consideration.  Note: 'y2' is positive (+) in 1st and 2nd quadrants, while 'y2' is negative (-) in 3rd and 4th quadrants. " sqref="B25"/>
    <dataValidation allowBlank="1" showInputMessage="1" showErrorMessage="1" prompt="'x3' = the x-distance from the centroidal Y-axis to the point under consideration.  Note: 'x3' is positive (+) in 1st and 4th quadrants, while 'x3' is negative (-) in 2nd and 3rd quadrants. " sqref="B27"/>
    <dataValidation allowBlank="1" showInputMessage="1" showErrorMessage="1" prompt="'y3' = the y-distance from the centroidal Y-axis to the point under consideration.  Note: 'y3' is positive (+) in 1st and 2nd quadrants, while 'y3' is negative (-) in 3rd and 4th quadrants. " sqref="B28"/>
    <dataValidation allowBlank="1" showInputMessage="1" showErrorMessage="1" prompt="'x4' = the x-distance from the centroidal Y-axis to the point under consideration.  Note: 'x4' is positive (+) in 1st and 4th quadrants, while 'x4' is negative (-) in 2nd and 3rd quadrants. " sqref="B30"/>
    <dataValidation allowBlank="1" showInputMessage="1" showErrorMessage="1" prompt="'y4' = the y-distance from the centroidal Y-axis to the point under consideration.  Note: 'y4' is positive (+) in 1st and 2nd quadrants, while 'y4' is negative (-) in 3rd and 4th quadrants. " sqref="B31"/>
    <dataValidation allowBlank="1" showInputMessage="1" showErrorMessage="1" prompt="'x5' = the x-distance from the centroidal Y-axis to the point under consideration.  Note: 'x5' is positive (+) in 1st and 4th quadrants, while 'x5' is negative (-) in 2nd and 3rd quadrants. " sqref="B33"/>
    <dataValidation allowBlank="1" showInputMessage="1" showErrorMessage="1" prompt="'y5' = the y-distance from the centroidal Y-axis to the point under consideration.  Note: 'y5' is positive (+) in 1st and 2nd quadrants, while 'y5' is negative (-) in 3rd and 4th quadrants. " sqref="B34"/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&amp;R"SECTPROP.xls" Program
Version 2.6</oddHeader>
    <oddFooter>&amp;C&amp;P of &amp;N&amp;R&amp;D  &amp;T</oddFooter>
  </headerFooter>
  <rowBreaks count="4" manualBreakCount="4">
    <brk id="52" max="8" man="1"/>
    <brk id="102" max="8" man="1"/>
    <brk id="152" max="8" man="1"/>
    <brk id="202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"SECTPROP" Program</dc:title>
  <dc:subject/>
  <dc:creator>Alex Tomanovich, P.E. - 151 Shadow Lane, Lyman SC 29365 - Home: 864-968-2699 - Email: ATomanovich@bellsouth.net</dc:creator>
  <cp:keywords/>
  <dc:description>Section Properties Analysis</dc:description>
  <cp:lastModifiedBy>Fluor</cp:lastModifiedBy>
  <cp:lastPrinted>2014-03-27T12:35:44Z</cp:lastPrinted>
  <dcterms:created xsi:type="dcterms:W3CDTF">1999-11-22T20:04:47Z</dcterms:created>
  <dcterms:modified xsi:type="dcterms:W3CDTF">2014-03-27T12:38:29Z</dcterms:modified>
  <cp:category>Structural Engineering Analysis/Design</cp:category>
  <cp:version/>
  <cp:contentType/>
  <cp:contentStatus/>
</cp:coreProperties>
</file>