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77" activeTab="1"/>
  </bookViews>
  <sheets>
    <sheet name="Doc" sheetId="1" r:id="rId1"/>
    <sheet name="Shear End Plate (Col Flg)" sheetId="2" r:id="rId2"/>
    <sheet name="Shear End Plate (Col Web)" sheetId="3" r:id="rId3"/>
    <sheet name="Shear End Plate (Girder)" sheetId="4" r:id="rId4"/>
  </sheets>
  <definedNames>
    <definedName name="IND1">#REF!</definedName>
    <definedName name="_xlnm.Print_Area" localSheetId="0">'Doc'!$A$1:$J$49</definedName>
    <definedName name="_xlnm.Print_Area" localSheetId="1">'Shear End Plate (Col Flg)'!$A$1:$I$211</definedName>
    <definedName name="_xlnm.Print_Area" localSheetId="2">'Shear End Plate (Col Web)'!$A$1:$I$203</definedName>
    <definedName name="_xlnm.Print_Area" localSheetId="3">'Shear End Plate (Girder)'!$A$1:$I$204</definedName>
    <definedName name="Shape">#REF!</definedName>
  </definedNames>
  <calcPr fullCalcOnLoad="1"/>
</workbook>
</file>

<file path=xl/comments2.xml><?xml version="1.0" encoding="utf-8"?>
<comments xmlns="http://schemas.openxmlformats.org/spreadsheetml/2006/main">
  <authors>
    <author>4892</author>
    <author>Alex Tomanovich</author>
    <author>Bob Dalpiaz</author>
    <author>ATOMANOV</author>
    <author>jberg</author>
  </authors>
  <commentList>
    <comment ref="AR7" authorId="0">
      <text>
        <r>
          <rPr>
            <sz val="8"/>
            <rFont val="Tahoma"/>
            <family val="2"/>
          </rPr>
          <t>If Rbv &lt; R, then either increase number of bolts (Nb),  or increase bolt size/diameter (db).</t>
        </r>
      </text>
    </comment>
    <comment ref="AR8" authorId="0">
      <text>
        <r>
          <rPr>
            <sz val="8"/>
            <rFont val="Tahoma"/>
            <family val="2"/>
          </rPr>
          <t>If Rbt &lt; P, then either increase number of bolts (Nb),  or increase bolt size/diameter (db).</t>
        </r>
      </text>
    </comment>
    <comment ref="AR9" authorId="0">
      <text>
        <r>
          <rPr>
            <sz val="8"/>
            <rFont val="Tahoma"/>
            <family val="2"/>
          </rPr>
          <t>If tp &lt; tp(req'd), then either increase end plate thickness (tp), increase number of bolts (Nb), decrease bolt gage (g), increase bolt size/diameter (db), or increase tributary angle length/bolt (p) by increasing bolt vertical spacing (S) and/or edge distance (ED).</t>
        </r>
      </text>
    </comment>
    <comment ref="AR10" authorId="0">
      <text>
        <r>
          <rPr>
            <sz val="8"/>
            <rFont val="Tahoma"/>
            <family val="2"/>
          </rPr>
          <t>If Ra &lt; P, then either increase end plate thickness (tp), increase number of bolts (Nb), decrease bolt gage (g), increase bolt size/diameter (db), or increase tributary angle length/bolt (p) by increasing bolt vertical spacing (S) and/or edge distance (ED).</t>
        </r>
      </text>
    </comment>
    <comment ref="AR11" authorId="1">
      <text>
        <r>
          <rPr>
            <sz val="8"/>
            <rFont val="Tahoma"/>
            <family val="2"/>
          </rPr>
          <t>If Rp &lt; R, then either increase end plate thickness (tp), increase number of bolts (Nb), increase bolt spacing (S), or increase bolt size/diameter (db).</t>
        </r>
      </text>
    </comment>
    <comment ref="AR12" authorId="1">
      <text>
        <r>
          <rPr>
            <sz val="8"/>
            <rFont val="Tahoma"/>
            <family val="2"/>
          </rPr>
          <t>If Rvg &lt; R, then either increase end plate thickness (tp), increase number of bolts (Nb), increase bolt spacing (S), or increase bolt size/diameter (db).</t>
        </r>
      </text>
    </comment>
    <comment ref="AR14" authorId="1">
      <text>
        <r>
          <rPr>
            <sz val="8"/>
            <rFont val="Tahoma"/>
            <family val="2"/>
          </rPr>
          <t>If Rbs &lt; R, then either increase end plate thickness (tp), increase number of bolts (Nb), increase bolt spacing (S), or increase bolt size/diameter (db).</t>
        </r>
      </text>
    </comment>
    <comment ref="AR16" authorId="1">
      <text>
        <r>
          <rPr>
            <sz val="8"/>
            <rFont val="Tahoma"/>
            <family val="2"/>
          </rPr>
          <t>If Rwv'&lt; Pr, then increase length of connection by either increasing the number of bolts (Nb) or increasing the bolt spacing (S).</t>
        </r>
      </text>
    </comment>
    <comment ref="AR17" authorId="1">
      <text>
        <r>
          <rPr>
            <sz val="8"/>
            <rFont val="Tahoma"/>
            <family val="2"/>
          </rPr>
          <t>If weld size &gt; max. weld, then increase length of connection by either increasing the number of bolts (Nb) or increasing the bolt spacing (S).</t>
        </r>
      </text>
    </comment>
    <comment ref="AR23" authorId="1">
      <text>
        <r>
          <rPr>
            <sz val="8"/>
            <rFont val="Tahoma"/>
            <family val="2"/>
          </rPr>
          <t>If Rtn &lt; R, then either increase beam web thickness (tw) or add beam web doubler plate(s).</t>
        </r>
      </text>
    </comment>
    <comment ref="AR24" authorId="1">
      <text>
        <r>
          <rPr>
            <sz val="8"/>
            <rFont val="Tahoma"/>
            <family val="2"/>
          </rPr>
          <t>If Rwb &lt; R, then either increase beam web thickness (tw) or add beam web doubler plate(s).</t>
        </r>
      </text>
    </comment>
    <comment ref="B131"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Thinner Part Joined (in.)                   Fillet Weld (in.) 
</t>
        </r>
        <r>
          <rPr>
            <sz val="8"/>
            <rFont val="Tahoma"/>
            <family val="2"/>
          </rPr>
          <t xml:space="preserve">To 1/4 inclusive                                          1/8
Over 1/4 to 1/2                                         3/16
Over 1/2 to 3/4                                          1/4
Over 3/4                                                    5/16
</t>
        </r>
      </text>
    </comment>
    <comment ref="I136" authorId="1">
      <text>
        <r>
          <rPr>
            <sz val="8"/>
            <rFont val="Tahoma"/>
            <family val="2"/>
          </rPr>
          <t>If Rwr'&lt; Pr, then increase length of connection by either increasing the number of bolts (Nb) or increasing the bolt spacing (S).</t>
        </r>
      </text>
    </comment>
    <comment ref="I137" authorId="1">
      <text>
        <r>
          <rPr>
            <sz val="8"/>
            <rFont val="Tahoma"/>
            <family val="2"/>
          </rPr>
          <t>If weld size &gt; max. weld, then increase length of connection by either increasing the number of bolts (Nb) or increasing the bolt spacing (S).</t>
        </r>
      </text>
    </comment>
    <comment ref="AR13" authorId="1">
      <text>
        <r>
          <rPr>
            <sz val="8"/>
            <rFont val="Tahoma"/>
            <family val="2"/>
          </rPr>
          <t>If Rvn &lt; R, then either increase end plate thickness (tp), increase number of bolts (Nb), increase bolt spacing (S), or increase bolt size/diameter (db).</t>
        </r>
      </text>
    </comment>
    <comment ref="I186" authorId="0">
      <text>
        <r>
          <rPr>
            <sz val="8"/>
            <rFont val="Tahoma"/>
            <family val="2"/>
          </rPr>
          <t>If tf &lt; tf(req'd), either increase number of bolts (Nb), decrease bolt gage (g), increase bolt size/diameter (db), or increase tributary column flange length/bolt (p) by increasing bolt vertical spacing (S).</t>
        </r>
      </text>
    </comment>
    <comment ref="I190" authorId="0">
      <text>
        <r>
          <rPr>
            <sz val="8"/>
            <rFont val="Tahoma"/>
            <family val="2"/>
          </rPr>
          <t>If Ra &lt; P, either increase number of bolts (Nb), decrease bolt gage (g), increase bolt size/diameter (db), or increase tributary column flange length/bolt (p) by increasing bolt vertical spacing (S).</t>
        </r>
      </text>
    </comment>
    <comment ref="I193" authorId="0">
      <text>
        <r>
          <rPr>
            <sz val="8"/>
            <rFont val="Tahoma"/>
            <family val="2"/>
          </rPr>
          <t>If Rpc &lt; R, either increase number of bolts (Nb) orincrease bolt size/diameter (db).</t>
        </r>
      </text>
    </comment>
    <comment ref="I198" authorId="0">
      <text>
        <r>
          <rPr>
            <sz val="8"/>
            <rFont val="Tahoma"/>
            <family val="2"/>
          </rPr>
          <t>If Rwy &lt; P, then either increase number of bolts (Nb), increase bolt vertical spacing (S), or add/increase column web doubler plate thickness (td).</t>
        </r>
      </text>
    </comment>
    <comment ref="I204" authorId="0">
      <text>
        <r>
          <rPr>
            <sz val="8"/>
            <rFont val="Tahoma"/>
            <family val="2"/>
          </rPr>
          <t>If Ra &lt; P, then either increase number of bolts (Nb), increase bolt vertical spacing (S), or add/increase column web doubler plate thickness (td).</t>
        </r>
      </text>
    </comment>
    <comment ref="I211" authorId="0">
      <text>
        <r>
          <rPr>
            <sz val="8"/>
            <rFont val="Tahoma"/>
            <family val="2"/>
          </rPr>
          <t>If weld size &gt; maximum weld, then either add/increase column web doubler plate thickness (td), increase number of bolts (Nb), increase bolt vertical spacing (S), or use full penetration weld.</t>
        </r>
      </text>
    </comment>
    <comment ref="AR27" authorId="0">
      <text>
        <r>
          <rPr>
            <sz val="8"/>
            <rFont val="Tahoma"/>
            <family val="2"/>
          </rPr>
          <t>If tf &lt; tf(req'd), either increase number of bolts (Nb), decrease bolt gage (g), increase bolt size/diameter (db), or increase tributary column flange length/bolt (p) by increasing bolt vertical spacing (S).</t>
        </r>
      </text>
    </comment>
    <comment ref="AR28" authorId="0">
      <text>
        <r>
          <rPr>
            <sz val="8"/>
            <rFont val="Tahoma"/>
            <family val="2"/>
          </rPr>
          <t>If Ra &lt; P, either increase number of bolts (Nb), decrease bolt gage (g), increase bolt size/diameter (db), or increase tributary column flange length/bolt (p) by increasing bolt vertical spacing (S).</t>
        </r>
      </text>
    </comment>
    <comment ref="AR29" authorId="0">
      <text>
        <r>
          <rPr>
            <sz val="8"/>
            <rFont val="Tahoma"/>
            <family val="2"/>
          </rPr>
          <t>If Rpc &lt; R, either increase number of bolts (Nb) orincrease bolt size/diameter (db).</t>
        </r>
      </text>
    </comment>
    <comment ref="AR30" authorId="0">
      <text>
        <r>
          <rPr>
            <sz val="8"/>
            <rFont val="Tahoma"/>
            <family val="2"/>
          </rPr>
          <t>If Fwy &lt; fwy, then either increase number of bolts (Nb), increase bolt vertical spacing (S), or add/increase column web doubler plate thickness (td).</t>
        </r>
      </text>
    </comment>
    <comment ref="AR31" authorId="0">
      <text>
        <r>
          <rPr>
            <sz val="8"/>
            <rFont val="Tahoma"/>
            <family val="2"/>
          </rPr>
          <t>If Ra &lt; P, then either increase number of bolts (Nb), increase bolt vertical spacing (S), or add/increase column web doubler plate thickness (td).</t>
        </r>
      </text>
    </comment>
    <comment ref="AR32" authorId="0">
      <text>
        <r>
          <rPr>
            <sz val="8"/>
            <rFont val="Tahoma"/>
            <family val="2"/>
          </rPr>
          <t>If weld size &gt; maximum weld, then either add/increase column web doubler plate thickness (td), increase number of bolts (Nb), increase bolt vertical spacing (S), or use full penetration weld.</t>
        </r>
      </text>
    </comment>
    <comment ref="AN1" authorId="2">
      <text>
        <r>
          <rPr>
            <b/>
            <sz val="8"/>
            <rFont val="Tahoma"/>
            <family val="2"/>
          </rPr>
          <t>"SHEAR-END-PL-13.xls"</t>
        </r>
        <r>
          <rPr>
            <sz val="8"/>
            <rFont val="Tahoma"/>
            <family val="0"/>
          </rPr>
          <t xml:space="preserve">
written by:  Joel Berg, P.E.</t>
        </r>
      </text>
    </comment>
    <comment ref="B55" authorId="3">
      <text>
        <r>
          <rPr>
            <b/>
            <u val="single"/>
            <sz val="8"/>
            <rFont val="Tahoma"/>
            <family val="2"/>
          </rPr>
          <t xml:space="preserve"> Nominal Bolt Hole Dimensions (Table J3.1)</t>
        </r>
        <r>
          <rPr>
            <sz val="8"/>
            <rFont val="Tahoma"/>
            <family val="0"/>
          </rPr>
          <t xml:space="preserve">
    Bolt                       Hole Dimensions (in.)
</t>
        </r>
        <r>
          <rPr>
            <u val="single"/>
            <sz val="8"/>
            <rFont val="Tahoma"/>
            <family val="2"/>
          </rPr>
          <t xml:space="preserve">Diameter       Standard (Dia.)       Oversized (Dia.)
</t>
        </r>
        <r>
          <rPr>
            <sz val="8"/>
            <rFont val="Tahoma"/>
            <family val="2"/>
          </rPr>
          <t xml:space="preserve">     1/2                  9/16                        5/8
     5/8                 11/16                      13/16</t>
        </r>
        <r>
          <rPr>
            <u val="single"/>
            <sz val="8"/>
            <rFont val="Tahoma"/>
            <family val="2"/>
          </rPr>
          <t xml:space="preserve">
</t>
        </r>
        <r>
          <rPr>
            <sz val="8"/>
            <rFont val="Tahoma"/>
            <family val="0"/>
          </rPr>
          <t xml:space="preserve">     3/4                 13/16                      15/16
     7/8                 15/16                     1-1/16
       1                  1-1/16                     1-1/4
&gt;=1-1/8            d+1/16                   d+5/16
</t>
        </r>
      </text>
    </comment>
    <comment ref="B56" authorId="3">
      <text>
        <r>
          <rPr>
            <b/>
            <u val="single"/>
            <sz val="8"/>
            <rFont val="Tahoma"/>
            <family val="2"/>
          </rPr>
          <t xml:space="preserve"> Nominal Bolt Hole Dimensions (Table J3.1)</t>
        </r>
        <r>
          <rPr>
            <sz val="8"/>
            <rFont val="Tahoma"/>
            <family val="0"/>
          </rPr>
          <t xml:space="preserve">
    Bolt                       Hole Dimensions (in.)
</t>
        </r>
        <r>
          <rPr>
            <u val="single"/>
            <sz val="8"/>
            <rFont val="Tahoma"/>
            <family val="2"/>
          </rPr>
          <t xml:space="preserve">Diameter       Standard (Dia.)       Oversized (Dia.)
</t>
        </r>
        <r>
          <rPr>
            <sz val="8"/>
            <rFont val="Tahoma"/>
            <family val="2"/>
          </rPr>
          <t xml:space="preserve">     1/2                  9/16                        5/8
     5/8                 11/16                      13/16</t>
        </r>
        <r>
          <rPr>
            <u val="single"/>
            <sz val="8"/>
            <rFont val="Tahoma"/>
            <family val="2"/>
          </rPr>
          <t xml:space="preserve">
</t>
        </r>
        <r>
          <rPr>
            <sz val="8"/>
            <rFont val="Tahoma"/>
            <family val="0"/>
          </rPr>
          <t xml:space="preserve">     3/4                 13/16                      15/16
     7/8                 15/16                     1-1/16
       1                  1-1/16                     1-1/4
&gt;=1-1/8            d+1/16                   d+5/16
</t>
        </r>
      </text>
    </comment>
    <comment ref="B57" authorId="3">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B68" authorId="0">
      <text>
        <r>
          <rPr>
            <b/>
            <sz val="8"/>
            <rFont val="Tahoma"/>
            <family val="0"/>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 xml:space="preserve">A490 Bolts
</t>
        </r>
        <r>
          <rPr>
            <sz val="8"/>
            <rFont val="Tahoma"/>
            <family val="2"/>
          </rPr>
          <t xml:space="preserve">      1/2                         12                          15
      5/8                         19                          24
      3/4                          28                         35
      7/8                          39                         49
        1                            51                         64
     1-1/8                        56                         80
     1-1/4                        71                        102
     1-3/8                        85                        121
     1-1/2                       103                       148
*Equal to 0.70 of minimum tensile strength of bolts,
  rounded off to nearest kip.</t>
        </r>
      </text>
    </comment>
    <comment ref="B71"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Al</t>
        </r>
        <r>
          <rPr>
            <u val="single"/>
            <sz val="8"/>
            <rFont val="Tahoma"/>
            <family val="2"/>
          </rPr>
          <t>lowable Shear (Fv)</t>
        </r>
        <r>
          <rPr>
            <sz val="8"/>
            <rFont val="Tahoma"/>
            <family val="2"/>
          </rPr>
          <t xml:space="preserve">
Desription of Fasteners                                                      Bearing-type
</t>
        </r>
        <r>
          <rPr>
            <u val="single"/>
            <sz val="8"/>
            <rFont val="Tahoma"/>
            <family val="2"/>
          </rPr>
          <t xml:space="preserve">                                                                                            Connections  </t>
        </r>
        <r>
          <rPr>
            <sz val="8"/>
            <rFont val="Tahoma"/>
            <family val="2"/>
          </rPr>
          <t xml:space="preserve"> 
       A325 bolts, when threads ARE NOT                                   24.0
          excluded from shear planes
       A325 bolts, when threads ARE                                           30.0
           excluded from shear planes
        A490 bolts, when threads ARE NOT                                  30.0
           excluded from shear planes
        A490 bolts, when threads ARE                                          37.5
           excluded from shear planes
Notes: 
1. For Slip-Critical connections refer to Eqn. J3-4.
2. For Bearing-type connections with combined tension and shear, refer to Eqn J3.3b (below) for allowable shear stress values, 'Fv'.</t>
        </r>
        <r>
          <rPr>
            <u val="single"/>
            <sz val="8"/>
            <rFont val="Tahoma"/>
            <family val="2"/>
          </rPr>
          <t xml:space="preserve">
</t>
        </r>
        <r>
          <rPr>
            <sz val="8"/>
            <rFont val="Tahoma"/>
            <family val="2"/>
          </rPr>
          <t xml:space="preserve">
</t>
        </r>
        <r>
          <rPr>
            <u val="single"/>
            <sz val="8"/>
            <rFont val="Tahoma"/>
            <family val="2"/>
          </rPr>
          <t>Allowable Shear Stress, Fv, for Fasteners in Bearing-type Connections</t>
        </r>
        <r>
          <rPr>
            <sz val="8"/>
            <rFont val="Tahoma"/>
            <family val="2"/>
          </rPr>
          <t xml:space="preserve">
Fv = Fnv'/2 = (1/2)*{ min[ Fnv, 1.3*Fnv - (2*Fnv*ft)/Fnt } Eqn. J3-3b</t>
        </r>
      </text>
    </comment>
    <comment ref="B73" authorId="3">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74" authorId="0">
      <text>
        <r>
          <rPr>
            <sz val="8"/>
            <rFont val="Tahoma"/>
            <family val="2"/>
          </rPr>
          <t>If Rbv &lt; R, then either increase number of bolts (Nb),  or increase bolt size/diameter (db).</t>
        </r>
      </text>
    </comment>
    <comment ref="B77" authorId="4">
      <text>
        <r>
          <rPr>
            <b/>
            <sz val="8"/>
            <rFont val="Tahoma"/>
            <family val="2"/>
          </rPr>
          <t xml:space="preserve">         </t>
        </r>
        <r>
          <rPr>
            <b/>
            <u val="single"/>
            <sz val="8"/>
            <rFont val="Tahoma"/>
            <family val="2"/>
          </rPr>
          <t>Net tensile area</t>
        </r>
        <r>
          <rPr>
            <sz val="8"/>
            <rFont val="Tahoma"/>
            <family val="0"/>
          </rPr>
          <t xml:space="preserve">
At = pi/4 * (db - 0.9743/n)^2
where: n = # of threads / in</t>
        </r>
      </text>
    </comment>
    <comment ref="B80" authorId="0">
      <text>
        <r>
          <rPr>
            <b/>
            <sz val="8"/>
            <rFont val="Tahoma"/>
            <family val="2"/>
          </rPr>
          <t xml:space="preserve">                                               </t>
        </r>
        <r>
          <rPr>
            <b/>
            <u val="single"/>
            <sz val="8"/>
            <rFont val="Tahoma"/>
            <family val="2"/>
          </rPr>
          <t xml:space="preserve">TABLE J3.5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Desription of Fasteners                                Allowable Tension (Ft)</t>
        </r>
        <r>
          <rPr>
            <sz val="8"/>
            <rFont val="Tahoma"/>
            <family val="2"/>
          </rPr>
          <t xml:space="preserve">  
          A325 bolts, when threads are                               45.0
            not excluded from shear planes
          A325 bolts, when threads are                               45.0
            excluded from shear planes
          A490 bolts, when threads are                               56.5
            not excluded from shear planes
          A490 bolts, when threads are                               56.5
            excluded from shear planes
Notes:
1. Allowable tension stress values shown above are for tension alone.
2. For Bearing-type connections with combined tension and shear, refer to
    Eqn J3.3b (below) for allowable tension stress values, 'Ft'.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Ft = Fnt'/2 = (1/2)*{ min[ Fnt, 1.3*Fnt - (2*Fnt*fv)/Fnv } Eqn. J3-3b</t>
        </r>
      </text>
    </comment>
    <comment ref="B81" authorId="3">
      <text>
        <r>
          <rPr>
            <b/>
            <sz val="8"/>
            <rFont val="Tahoma"/>
            <family val="2"/>
          </rPr>
          <t xml:space="preserve">              </t>
        </r>
        <r>
          <rPr>
            <b/>
            <u val="single"/>
            <sz val="8"/>
            <rFont val="Tahoma"/>
            <family val="2"/>
          </rPr>
          <t xml:space="preserve"> Allowable Tension Load on Bolts (kips)</t>
        </r>
        <r>
          <rPr>
            <sz val="8"/>
            <rFont val="Tahoma"/>
            <family val="0"/>
          </rPr>
          <t xml:space="preserve">
    ASTM                          Nominal Diameter, d (in.)
</t>
        </r>
        <r>
          <rPr>
            <u val="single"/>
            <sz val="8"/>
            <rFont val="Tahoma"/>
            <family val="2"/>
          </rPr>
          <t xml:space="preserve">Designation     1/2     5/8    3/4     7/8       1       1-1/8    1-1/4    1-3/8    1-1/2 
</t>
        </r>
        <r>
          <rPr>
            <sz val="8"/>
            <rFont val="Tahoma"/>
            <family val="0"/>
          </rPr>
          <t xml:space="preserve">    A325          8.84   13.8   19.9   27.1   35.3     44.7     55.2      66.8     79.5
    A490          11.1   17.3   25.0   34.0   44.4     56.2     69.3      83.9     99.8
Note:  Values above are taken from AISC Table 7-2, page 7-23,
           and are based on gross (nominal) area assuming NO shear.</t>
        </r>
      </text>
    </comment>
    <comment ref="I82" authorId="0">
      <text>
        <r>
          <rPr>
            <sz val="8"/>
            <rFont val="Tahoma"/>
            <family val="2"/>
          </rPr>
          <t>If Rbt &lt; P, then either increase number of bolts (Nb),  or increase bolt size/diameter (db).</t>
        </r>
      </text>
    </comment>
    <comment ref="I95" authorId="0">
      <text>
        <r>
          <rPr>
            <sz val="8"/>
            <rFont val="Tahoma"/>
            <family val="2"/>
          </rPr>
          <t>If tp &lt; tp(req'd), then either increase end plate thickness (tp), increase number of bolts (Nb), decrease bolt gage (g), increase bolt size/diameter (db), or increase tributary angle length/bolt (p) by increasing bolt vertical spacing (S) and/or edge distance (ED).</t>
        </r>
      </text>
    </comment>
    <comment ref="I99" authorId="0">
      <text>
        <r>
          <rPr>
            <sz val="8"/>
            <rFont val="Tahoma"/>
            <family val="2"/>
          </rPr>
          <t>If Ra &lt; P, then either increase end plate thickness (tp), increase number of bolts (Nb), decrease bolt gage (g), increase bolt size/diameter (db), or increase tributary angle length/bolt (p) by increasing bolt vertical spacing (S) and/or edge distance (ED).</t>
        </r>
      </text>
    </comment>
    <comment ref="I109" authorId="1">
      <text>
        <r>
          <rPr>
            <sz val="8"/>
            <rFont val="Tahoma"/>
            <family val="2"/>
          </rPr>
          <t>If Rp &lt; R, then either increase end plate thickness (tp), increase number of bolts (Nb), increase bolt spacing (S), or increase bolt size/diameter (db).</t>
        </r>
      </text>
    </comment>
    <comment ref="I113" authorId="1">
      <text>
        <r>
          <rPr>
            <sz val="8"/>
            <rFont val="Tahoma"/>
            <family val="2"/>
          </rPr>
          <t>If Rvg &lt; R, then either increase end plate thickness (tp), increase number of bolts (Nb), increase bolt spacing (S), or increase bolt size/diameter (db).</t>
        </r>
      </text>
    </comment>
    <comment ref="I117" authorId="1">
      <text>
        <r>
          <rPr>
            <sz val="8"/>
            <rFont val="Tahoma"/>
            <family val="2"/>
          </rPr>
          <t>If Rvn &lt; R, then either increase end plate thickness (tp), increase number of bolts (Nb), increase bolt spacing (S), or increase bolt size/diameter (db).</t>
        </r>
      </text>
    </comment>
    <comment ref="I124" authorId="1">
      <text>
        <r>
          <rPr>
            <sz val="8"/>
            <rFont val="Tahoma"/>
            <family val="2"/>
          </rPr>
          <t>If Rbs &lt; R, then either increase end plate thickness (tp), increase number of bolts (Nb), increase bolt spacing (S), or increase bolt size/diameter (db).</t>
        </r>
      </text>
    </comment>
    <comment ref="I143" authorId="1">
      <text>
        <r>
          <rPr>
            <sz val="8"/>
            <rFont val="Tahoma"/>
            <family val="2"/>
          </rPr>
          <t>If Rvg &lt; R, then either increase beam web thickness (tw) or add beam web doubler plate(s).</t>
        </r>
      </text>
    </comment>
    <comment ref="I147" authorId="0">
      <text>
        <r>
          <rPr>
            <sz val="8"/>
            <rFont val="Tahoma"/>
            <family val="2"/>
          </rPr>
          <t>If Rvg &lt; R, then either increase beam web thickness (tw) or add beam web doubler plate(s).</t>
        </r>
      </text>
    </comment>
    <comment ref="I156" authorId="1">
      <text>
        <r>
          <rPr>
            <sz val="8"/>
            <rFont val="Tahoma"/>
            <family val="2"/>
          </rPr>
          <t>If Rwb &lt; R, then either increase beam web thickness (tw) or add beam web doubler plate(s).</t>
        </r>
      </text>
    </comment>
    <comment ref="I170" authorId="1">
      <text>
        <r>
          <rPr>
            <sz val="8"/>
            <rFont val="Tahoma"/>
            <family val="2"/>
          </rPr>
          <t>If Rwb &lt; R, then either increase beam web thickness (tw) or add beam web doubler plate(s).</t>
        </r>
      </text>
    </comment>
    <comment ref="AR22" authorId="1">
      <text>
        <r>
          <rPr>
            <sz val="8"/>
            <rFont val="Tahoma"/>
            <family val="2"/>
          </rPr>
          <t>If Rvn &lt; R, then either increase beam web thickness (tw) or add beam web doubler plate(s).</t>
        </r>
      </text>
    </comment>
    <comment ref="AR25" authorId="1">
      <text>
        <r>
          <rPr>
            <sz val="8"/>
            <rFont val="Tahoma"/>
            <family val="2"/>
          </rPr>
          <t>If Rwb &lt; R, then either increase beam web thickness (tw) or add beam web doubler plate(s).</t>
        </r>
      </text>
    </comment>
    <comment ref="I138" authorId="1">
      <text>
        <r>
          <rPr>
            <sz val="8"/>
            <rFont val="Tahoma"/>
            <family val="2"/>
          </rPr>
          <t>If weld size &gt; max. weld, then increase length of connection by either increasing the number of bolts (Nb) or increasing the bolt spacing (S).</t>
        </r>
      </text>
    </comment>
    <comment ref="AR19" authorId="1">
      <text>
        <r>
          <rPr>
            <sz val="8"/>
            <rFont val="Tahoma"/>
            <family val="2"/>
          </rPr>
          <t>If weld size &gt; max. weld, then increase length of connection by either increasing the number of bolts (Nb) or increasing the bolt spacing (S).</t>
        </r>
      </text>
    </comment>
  </commentList>
</comments>
</file>

<file path=xl/comments3.xml><?xml version="1.0" encoding="utf-8"?>
<comments xmlns="http://schemas.openxmlformats.org/spreadsheetml/2006/main">
  <authors>
    <author>4892</author>
    <author>ATOMANOV</author>
    <author>jberg</author>
    <author>Alex Tomanovich</author>
    <author>Bob Dalpiaz</author>
  </authors>
  <commentList>
    <comment ref="I190" authorId="0">
      <text>
        <r>
          <rPr>
            <sz val="8"/>
            <rFont val="Tahoma"/>
            <family val="2"/>
          </rPr>
          <t>If Pa &lt; P, then either increase number of bolts (Nb), increase bolt vertical spacing (S), or add/increase column web doubler plate thickness (td).</t>
        </r>
      </text>
    </comment>
    <comment ref="I202" authorId="0">
      <text>
        <r>
          <rPr>
            <sz val="8"/>
            <rFont val="Tahoma"/>
            <family val="2"/>
          </rPr>
          <t>If weld size &gt; maximum weld, then either add/increase column web doubler plate thickness (td), increase number of bolts (Nb), increase bolt vertical spacing (S), or use full penetration weld.</t>
        </r>
      </text>
    </comment>
    <comment ref="I195" authorId="0">
      <text>
        <r>
          <rPr>
            <sz val="8"/>
            <rFont val="Tahoma"/>
            <family val="2"/>
          </rPr>
          <t>If Fv &lt; fv, then either or add/increase column web doubler plate thickness (td), increase number of bolts (Nb), or increase bolt size/diameter (db).</t>
        </r>
      </text>
    </comment>
    <comment ref="AR30" authorId="0">
      <text>
        <r>
          <rPr>
            <sz val="8"/>
            <rFont val="Tahoma"/>
            <family val="2"/>
          </rPr>
          <t>If weld size &gt; maximum weld, then either add/increase column web doubler plate thickness (td), increase number of bolts (Nb), increase bolt vertical spacing (S), or use full penetration weld.</t>
        </r>
      </text>
    </comment>
    <comment ref="I177" authorId="0">
      <text>
        <r>
          <rPr>
            <sz val="8"/>
            <rFont val="Tahoma"/>
            <family val="2"/>
          </rPr>
          <t>If Rpc &lt; R, either increase number of bolts (Nb), increase bolt size/diameter (db), or add/increase web doubler plate (td).</t>
        </r>
      </text>
    </comment>
    <comment ref="AR27" authorId="0">
      <text>
        <r>
          <rPr>
            <sz val="8"/>
            <rFont val="Tahoma"/>
            <family val="2"/>
          </rPr>
          <t>If Rpc &lt; R, either increase number of bolts (Nb), increase bolt size/diameter (db), or add/increase web doubler plate (td).</t>
        </r>
      </text>
    </comment>
    <comment ref="AR28" authorId="0">
      <text>
        <r>
          <rPr>
            <sz val="8"/>
            <rFont val="Tahoma"/>
            <family val="2"/>
          </rPr>
          <t>If Pa &lt; P, then either increase number of bolts (Nb), increase bolt vertical spacing (S), or add/increase column web doubler plate thickness (td).</t>
        </r>
      </text>
    </comment>
    <comment ref="AR29" authorId="0">
      <text>
        <r>
          <rPr>
            <sz val="8"/>
            <rFont val="Tahoma"/>
            <family val="2"/>
          </rPr>
          <t>If Fv &lt; fv, then either or add/increase column web doubler plate thickness (td), increase number of bolts (Nb), or increase bolt size/diameter (db).</t>
        </r>
      </text>
    </comment>
    <comment ref="B55" authorId="1">
      <text>
        <r>
          <rPr>
            <b/>
            <u val="single"/>
            <sz val="8"/>
            <rFont val="Tahoma"/>
            <family val="2"/>
          </rPr>
          <t xml:space="preserve"> Nominal Bolt Hole Dimensions (Table J3.1)</t>
        </r>
        <r>
          <rPr>
            <sz val="8"/>
            <rFont val="Tahoma"/>
            <family val="0"/>
          </rPr>
          <t xml:space="preserve">
    Bolt                       Hole Dimensions (in.)
</t>
        </r>
        <r>
          <rPr>
            <u val="single"/>
            <sz val="8"/>
            <rFont val="Tahoma"/>
            <family val="2"/>
          </rPr>
          <t xml:space="preserve">Diameter       Standard (Dia.)       Oversized (Dia.)
</t>
        </r>
        <r>
          <rPr>
            <sz val="8"/>
            <rFont val="Tahoma"/>
            <family val="2"/>
          </rPr>
          <t xml:space="preserve">     1/2                  9/16                        5/8
     5/8                 11/16                      13/16</t>
        </r>
        <r>
          <rPr>
            <u val="single"/>
            <sz val="8"/>
            <rFont val="Tahoma"/>
            <family val="2"/>
          </rPr>
          <t xml:space="preserve">
</t>
        </r>
        <r>
          <rPr>
            <sz val="8"/>
            <rFont val="Tahoma"/>
            <family val="0"/>
          </rPr>
          <t xml:space="preserve">     3/4                 13/16                      15/16
     7/8                 15/16                     1-1/16
       1                  1-1/16                     1-1/4
&gt;=1-1/8            d+1/16                   d+5/16
</t>
        </r>
      </text>
    </comment>
    <comment ref="B56" authorId="1">
      <text>
        <r>
          <rPr>
            <b/>
            <u val="single"/>
            <sz val="8"/>
            <rFont val="Tahoma"/>
            <family val="2"/>
          </rPr>
          <t xml:space="preserve"> Nominal Bolt Hole Dimensions (Table J3.1)</t>
        </r>
        <r>
          <rPr>
            <sz val="8"/>
            <rFont val="Tahoma"/>
            <family val="0"/>
          </rPr>
          <t xml:space="preserve">
    Bolt                       Hole Dimensions (in.)
</t>
        </r>
        <r>
          <rPr>
            <u val="single"/>
            <sz val="8"/>
            <rFont val="Tahoma"/>
            <family val="2"/>
          </rPr>
          <t xml:space="preserve">Diameter       Standard (Dia.)       Oversized (Dia.)
</t>
        </r>
        <r>
          <rPr>
            <sz val="8"/>
            <rFont val="Tahoma"/>
            <family val="2"/>
          </rPr>
          <t xml:space="preserve">     1/2                  9/16                        5/8
     5/8                 11/16                      13/16</t>
        </r>
        <r>
          <rPr>
            <u val="single"/>
            <sz val="8"/>
            <rFont val="Tahoma"/>
            <family val="2"/>
          </rPr>
          <t xml:space="preserve">
</t>
        </r>
        <r>
          <rPr>
            <sz val="8"/>
            <rFont val="Tahoma"/>
            <family val="0"/>
          </rPr>
          <t xml:space="preserve">     3/4                 13/16                      15/16
     7/8                 15/16                     1-1/16
       1                  1-1/16                     1-1/4
&gt;=1-1/8            d+1/16                   d+5/16
</t>
        </r>
      </text>
    </comment>
    <comment ref="B57" authorId="1">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B68" authorId="0">
      <text>
        <r>
          <rPr>
            <b/>
            <sz val="8"/>
            <rFont val="Tahoma"/>
            <family val="0"/>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 xml:space="preserve">A490 Bolts
</t>
        </r>
        <r>
          <rPr>
            <sz val="8"/>
            <rFont val="Tahoma"/>
            <family val="2"/>
          </rPr>
          <t xml:space="preserve">      1/2                         12                          15
      5/8                         19                          24
      3/4                          28                         35
      7/8                          39                         49
        1                            51                         64
     1-1/8                        56                         80
     1-1/4                        71                        102
     1-3/8                        85                        121
     1-1/2                       103                       148
*Equal to 0.70 of minimum tensile strength of bolts,
  rounded off to nearest kip.</t>
        </r>
      </text>
    </comment>
    <comment ref="B71"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Al</t>
        </r>
        <r>
          <rPr>
            <u val="single"/>
            <sz val="8"/>
            <rFont val="Tahoma"/>
            <family val="2"/>
          </rPr>
          <t>lowable Shear (Fv)</t>
        </r>
        <r>
          <rPr>
            <sz val="8"/>
            <rFont val="Tahoma"/>
            <family val="2"/>
          </rPr>
          <t xml:space="preserve">
Desription of Fasteners                                                      Bearing-type
</t>
        </r>
        <r>
          <rPr>
            <u val="single"/>
            <sz val="8"/>
            <rFont val="Tahoma"/>
            <family val="2"/>
          </rPr>
          <t xml:space="preserve">                                                                                            Connections  </t>
        </r>
        <r>
          <rPr>
            <sz val="8"/>
            <rFont val="Tahoma"/>
            <family val="2"/>
          </rPr>
          <t xml:space="preserve"> 
       A325 bolts, when threads ARE NOT                                   24.0
          excluded from shear planes
       A325 bolts, when threads ARE                                           30.0
           excluded from shear planes
        A490 bolts, when threads ARE NOT                                  30.0
           excluded from shear planes
        A490 bolts, when threads ARE                                          37.5
           excluded from shear planes
Notes: 
1. For Slip-Critical connections refer to Eqn. J3-4.
2. For Bearing-type connections with combined tension and shear, refer to Eqn J3.3b (below) for allowable shear stress values, 'Fv'.</t>
        </r>
        <r>
          <rPr>
            <u val="single"/>
            <sz val="8"/>
            <rFont val="Tahoma"/>
            <family val="2"/>
          </rPr>
          <t xml:space="preserve">
</t>
        </r>
        <r>
          <rPr>
            <sz val="8"/>
            <rFont val="Tahoma"/>
            <family val="2"/>
          </rPr>
          <t xml:space="preserve">
</t>
        </r>
        <r>
          <rPr>
            <u val="single"/>
            <sz val="8"/>
            <rFont val="Tahoma"/>
            <family val="2"/>
          </rPr>
          <t>Allowable Shear Stress, Fv, for Fasteners in Bearing-type Connections</t>
        </r>
        <r>
          <rPr>
            <sz val="8"/>
            <rFont val="Tahoma"/>
            <family val="2"/>
          </rPr>
          <t xml:space="preserve">
Fv = Fnv'/2 = (1/2)*{ min[ Fnv, 1.3*Fnv - (2*Fnv*ft)/Fnt } Eqn. J3-3b</t>
        </r>
      </text>
    </comment>
    <comment ref="B73" authorId="1">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74" authorId="0">
      <text>
        <r>
          <rPr>
            <sz val="8"/>
            <rFont val="Tahoma"/>
            <family val="2"/>
          </rPr>
          <t>If Rbv &lt; R, then either increase number of bolts (Nb),  or increase bolt size/diameter (db).</t>
        </r>
      </text>
    </comment>
    <comment ref="B77" authorId="2">
      <text>
        <r>
          <rPr>
            <b/>
            <sz val="8"/>
            <rFont val="Tahoma"/>
            <family val="2"/>
          </rPr>
          <t xml:space="preserve">         </t>
        </r>
        <r>
          <rPr>
            <b/>
            <u val="single"/>
            <sz val="8"/>
            <rFont val="Tahoma"/>
            <family val="2"/>
          </rPr>
          <t>Net tensile area</t>
        </r>
        <r>
          <rPr>
            <sz val="8"/>
            <rFont val="Tahoma"/>
            <family val="0"/>
          </rPr>
          <t xml:space="preserve">
At = pi/4 * (db - 0.9743/n)^2
where: n = # of threads / in</t>
        </r>
      </text>
    </comment>
    <comment ref="B80" authorId="0">
      <text>
        <r>
          <rPr>
            <b/>
            <sz val="8"/>
            <rFont val="Tahoma"/>
            <family val="2"/>
          </rPr>
          <t xml:space="preserve">                                               </t>
        </r>
        <r>
          <rPr>
            <b/>
            <u val="single"/>
            <sz val="8"/>
            <rFont val="Tahoma"/>
            <family val="2"/>
          </rPr>
          <t xml:space="preserve">TABLE J3.5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Desription of Fasteners                                Allowable Tension (Ft)</t>
        </r>
        <r>
          <rPr>
            <sz val="8"/>
            <rFont val="Tahoma"/>
            <family val="2"/>
          </rPr>
          <t xml:space="preserve">  
          A325 bolts, when threads are                               45.0
            not excluded from shear planes
          A325 bolts, when threads are                               45.0
            excluded from shear planes
          A490 bolts, when threads are                               56.5
            not excluded from shear planes
          A490 bolts, when threads are                               56.5
            excluded from shear planes
Notes:
1. Allowable tension stress values shown above are for tension alone.
2. For Bearing-type connections with combined tension and shear, refer to
    Eqn J3.3b (below) for allowable tension stress values, 'Ft'.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Ft = Fnt'/2 = (1/2)*{ min[ Fnt, 1.3*Fnt - (2*Fnt*fv)/Fnv } Eqn. J3-3b</t>
        </r>
      </text>
    </comment>
    <comment ref="B81" authorId="1">
      <text>
        <r>
          <rPr>
            <b/>
            <sz val="8"/>
            <rFont val="Tahoma"/>
            <family val="2"/>
          </rPr>
          <t xml:space="preserve">              </t>
        </r>
        <r>
          <rPr>
            <b/>
            <u val="single"/>
            <sz val="8"/>
            <rFont val="Tahoma"/>
            <family val="2"/>
          </rPr>
          <t xml:space="preserve"> Allowable Tension Load on Bolts (kips)</t>
        </r>
        <r>
          <rPr>
            <sz val="8"/>
            <rFont val="Tahoma"/>
            <family val="0"/>
          </rPr>
          <t xml:space="preserve">
    ASTM                          Nominal Diameter, d (in.)
</t>
        </r>
        <r>
          <rPr>
            <u val="single"/>
            <sz val="8"/>
            <rFont val="Tahoma"/>
            <family val="2"/>
          </rPr>
          <t xml:space="preserve">Designation     1/2     5/8    3/4     7/8       1       1-1/8    1-1/4    1-3/8    1-1/2 
</t>
        </r>
        <r>
          <rPr>
            <sz val="8"/>
            <rFont val="Tahoma"/>
            <family val="0"/>
          </rPr>
          <t xml:space="preserve">    A325          8.84   13.8   19.9   27.1   35.3     44.7     55.2      66.8     79.5
    A490          11.1   17.3   25.0   34.0   44.4     56.2     69.3      83.9     99.8
Note:  Values above are taken from AISC Table 7-2, page 7-23,
           and are based on gross (nominal) area assuming NO shear.</t>
        </r>
      </text>
    </comment>
    <comment ref="I82" authorId="0">
      <text>
        <r>
          <rPr>
            <sz val="8"/>
            <rFont val="Tahoma"/>
            <family val="2"/>
          </rPr>
          <t>If Rbt &lt; P, then either increase number of bolts (Nb),  or increase bolt size/diameter (db).</t>
        </r>
      </text>
    </comment>
    <comment ref="I95" authorId="0">
      <text>
        <r>
          <rPr>
            <sz val="8"/>
            <rFont val="Tahoma"/>
            <family val="2"/>
          </rPr>
          <t>If tp &lt; tp(req'd), then either increase end plate thickness (tp), increase number of bolts (Nb), decrease bolt gage (g), increase bolt size/diameter (db), or increase tributary angle length/bolt (p) by increasing bolt vertical spacing (S) and/or edge distance (ED).</t>
        </r>
      </text>
    </comment>
    <comment ref="I99" authorId="0">
      <text>
        <r>
          <rPr>
            <sz val="8"/>
            <rFont val="Tahoma"/>
            <family val="2"/>
          </rPr>
          <t>If Ra &lt; P, then either increase end plate thickness (tp), increase number of bolts (Nb), decrease bolt gage (g), increase bolt size/diameter (db), or increase tributary angle length/bolt (p) by increasing bolt vertical spacing (S) and/or edge distance (ED).</t>
        </r>
      </text>
    </comment>
    <comment ref="I109" authorId="3">
      <text>
        <r>
          <rPr>
            <sz val="8"/>
            <rFont val="Tahoma"/>
            <family val="2"/>
          </rPr>
          <t>If Rpv &lt; R, then either increase end plate thickness thickness (tp), increase number of bolts (Nb), increase bolt spacing (S), or increase bolt size/diameter (db).</t>
        </r>
      </text>
    </comment>
    <comment ref="I113" authorId="3">
      <text>
        <r>
          <rPr>
            <sz val="8"/>
            <rFont val="Tahoma"/>
            <family val="2"/>
          </rPr>
          <t>If Rvg &lt; R, then either increase end plate thickness (tp), increase number of bolts (Nb), increase bolt spacing (S), or increase bolt size/diameter (db).</t>
        </r>
      </text>
    </comment>
    <comment ref="I117" authorId="3">
      <text>
        <r>
          <rPr>
            <sz val="8"/>
            <rFont val="Tahoma"/>
            <family val="2"/>
          </rPr>
          <t>If Rvn &lt; R, then either increase end plate thickness (tp), increase number of bolts (Nb), increase bolt spacing (S), or increase bolt size/diameter (db).</t>
        </r>
      </text>
    </comment>
    <comment ref="I124" authorId="3">
      <text>
        <r>
          <rPr>
            <sz val="8"/>
            <rFont val="Tahoma"/>
            <family val="2"/>
          </rPr>
          <t>If Rbs &lt; R, then either increase end plate thickness (tp), increase number of bolts (Nb), increase bolt spacing (S), or increase bolt size/diameter (db).</t>
        </r>
      </text>
    </comment>
    <comment ref="I147" authorId="0">
      <text>
        <r>
          <rPr>
            <sz val="8"/>
            <rFont val="Tahoma"/>
            <family val="2"/>
          </rPr>
          <t>If Rvg &lt; R, then either increase beam web thickness (tw) or add beam web doubler plate(s).</t>
        </r>
      </text>
    </comment>
    <comment ref="I161" authorId="3">
      <text>
        <r>
          <rPr>
            <sz val="8"/>
            <rFont val="Tahoma"/>
            <family val="2"/>
          </rPr>
          <t>If Rwb &lt; R, then either increase beam web thickness (tw) or add beam web doubler plate(s).</t>
        </r>
      </text>
    </comment>
    <comment ref="I172" authorId="3">
      <text>
        <r>
          <rPr>
            <sz val="8"/>
            <rFont val="Tahoma"/>
            <family val="2"/>
          </rPr>
          <t>If Rwb &lt; R, then either increase beam web thickness (tw) or add beam web doubler plate(s).</t>
        </r>
      </text>
    </comment>
    <comment ref="I136" authorId="3">
      <text>
        <r>
          <rPr>
            <sz val="8"/>
            <rFont val="Tahoma"/>
            <family val="2"/>
          </rPr>
          <t>If Rwv&lt; R, then increase length of connection by either increasing the number of bolts (Nb) or increasing the bolt spacing (S).</t>
        </r>
      </text>
    </comment>
    <comment ref="I137" authorId="3">
      <text>
        <r>
          <rPr>
            <sz val="8"/>
            <rFont val="Tahoma"/>
            <family val="2"/>
          </rPr>
          <t>If weld size &gt; max. weld, then increase length of connection by either increasing the number of bolts (Nb) or increasing the bolt spacing (S).</t>
        </r>
      </text>
    </comment>
    <comment ref="I138" authorId="3">
      <text>
        <r>
          <rPr>
            <sz val="8"/>
            <rFont val="Tahoma"/>
            <family val="2"/>
          </rPr>
          <t>If weld size &gt; max. weld, then increase length of connection by either increasing the number of bolts (Nb) or increasing the bolt spacing (S).</t>
        </r>
      </text>
    </comment>
    <comment ref="AN1" authorId="4">
      <text>
        <r>
          <rPr>
            <b/>
            <sz val="8"/>
            <rFont val="Tahoma"/>
            <family val="2"/>
          </rPr>
          <t>"SHEAR-END-PL-13.xls"</t>
        </r>
        <r>
          <rPr>
            <sz val="8"/>
            <rFont val="Tahoma"/>
            <family val="0"/>
          </rPr>
          <t xml:space="preserve">
written by:  Joel Berg, P.E.</t>
        </r>
      </text>
    </comment>
    <comment ref="AR7" authorId="0">
      <text>
        <r>
          <rPr>
            <sz val="8"/>
            <rFont val="Tahoma"/>
            <family val="2"/>
          </rPr>
          <t>If Rbv &lt; R, then either increase number of bolts (Nb),  or increase bolt size/diameter (db).</t>
        </r>
      </text>
    </comment>
    <comment ref="AR8" authorId="0">
      <text>
        <r>
          <rPr>
            <sz val="8"/>
            <rFont val="Tahoma"/>
            <family val="2"/>
          </rPr>
          <t>If Rbt &lt; P, then either increase number of bolts (Nb),  or increase bolt size/diameter (db).</t>
        </r>
      </text>
    </comment>
    <comment ref="AR9" authorId="0">
      <text>
        <r>
          <rPr>
            <sz val="8"/>
            <rFont val="Tahoma"/>
            <family val="2"/>
          </rPr>
          <t>If tp &lt; tp(req'd), then either increase end plate thickness (tp), increase number of bolts (Nb), decrease bolt gage (g), increase bolt size/diameter (db), or increase tributary angle length/bolt (p) by increasing bolt vertical spacing (S) and/or edge distance (ED).</t>
        </r>
      </text>
    </comment>
    <comment ref="AR10" authorId="0">
      <text>
        <r>
          <rPr>
            <sz val="8"/>
            <rFont val="Tahoma"/>
            <family val="2"/>
          </rPr>
          <t>If Ra &lt; P, then either increase end plate thickness (tp), increase number of bolts (Nb), decrease bolt gage (g), increase bolt size/diameter (db), or increase tributary angle length/bolt (p) by increasing bolt vertical spacing (S) and/or edge distance (ED).</t>
        </r>
      </text>
    </comment>
    <comment ref="AR11" authorId="3">
      <text>
        <r>
          <rPr>
            <sz val="8"/>
            <rFont val="Tahoma"/>
            <family val="2"/>
          </rPr>
          <t>If Rpv &lt; R, then either increase end plate thickness (tp), increase number of bolts (Nb), increase bolt spacing (S), or increase bolt size/diameter (db).</t>
        </r>
      </text>
    </comment>
    <comment ref="AR12" authorId="3">
      <text>
        <r>
          <rPr>
            <sz val="8"/>
            <rFont val="Tahoma"/>
            <family val="2"/>
          </rPr>
          <t>If Rvg &lt; R, then either increase end plate thickness (tp), increase number of bolts (Nb), increase bolt spacing (S), or increase bolt size/diameter (db).</t>
        </r>
      </text>
    </comment>
    <comment ref="AR13" authorId="3">
      <text>
        <r>
          <rPr>
            <sz val="8"/>
            <rFont val="Tahoma"/>
            <family val="2"/>
          </rPr>
          <t>If Rvn &lt; R, then either increase end plate thickness (tp), increase number of bolts (Nb), increase bolt spacing (S), or increase bolt size/diameter (db).</t>
        </r>
      </text>
    </comment>
    <comment ref="AR14" authorId="3">
      <text>
        <r>
          <rPr>
            <sz val="8"/>
            <rFont val="Tahoma"/>
            <family val="2"/>
          </rPr>
          <t>If Rbs &lt; R, then either increase end plate thickness (tp), increase number of bolts (Nb), increase bolt spacing (S), or increase bolt size/diameter (db).</t>
        </r>
      </text>
    </comment>
    <comment ref="AR16" authorId="3">
      <text>
        <r>
          <rPr>
            <sz val="8"/>
            <rFont val="Tahoma"/>
            <family val="2"/>
          </rPr>
          <t>If Rwv'&lt; Pr, then increase length of connection by either increasing the number of bolts (Nb) or increasing the bolt spacing (S).</t>
        </r>
      </text>
    </comment>
    <comment ref="AR17" authorId="3">
      <text>
        <r>
          <rPr>
            <sz val="8"/>
            <rFont val="Tahoma"/>
            <family val="2"/>
          </rPr>
          <t>If weld size &gt; max. weld, then increase length of connection by either increasing the number of bolts (Nb) or increasing the bolt spacing (S).</t>
        </r>
      </text>
    </comment>
    <comment ref="AR19" authorId="3">
      <text>
        <r>
          <rPr>
            <sz val="8"/>
            <rFont val="Tahoma"/>
            <family val="2"/>
          </rPr>
          <t>If weld size &gt; max. weld, then increase length of connection by either increasing the number of bolts (Nb) or increasing the bolt spacing (S).</t>
        </r>
      </text>
    </comment>
    <comment ref="AR23" authorId="3">
      <text>
        <r>
          <rPr>
            <sz val="8"/>
            <rFont val="Tahoma"/>
            <family val="2"/>
          </rPr>
          <t>If Rtn &lt; R, then either increase beam web thickness (tw) or add beam web doubler plate(s).</t>
        </r>
      </text>
    </comment>
    <comment ref="AR24" authorId="3">
      <text>
        <r>
          <rPr>
            <sz val="8"/>
            <rFont val="Tahoma"/>
            <family val="2"/>
          </rPr>
          <t>If Rwb &lt; R, then either increase beam web thickness (tw) or add beam web doubler plate(s).</t>
        </r>
      </text>
    </comment>
    <comment ref="AR25" authorId="3">
      <text>
        <r>
          <rPr>
            <sz val="8"/>
            <rFont val="Tahoma"/>
            <family val="2"/>
          </rPr>
          <t>If Rwb &lt; R, then either increase beam web thickness (tw) or add beam web doubler plate(s).</t>
        </r>
      </text>
    </comment>
    <comment ref="B131" authorId="3">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Thinner Part Joined (in.)                   Fillet Weld (in.) 
</t>
        </r>
        <r>
          <rPr>
            <sz val="8"/>
            <rFont val="Tahoma"/>
            <family val="2"/>
          </rPr>
          <t xml:space="preserve">To 1/4 inclusive                                          1/8
Over 1/4 to 1/2                                         3/16
Over 1/2 to 3/4                                          1/4
Over 3/4                                                    5/16
</t>
        </r>
      </text>
    </comment>
    <comment ref="I143" authorId="3">
      <text>
        <r>
          <rPr>
            <sz val="8"/>
            <rFont val="Tahoma"/>
            <family val="2"/>
          </rPr>
          <t>If Rvg &lt; R, then either increase beam web thickness (tw) or add beam web doubler plate(s).</t>
        </r>
      </text>
    </comment>
    <comment ref="AR22" authorId="3">
      <text>
        <r>
          <rPr>
            <sz val="8"/>
            <rFont val="Tahoma"/>
            <family val="2"/>
          </rPr>
          <t>If Rvn &lt; R, then either increase beam web thickness (tw) or add beam web doubler plate(s).</t>
        </r>
      </text>
    </comment>
  </commentList>
</comments>
</file>

<file path=xl/comments4.xml><?xml version="1.0" encoding="utf-8"?>
<comments xmlns="http://schemas.openxmlformats.org/spreadsheetml/2006/main">
  <authors>
    <author>4892</author>
    <author>ATOMANOV</author>
    <author>jberg</author>
    <author>Alex Tomanovich</author>
    <author>Bob Dalpiaz</author>
  </authors>
  <commentList>
    <comment ref="I196" authorId="0">
      <text>
        <r>
          <rPr>
            <sz val="8"/>
            <rFont val="Tahoma"/>
            <family val="2"/>
          </rPr>
          <t>If Fv &lt; fv, then either or add/increase column web doubler plate thickness (td), increase number of bolts (Nb), or increase bolt size/diameter (db).</t>
        </r>
      </text>
    </comment>
    <comment ref="I203" authorId="0">
      <text>
        <r>
          <rPr>
            <sz val="8"/>
            <rFont val="Tahoma"/>
            <family val="2"/>
          </rPr>
          <t>If weld size &gt; maximum weld, then either add/increase column web doubler plate thickness (td), increase number of bolts (Nb), increase bolt vertical spacing (S), or use full penetration weld.</t>
        </r>
      </text>
    </comment>
    <comment ref="I177" authorId="0">
      <text>
        <r>
          <rPr>
            <sz val="8"/>
            <rFont val="Tahoma"/>
            <family val="2"/>
          </rPr>
          <t>If Rp &lt; R, either increase number of bolts (Nb), increase bolt size/diameter (db), or add/increase web doubler plate (td).</t>
        </r>
      </text>
    </comment>
    <comment ref="AR28" authorId="0">
      <text>
        <r>
          <rPr>
            <sz val="8"/>
            <rFont val="Tahoma"/>
            <family val="2"/>
          </rPr>
          <t>If Fb &lt; fb, then either increase number of bolts (Nb), increase bolt vertical spacing (S), or add/increase girder web doubler plate thickness (td).</t>
        </r>
      </text>
    </comment>
    <comment ref="AR29" authorId="0">
      <text>
        <r>
          <rPr>
            <sz val="8"/>
            <rFont val="Tahoma"/>
            <family val="2"/>
          </rPr>
          <t>If Fv &lt; fv, then either or add/increase girder web doubler plate thickness (td), increase number of bolts (Nb), or increase bolt size/diameter (db).</t>
        </r>
      </text>
    </comment>
    <comment ref="AR30" authorId="0">
      <text>
        <r>
          <rPr>
            <sz val="8"/>
            <rFont val="Tahoma"/>
            <family val="2"/>
          </rPr>
          <t>If weld size &gt; maximum weld, then either add/increase girder web doubler plate thickness (td), increase number of bolts (Nb), increase bolt vertical spacing (S), or use full penetration weld.</t>
        </r>
      </text>
    </comment>
    <comment ref="I190" authorId="0">
      <text>
        <r>
          <rPr>
            <sz val="8"/>
            <rFont val="Tahoma"/>
            <family val="2"/>
          </rPr>
          <t>If Pa &lt; P, then either increase number of bolts (Nb), increase bolt vertical spacing (S), or add/increase girder web doubler plate thickness (td).</t>
        </r>
      </text>
    </comment>
    <comment ref="B55" authorId="1">
      <text>
        <r>
          <rPr>
            <b/>
            <u val="single"/>
            <sz val="8"/>
            <rFont val="Tahoma"/>
            <family val="2"/>
          </rPr>
          <t xml:space="preserve"> Nominal Bolt Hole Dimensions (Table J3.1)</t>
        </r>
        <r>
          <rPr>
            <sz val="8"/>
            <rFont val="Tahoma"/>
            <family val="0"/>
          </rPr>
          <t xml:space="preserve">
    Bolt                       Hole Dimensions (in.)
</t>
        </r>
        <r>
          <rPr>
            <u val="single"/>
            <sz val="8"/>
            <rFont val="Tahoma"/>
            <family val="2"/>
          </rPr>
          <t xml:space="preserve">Diameter       Standard (Dia.)       Oversized (Dia.)
</t>
        </r>
        <r>
          <rPr>
            <sz val="8"/>
            <rFont val="Tahoma"/>
            <family val="2"/>
          </rPr>
          <t xml:space="preserve">     1/2                  9/16                        5/8
     5/8                 11/16                      13/16</t>
        </r>
        <r>
          <rPr>
            <u val="single"/>
            <sz val="8"/>
            <rFont val="Tahoma"/>
            <family val="2"/>
          </rPr>
          <t xml:space="preserve">
</t>
        </r>
        <r>
          <rPr>
            <sz val="8"/>
            <rFont val="Tahoma"/>
            <family val="0"/>
          </rPr>
          <t xml:space="preserve">     3/4                 13/16                      15/16
     7/8                 15/16                     1-1/16
       1                  1-1/16                     1-1/4
&gt;=1-1/8            d+1/16                   d+5/16
</t>
        </r>
      </text>
    </comment>
    <comment ref="B56" authorId="1">
      <text>
        <r>
          <rPr>
            <b/>
            <u val="single"/>
            <sz val="8"/>
            <rFont val="Tahoma"/>
            <family val="2"/>
          </rPr>
          <t xml:space="preserve"> Nominal Bolt Hole Dimensions (Table J3.1)</t>
        </r>
        <r>
          <rPr>
            <sz val="8"/>
            <rFont val="Tahoma"/>
            <family val="0"/>
          </rPr>
          <t xml:space="preserve">
    Bolt                       Hole Dimensions (in.)
</t>
        </r>
        <r>
          <rPr>
            <u val="single"/>
            <sz val="8"/>
            <rFont val="Tahoma"/>
            <family val="2"/>
          </rPr>
          <t xml:space="preserve">Diameter       Standard (Dia.)       Oversized (Dia.)
</t>
        </r>
        <r>
          <rPr>
            <sz val="8"/>
            <rFont val="Tahoma"/>
            <family val="2"/>
          </rPr>
          <t xml:space="preserve">     1/2                  9/16                        5/8
     5/8                 11/16                      13/16</t>
        </r>
        <r>
          <rPr>
            <u val="single"/>
            <sz val="8"/>
            <rFont val="Tahoma"/>
            <family val="2"/>
          </rPr>
          <t xml:space="preserve">
</t>
        </r>
        <r>
          <rPr>
            <sz val="8"/>
            <rFont val="Tahoma"/>
            <family val="0"/>
          </rPr>
          <t xml:space="preserve">     3/4                 13/16                      15/16
     7/8                 15/16                     1-1/16
       1                  1-1/16                     1-1/4
&gt;=1-1/8            d+1/16                   d+5/16
</t>
        </r>
      </text>
    </comment>
    <comment ref="B57" authorId="1">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B68" authorId="0">
      <text>
        <r>
          <rPr>
            <b/>
            <sz val="8"/>
            <rFont val="Tahoma"/>
            <family val="0"/>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 xml:space="preserve">A490 Bolts
</t>
        </r>
        <r>
          <rPr>
            <sz val="8"/>
            <rFont val="Tahoma"/>
            <family val="2"/>
          </rPr>
          <t xml:space="preserve">      1/2                         12                          15
      5/8                         19                          24
      3/4                          28                         35
      7/8                          39                         49
        1                            51                         64
     1-1/8                        56                         80
     1-1/4                        71                        102
     1-3/8                        85                        121
     1-1/2                       103                       148
*Equal to 0.70 of minimum tensile strength of bolts,
  rounded off to nearest kip.</t>
        </r>
      </text>
    </comment>
    <comment ref="B71"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Al</t>
        </r>
        <r>
          <rPr>
            <u val="single"/>
            <sz val="8"/>
            <rFont val="Tahoma"/>
            <family val="2"/>
          </rPr>
          <t>lowable Shear (Fv)</t>
        </r>
        <r>
          <rPr>
            <sz val="8"/>
            <rFont val="Tahoma"/>
            <family val="2"/>
          </rPr>
          <t xml:space="preserve">
Desription of Fasteners                                                      Bearing-type
</t>
        </r>
        <r>
          <rPr>
            <u val="single"/>
            <sz val="8"/>
            <rFont val="Tahoma"/>
            <family val="2"/>
          </rPr>
          <t xml:space="preserve">                                                                                            Connections  </t>
        </r>
        <r>
          <rPr>
            <sz val="8"/>
            <rFont val="Tahoma"/>
            <family val="2"/>
          </rPr>
          <t xml:space="preserve"> 
       A325 bolts, when threads ARE NOT                                   24.0
          excluded from shear planes
       A325 bolts, when threads ARE                                           30.0
           excluded from shear planes
        A490 bolts, when threads ARE NOT                                  30.0
           excluded from shear planes
        A490 bolts, when threads ARE                                          37.5
           excluded from shear planes
Notes: 
1. For Slip-Critical connections refer to Eqn. J3-4.
2. For Bearing-type connections with combined tension and shear, refer to Eqn J3.3b (below) for allowable shear stress values, 'Fv'.</t>
        </r>
        <r>
          <rPr>
            <u val="single"/>
            <sz val="8"/>
            <rFont val="Tahoma"/>
            <family val="2"/>
          </rPr>
          <t xml:space="preserve">
</t>
        </r>
        <r>
          <rPr>
            <sz val="8"/>
            <rFont val="Tahoma"/>
            <family val="2"/>
          </rPr>
          <t xml:space="preserve">
</t>
        </r>
        <r>
          <rPr>
            <u val="single"/>
            <sz val="8"/>
            <rFont val="Tahoma"/>
            <family val="2"/>
          </rPr>
          <t>Allowable Shear Stress, Fv, for Fasteners in Bearing-type Connections</t>
        </r>
        <r>
          <rPr>
            <sz val="8"/>
            <rFont val="Tahoma"/>
            <family val="2"/>
          </rPr>
          <t xml:space="preserve">
Fv = Fnv'/2 = (1/2)*{ min[ Fnv, 1.3*Fnv - (2*Fnv*ft)/Fnt } Eqn. J3-3b</t>
        </r>
      </text>
    </comment>
    <comment ref="B73" authorId="1">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B77" authorId="2">
      <text>
        <r>
          <rPr>
            <b/>
            <sz val="8"/>
            <rFont val="Tahoma"/>
            <family val="2"/>
          </rPr>
          <t xml:space="preserve">         </t>
        </r>
        <r>
          <rPr>
            <b/>
            <u val="single"/>
            <sz val="8"/>
            <rFont val="Tahoma"/>
            <family val="2"/>
          </rPr>
          <t>Net tensile area</t>
        </r>
        <r>
          <rPr>
            <sz val="8"/>
            <rFont val="Tahoma"/>
            <family val="0"/>
          </rPr>
          <t xml:space="preserve">
At = pi/4 * (db - 0.9743/n)^2
where: n = # of threads / in</t>
        </r>
      </text>
    </comment>
    <comment ref="B80" authorId="0">
      <text>
        <r>
          <rPr>
            <b/>
            <sz val="8"/>
            <rFont val="Tahoma"/>
            <family val="2"/>
          </rPr>
          <t xml:space="preserve">                                               </t>
        </r>
        <r>
          <rPr>
            <b/>
            <u val="single"/>
            <sz val="8"/>
            <rFont val="Tahoma"/>
            <family val="2"/>
          </rPr>
          <t xml:space="preserve">TABLE J3.5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Desription of Fasteners                                Allowable Tension (Ft)</t>
        </r>
        <r>
          <rPr>
            <sz val="8"/>
            <rFont val="Tahoma"/>
            <family val="2"/>
          </rPr>
          <t xml:space="preserve">  
          A325 bolts, when threads are                               45.0
            not excluded from shear planes
          A325 bolts, when threads are                               45.0
            excluded from shear planes
          A490 bolts, when threads are                               56.5
            not excluded from shear planes
          A490 bolts, when threads are                               56.5
            excluded from shear planes
Notes:
1. Allowable tension stress values shown above are for tension alone.
2. For Bearing-type connections with combined tension and shear, refer to
    Eqn J3.3b (below) for allowable tension stress values, 'Ft'.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Ft = Fnt'/2 = (1/2)*{ min[ Fnt, 1.3*Fnt - (2*Fnt*fv)/Fnv } Eqn. J3-3b</t>
        </r>
      </text>
    </comment>
    <comment ref="B81" authorId="1">
      <text>
        <r>
          <rPr>
            <b/>
            <sz val="8"/>
            <rFont val="Tahoma"/>
            <family val="2"/>
          </rPr>
          <t xml:space="preserve">              </t>
        </r>
        <r>
          <rPr>
            <b/>
            <u val="single"/>
            <sz val="8"/>
            <rFont val="Tahoma"/>
            <family val="2"/>
          </rPr>
          <t xml:space="preserve"> Allowable Tension Load on Bolts (kips)</t>
        </r>
        <r>
          <rPr>
            <sz val="8"/>
            <rFont val="Tahoma"/>
            <family val="0"/>
          </rPr>
          <t xml:space="preserve">
    ASTM                          Nominal Diameter, d (in.)
</t>
        </r>
        <r>
          <rPr>
            <u val="single"/>
            <sz val="8"/>
            <rFont val="Tahoma"/>
            <family val="2"/>
          </rPr>
          <t xml:space="preserve">Designation     1/2     5/8    3/4     7/8       1       1-1/8    1-1/4    1-3/8    1-1/2 
</t>
        </r>
        <r>
          <rPr>
            <sz val="8"/>
            <rFont val="Tahoma"/>
            <family val="0"/>
          </rPr>
          <t xml:space="preserve">    A325          8.84   13.8   19.9   27.1   35.3     44.7     55.2      66.8     79.5
    A490          11.1   17.3   25.0   34.0   44.4     56.2     69.3      83.9     99.8
Note:  Values above are taken from AISC Table 7-2, page 7-23,
           and are based on gross (nominal) area assuming NO shear.</t>
        </r>
      </text>
    </comment>
    <comment ref="B131" authorId="3">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Thinner Part Joined (in.)                   Fillet Weld (in.) 
</t>
        </r>
        <r>
          <rPr>
            <sz val="8"/>
            <rFont val="Tahoma"/>
            <family val="2"/>
          </rPr>
          <t xml:space="preserve">To 1/4 inclusive                                          1/8
Over 1/4 to 1/2                                         3/16
Over 1/2 to 3/4                                          1/4
Over 3/4                                                    5/16
</t>
        </r>
      </text>
    </comment>
    <comment ref="AR7" authorId="0">
      <text>
        <r>
          <rPr>
            <sz val="8"/>
            <rFont val="Tahoma"/>
            <family val="2"/>
          </rPr>
          <t>If Rbv &lt; R, then either increase number of bolts (Nb),  or increase bolt size/diameter (db).</t>
        </r>
      </text>
    </comment>
    <comment ref="AR8" authorId="0">
      <text>
        <r>
          <rPr>
            <sz val="8"/>
            <rFont val="Tahoma"/>
            <family val="2"/>
          </rPr>
          <t>If Rbt &lt; P, then either increase number of bolts (Nb),  or increase bolt size/diameter (db).</t>
        </r>
      </text>
    </comment>
    <comment ref="AR9" authorId="0">
      <text>
        <r>
          <rPr>
            <sz val="8"/>
            <rFont val="Tahoma"/>
            <family val="2"/>
          </rPr>
          <t>If tp &lt; tp(req'd), then either increase end plate thickness (tp), increase number of bolts (Nb), decrease bolt gage (g), increase bolt size/diameter (db), or increase tributary angle length/bolt (p) by increasing bolt vertical spacing (S) and/or edge distance (ED).</t>
        </r>
      </text>
    </comment>
    <comment ref="AR10" authorId="0">
      <text>
        <r>
          <rPr>
            <sz val="8"/>
            <rFont val="Tahoma"/>
            <family val="2"/>
          </rPr>
          <t>If Ra &lt; P, then either increase end plate thickness (tp), increase number of bolts (Nb), decrease bolt gage (g), increase bolt size/diameter (db), or increase tributary angle length/bolt (p) by increasing bolt vertical spacing (S) and/or edge distance (ED).</t>
        </r>
      </text>
    </comment>
    <comment ref="AR11" authorId="3">
      <text>
        <r>
          <rPr>
            <sz val="8"/>
            <rFont val="Tahoma"/>
            <family val="2"/>
          </rPr>
          <t>If Rpv &lt; R, then either increase end plate thickness (tp), increase number of bolts (Nb), increase bolt spacing (S), or increase bolt size/diameter (db).</t>
        </r>
      </text>
    </comment>
    <comment ref="AR12" authorId="3">
      <text>
        <r>
          <rPr>
            <sz val="8"/>
            <rFont val="Tahoma"/>
            <family val="2"/>
          </rPr>
          <t>If Rvg &lt; R, then either increase end plate thickness (tp), increase number of bolts (Nb), increase bolt spacing (S), or increase bolt size/diameter (db).</t>
        </r>
      </text>
    </comment>
    <comment ref="AR13" authorId="3">
      <text>
        <r>
          <rPr>
            <sz val="8"/>
            <rFont val="Tahoma"/>
            <family val="2"/>
          </rPr>
          <t>If Rvn &lt; R, then either increase end plate thickness (tp), increase number of bolts (Nb), increase bolt spacing (S), or increase bolt size/diameter (db).</t>
        </r>
      </text>
    </comment>
    <comment ref="AR14" authorId="3">
      <text>
        <r>
          <rPr>
            <sz val="8"/>
            <rFont val="Tahoma"/>
            <family val="2"/>
          </rPr>
          <t>If Rbs &lt; R, then either increase end plate thickness (tp), increase number of bolts (Nb), increase bolt spacing (S), or increase bolt size/diameter (db).</t>
        </r>
      </text>
    </comment>
    <comment ref="AR16" authorId="3">
      <text>
        <r>
          <rPr>
            <sz val="8"/>
            <rFont val="Tahoma"/>
            <family val="2"/>
          </rPr>
          <t>If Rwv'&lt; Pr, then increase length of connection by either increasing the number of bolts (Nb) or increasing the bolt spacing (S).</t>
        </r>
      </text>
    </comment>
    <comment ref="AR17" authorId="3">
      <text>
        <r>
          <rPr>
            <sz val="8"/>
            <rFont val="Tahoma"/>
            <family val="2"/>
          </rPr>
          <t>If weld size &gt; max. weld, then increase length of connection by either increasing the number of bolts (Nb) or increasing the bolt spacing (S).</t>
        </r>
      </text>
    </comment>
    <comment ref="AR23" authorId="3">
      <text>
        <r>
          <rPr>
            <sz val="8"/>
            <rFont val="Tahoma"/>
            <family val="2"/>
          </rPr>
          <t>If Rtn &lt; R, then either increase beam web thickness (tw) or add beam web doubler plate(s).</t>
        </r>
      </text>
    </comment>
    <comment ref="AR24" authorId="3">
      <text>
        <r>
          <rPr>
            <sz val="8"/>
            <rFont val="Tahoma"/>
            <family val="2"/>
          </rPr>
          <t>If Rwb &lt; R, then either increase beam web thickness (tw) or add beam web doubler plate(s).</t>
        </r>
      </text>
    </comment>
    <comment ref="AR25" authorId="3">
      <text>
        <r>
          <rPr>
            <sz val="8"/>
            <rFont val="Tahoma"/>
            <family val="2"/>
          </rPr>
          <t>If Rwb &lt; R, then either increase beam web thickness (tw) or add beam web doubler plate(s).</t>
        </r>
      </text>
    </comment>
    <comment ref="I74" authorId="0">
      <text>
        <r>
          <rPr>
            <sz val="8"/>
            <rFont val="Tahoma"/>
            <family val="2"/>
          </rPr>
          <t>If Rbv &lt; R, then either increase number of bolts (Nb),  or increase bolt size/diameter (db).</t>
        </r>
      </text>
    </comment>
    <comment ref="I82" authorId="0">
      <text>
        <r>
          <rPr>
            <sz val="8"/>
            <rFont val="Tahoma"/>
            <family val="2"/>
          </rPr>
          <t>If Rbt &lt; P, then either increase number of bolts (Nb),  or increase bolt size/diameter (db).</t>
        </r>
      </text>
    </comment>
    <comment ref="I95" authorId="0">
      <text>
        <r>
          <rPr>
            <sz val="8"/>
            <rFont val="Tahoma"/>
            <family val="2"/>
          </rPr>
          <t>If tp &lt; tp(req'd), then either increase end plate thickness (tp), increase number of bolts (Nb), decrease bolt gage (g), increase bolt size/diameter (db), or increase tributary angle length/bolt (p) by increasing bolt vertical spacing (S) and/or edge distance (ED).</t>
        </r>
      </text>
    </comment>
    <comment ref="I99" authorId="0">
      <text>
        <r>
          <rPr>
            <sz val="8"/>
            <rFont val="Tahoma"/>
            <family val="2"/>
          </rPr>
          <t>If Ra &lt; P, then either increase end plate thickness (tp), increase number of bolts (Nb), decrease bolt gage (g), increase bolt size/diameter (db), or increase tributary angle length/bolt (p) by increasing bolt vertical spacing (S) and/or edge distance (ED).</t>
        </r>
      </text>
    </comment>
    <comment ref="I109" authorId="3">
      <text>
        <r>
          <rPr>
            <sz val="8"/>
            <rFont val="Tahoma"/>
            <family val="2"/>
          </rPr>
          <t>If Rpv &lt; R, then either increase end plate thickness thickness (tp), increase number of bolts (Nb), increase bolt spacing (S), or increase bolt size/diameter (db).</t>
        </r>
      </text>
    </comment>
    <comment ref="I113" authorId="3">
      <text>
        <r>
          <rPr>
            <sz val="8"/>
            <rFont val="Tahoma"/>
            <family val="2"/>
          </rPr>
          <t>If Rvg &lt; R, then either increase end plate thickness (tp), increase number of bolts (Nb), increase bolt spacing (S), or increase bolt size/diameter (db).</t>
        </r>
      </text>
    </comment>
    <comment ref="I117" authorId="3">
      <text>
        <r>
          <rPr>
            <sz val="8"/>
            <rFont val="Tahoma"/>
            <family val="2"/>
          </rPr>
          <t>If Rvn &lt; R, then either increase end plate thickness (tp), increase number of bolts (Nb), increase bolt spacing (S), or increase bolt size/diameter (db).</t>
        </r>
      </text>
    </comment>
    <comment ref="I124" authorId="3">
      <text>
        <r>
          <rPr>
            <sz val="8"/>
            <rFont val="Tahoma"/>
            <family val="2"/>
          </rPr>
          <t>If Rbs &lt; R, then either increase end plate thickness (tp), increase number of bolts (Nb), increase bolt spacing (S), or increase bolt size/diameter (db).</t>
        </r>
      </text>
    </comment>
    <comment ref="I136" authorId="3">
      <text>
        <r>
          <rPr>
            <sz val="8"/>
            <rFont val="Tahoma"/>
            <family val="2"/>
          </rPr>
          <t>If Rwv&lt; R, then increase length of connection by either increasing the number of bolts (Nb) or increasing the bolt spacing (S).</t>
        </r>
      </text>
    </comment>
    <comment ref="I137" authorId="3">
      <text>
        <r>
          <rPr>
            <sz val="8"/>
            <rFont val="Tahoma"/>
            <family val="2"/>
          </rPr>
          <t>If weld size &gt; max. weld, then increase length of connection by either increasing the number of bolts (Nb) or increasing the bolt spacing (S).</t>
        </r>
      </text>
    </comment>
    <comment ref="I138" authorId="3">
      <text>
        <r>
          <rPr>
            <sz val="8"/>
            <rFont val="Tahoma"/>
            <family val="2"/>
          </rPr>
          <t>If weld size &gt; max. weld, then increase length of connection by either increasing the number of bolts (Nb) or increasing the bolt spacing (S).</t>
        </r>
      </text>
    </comment>
    <comment ref="I147" authorId="0">
      <text>
        <r>
          <rPr>
            <sz val="8"/>
            <rFont val="Tahoma"/>
            <family val="2"/>
          </rPr>
          <t>If Rvg &lt; R, then either increase beam web thickness (tw) or add beam web doubler plate(s).</t>
        </r>
      </text>
    </comment>
    <comment ref="I161" authorId="3">
      <text>
        <r>
          <rPr>
            <sz val="8"/>
            <rFont val="Tahoma"/>
            <family val="2"/>
          </rPr>
          <t>If Rwb &lt; R, then either increase beam web thickness (tw) or add beam web doubler plate(s).</t>
        </r>
      </text>
    </comment>
    <comment ref="I172" authorId="3">
      <text>
        <r>
          <rPr>
            <sz val="8"/>
            <rFont val="Tahoma"/>
            <family val="2"/>
          </rPr>
          <t>If Rwb &lt; R, then either increase beam web thickness (tw) or add beam web doubler plate(s).</t>
        </r>
      </text>
    </comment>
    <comment ref="AR27" authorId="0">
      <text>
        <r>
          <rPr>
            <sz val="8"/>
            <rFont val="Tahoma"/>
            <family val="2"/>
          </rPr>
          <t>If Rpc &lt; R, either increase number of bolts (Nb), increase bolt size/diameter (db), or add/increase web doubler plate (td).</t>
        </r>
      </text>
    </comment>
    <comment ref="AN1" authorId="4">
      <text>
        <r>
          <rPr>
            <b/>
            <sz val="8"/>
            <rFont val="Tahoma"/>
            <family val="2"/>
          </rPr>
          <t>"SHEAR-END-PL-13.xls"</t>
        </r>
        <r>
          <rPr>
            <sz val="8"/>
            <rFont val="Tahoma"/>
            <family val="0"/>
          </rPr>
          <t xml:space="preserve">
written by:  Joel Berg, P.E.</t>
        </r>
      </text>
    </comment>
    <comment ref="I143" authorId="3">
      <text>
        <r>
          <rPr>
            <sz val="8"/>
            <rFont val="Tahoma"/>
            <family val="2"/>
          </rPr>
          <t>If Rvg &lt; R, then either increase beam web thickness (tw) or add beam web doubler plate(s).</t>
        </r>
      </text>
    </comment>
    <comment ref="AR19" authorId="3">
      <text>
        <r>
          <rPr>
            <sz val="8"/>
            <rFont val="Tahoma"/>
            <family val="2"/>
          </rPr>
          <t>If weld size &gt; max. weld, then increase length of connection by either increasing the number of bolts (Nb) or increasing the bolt spacing (S).</t>
        </r>
      </text>
    </comment>
    <comment ref="AR22" authorId="3">
      <text>
        <r>
          <rPr>
            <sz val="8"/>
            <rFont val="Tahoma"/>
            <family val="2"/>
          </rPr>
          <t>If Rvn &lt; R, then either increase beam web thickness (tw) or add beam web doubler plate(s).</t>
        </r>
      </text>
    </comment>
  </commentList>
</comments>
</file>

<file path=xl/sharedStrings.xml><?xml version="1.0" encoding="utf-8"?>
<sst xmlns="http://schemas.openxmlformats.org/spreadsheetml/2006/main" count="3667" uniqueCount="915">
  <si>
    <t xml:space="preserve">      is denoted by a “red triangle” in the upper right-hand corner of a cell.  Merely move the mouse pointer to the </t>
  </si>
  <si>
    <t xml:space="preserve">      desired cell to view the contents of that particular "comment box".)</t>
  </si>
  <si>
    <r>
      <t xml:space="preserve">Dist. from Top/Beam to Bolts, D1 </t>
    </r>
    <r>
      <rPr>
        <sz val="10"/>
        <rFont val="Arial"/>
        <family val="0"/>
      </rPr>
      <t>=</t>
    </r>
  </si>
  <si>
    <r>
      <t xml:space="preserve">Fillet Weld Size, </t>
    </r>
    <r>
      <rPr>
        <sz val="10"/>
        <rFont val="Symbol"/>
        <family val="1"/>
      </rPr>
      <t>w</t>
    </r>
    <r>
      <rPr>
        <sz val="10"/>
        <rFont val="Arial"/>
        <family val="0"/>
      </rPr>
      <t xml:space="preserve"> =</t>
    </r>
  </si>
  <si>
    <t>W18x258</t>
  </si>
  <si>
    <t>W18x283</t>
  </si>
  <si>
    <t>W18x311</t>
  </si>
  <si>
    <t>SC</t>
  </si>
  <si>
    <t>Standard</t>
  </si>
  <si>
    <r>
      <t>a</t>
    </r>
    <r>
      <rPr>
        <sz val="10"/>
        <color indexed="12"/>
        <rFont val="Arial"/>
        <family val="0"/>
      </rPr>
      <t>' = 1/(</t>
    </r>
    <r>
      <rPr>
        <sz val="10"/>
        <color indexed="12"/>
        <rFont val="Symbol"/>
        <family val="1"/>
      </rPr>
      <t>d</t>
    </r>
    <r>
      <rPr>
        <sz val="10"/>
        <color indexed="12"/>
        <rFont val="Arial"/>
        <family val="0"/>
      </rPr>
      <t>*(1+</t>
    </r>
    <r>
      <rPr>
        <sz val="10"/>
        <color indexed="12"/>
        <rFont val="Symbol"/>
        <family val="1"/>
      </rPr>
      <t>r</t>
    </r>
    <r>
      <rPr>
        <sz val="10"/>
        <color indexed="12"/>
        <rFont val="Arial"/>
        <family val="0"/>
      </rPr>
      <t>))*((tc/ta)^2-1)</t>
    </r>
  </si>
  <si>
    <t xml:space="preserve">  Bolt and Material Data:</t>
  </si>
  <si>
    <t>Depth of Top Flange Cope, dc1 =</t>
  </si>
  <si>
    <t>Depth of Bottom Flange Cope, dc2 =</t>
  </si>
  <si>
    <t>W18x192</t>
  </si>
  <si>
    <t>W18x211</t>
  </si>
  <si>
    <t>W18x234</t>
  </si>
  <si>
    <t>p =</t>
  </si>
  <si>
    <t>yc =</t>
  </si>
  <si>
    <r>
      <t>d</t>
    </r>
    <r>
      <rPr>
        <sz val="10"/>
        <color indexed="8"/>
        <rFont val="Arial"/>
        <family val="0"/>
      </rPr>
      <t xml:space="preserve"> =</t>
    </r>
  </si>
  <si>
    <r>
      <t>a</t>
    </r>
    <r>
      <rPr>
        <sz val="10"/>
        <color indexed="8"/>
        <rFont val="Arial"/>
        <family val="0"/>
      </rPr>
      <t>' =</t>
    </r>
  </si>
  <si>
    <r>
      <t>r</t>
    </r>
    <r>
      <rPr>
        <sz val="10"/>
        <color indexed="8"/>
        <rFont val="Arial"/>
        <family val="0"/>
      </rPr>
      <t xml:space="preserve"> = b'/a'</t>
    </r>
  </si>
  <si>
    <t>Beam and Girder Data:</t>
  </si>
  <si>
    <t>p = S  (for bolts in column flange)</t>
  </si>
  <si>
    <t xml:space="preserve">  Bolt Bearing in Column Flange:</t>
  </si>
  <si>
    <t>Fuc =</t>
  </si>
  <si>
    <t>Assume: N = (Nr-1)*S</t>
  </si>
  <si>
    <t>Ldw = 2*((Nr-1)*S+2*ED)</t>
  </si>
  <si>
    <t>Face of Col. Flange</t>
  </si>
  <si>
    <t>Length of Flange Cope(s), c =</t>
  </si>
  <si>
    <t>c/ho =</t>
  </si>
  <si>
    <t>c/d =</t>
  </si>
  <si>
    <t>c/ho = ratio for evaluating plate buckling coefficient (k)</t>
  </si>
  <si>
    <t>If  c/ho &lt;= 1.0,  then  k = 2.2*(ho/c)^1.65, else  k = 2.2*(ho/c)</t>
  </si>
  <si>
    <t>c/d = ratio for evaluating adjustment factor (f) of plate buckling model</t>
  </si>
  <si>
    <t>If  c/d &lt;= 1.0,  then  f = 2*(c/d), else  f = 1+(c/d)</t>
  </si>
  <si>
    <t>Stress Ratio:</t>
  </si>
  <si>
    <r>
      <t>w</t>
    </r>
    <r>
      <rPr>
        <sz val="10"/>
        <color indexed="8"/>
        <rFont val="Arial"/>
        <family val="2"/>
      </rPr>
      <t>(min)</t>
    </r>
    <r>
      <rPr>
        <sz val="10"/>
        <color indexed="8"/>
        <rFont val="Arial"/>
        <family val="0"/>
      </rPr>
      <t xml:space="preserve"> =</t>
    </r>
  </si>
  <si>
    <r>
      <t xml:space="preserve">If </t>
    </r>
    <r>
      <rPr>
        <sz val="10"/>
        <color indexed="8"/>
        <rFont val="Symbol"/>
        <family val="1"/>
      </rPr>
      <t>b</t>
    </r>
    <r>
      <rPr>
        <sz val="10"/>
        <color indexed="8"/>
        <rFont val="Arial"/>
        <family val="2"/>
      </rPr>
      <t xml:space="preserve"> &gt;= 1:  </t>
    </r>
    <r>
      <rPr>
        <sz val="10"/>
        <color indexed="8"/>
        <rFont val="Symbol"/>
        <family val="1"/>
      </rPr>
      <t>a</t>
    </r>
    <r>
      <rPr>
        <sz val="10"/>
        <color indexed="8"/>
        <rFont val="Arial"/>
        <family val="2"/>
      </rPr>
      <t xml:space="preserve">' = 1,  If </t>
    </r>
    <r>
      <rPr>
        <sz val="10"/>
        <color indexed="8"/>
        <rFont val="Symbol"/>
        <family val="1"/>
      </rPr>
      <t>b</t>
    </r>
    <r>
      <rPr>
        <sz val="10"/>
        <color indexed="8"/>
        <rFont val="Arial"/>
        <family val="2"/>
      </rPr>
      <t xml:space="preserve"> &lt; 1:  </t>
    </r>
    <r>
      <rPr>
        <sz val="10"/>
        <color indexed="8"/>
        <rFont val="Symbol"/>
        <family val="1"/>
      </rPr>
      <t>a</t>
    </r>
    <r>
      <rPr>
        <sz val="10"/>
        <color indexed="8"/>
        <rFont val="Arial"/>
        <family val="2"/>
      </rPr>
      <t>' = lesser of 1.0 or (1/</t>
    </r>
    <r>
      <rPr>
        <sz val="10"/>
        <color indexed="8"/>
        <rFont val="Symbol"/>
        <family val="1"/>
      </rPr>
      <t>d</t>
    </r>
    <r>
      <rPr>
        <sz val="10"/>
        <color indexed="8"/>
        <rFont val="Arial"/>
        <family val="2"/>
      </rPr>
      <t>)*(</t>
    </r>
    <r>
      <rPr>
        <sz val="10"/>
        <color indexed="8"/>
        <rFont val="Symbol"/>
        <family val="1"/>
      </rPr>
      <t>b</t>
    </r>
    <r>
      <rPr>
        <sz val="10"/>
        <color indexed="8"/>
        <rFont val="Arial"/>
        <family val="2"/>
      </rPr>
      <t>/(1-</t>
    </r>
    <r>
      <rPr>
        <sz val="10"/>
        <color indexed="8"/>
        <rFont val="Symbol"/>
        <family val="1"/>
      </rPr>
      <t>b</t>
    </r>
    <r>
      <rPr>
        <sz val="10"/>
        <color indexed="8"/>
        <rFont val="Arial"/>
        <family val="2"/>
      </rPr>
      <t xml:space="preserve">))  </t>
    </r>
  </si>
  <si>
    <r>
      <t>r</t>
    </r>
    <r>
      <rPr>
        <sz val="10"/>
        <color indexed="8"/>
        <rFont val="Arial"/>
        <family val="0"/>
      </rPr>
      <t xml:space="preserve"> =</t>
    </r>
  </si>
  <si>
    <t>ft =</t>
  </si>
  <si>
    <t>T =</t>
  </si>
  <si>
    <t>Ab =</t>
  </si>
  <si>
    <t>Pr =</t>
  </si>
  <si>
    <t>in</t>
  </si>
  <si>
    <t xml:space="preserve">  Net Tension Capacity of Beam:</t>
  </si>
  <si>
    <t>Rtg =</t>
  </si>
  <si>
    <t>Atn =</t>
  </si>
  <si>
    <t>Rtn =</t>
  </si>
  <si>
    <r>
      <t>w</t>
    </r>
    <r>
      <rPr>
        <sz val="10"/>
        <color indexed="12"/>
        <rFont val="Arial"/>
        <family val="0"/>
      </rPr>
      <t xml:space="preserve"> =</t>
    </r>
  </si>
  <si>
    <r>
      <t>w</t>
    </r>
    <r>
      <rPr>
        <sz val="10"/>
        <color indexed="12"/>
        <rFont val="Arial"/>
        <family val="0"/>
      </rPr>
      <t xml:space="preserve"> = fw/((SQRT(2)/2)*0.30*70) </t>
    </r>
  </si>
  <si>
    <t>Col. Web Doubler Plate Thk., td =</t>
  </si>
  <si>
    <t>Doubler Plate Yield Stress, Fyd =</t>
  </si>
  <si>
    <t>Check Col. Web Bending/Shear?</t>
  </si>
  <si>
    <t>No</t>
  </si>
  <si>
    <t>Check Girder Web Bending/Shear?</t>
  </si>
  <si>
    <t>Calculation of Moment and Formulas Used at Each Bolt Location:</t>
  </si>
  <si>
    <t>ASTM Bolt Desig. (A325 or A490) =</t>
  </si>
  <si>
    <t>Bolt Type (N, X, or SC) =</t>
  </si>
  <si>
    <t>A490</t>
  </si>
  <si>
    <t>X</t>
  </si>
  <si>
    <r>
      <t>q</t>
    </r>
    <r>
      <rPr>
        <sz val="10"/>
        <color indexed="8"/>
        <rFont val="Arial"/>
        <family val="0"/>
      </rPr>
      <t xml:space="preserve"> =</t>
    </r>
  </si>
  <si>
    <r>
      <t>q</t>
    </r>
    <r>
      <rPr>
        <sz val="10"/>
        <color indexed="12"/>
        <rFont val="Arial"/>
        <family val="0"/>
      </rPr>
      <t xml:space="preserve"> =</t>
    </r>
  </si>
  <si>
    <r>
      <t>q</t>
    </r>
    <r>
      <rPr>
        <sz val="10"/>
        <color indexed="12"/>
        <rFont val="Arial"/>
        <family val="0"/>
      </rPr>
      <t xml:space="preserve"> = 90-(ATAN(R/P))  (angle from vertical)</t>
    </r>
  </si>
  <si>
    <t>In=bf*tf^3/12+bf*tf*(yc-tf/2)^2+tw*(ho-tf)^3/12+(ho-tf)*tw*(tf+(ho-tf)/2-yc)^2</t>
  </si>
  <si>
    <t>Member Properties:</t>
  </si>
  <si>
    <t>Beam:</t>
  </si>
  <si>
    <t>"SHEAR-END-PL-13" --- BEAM END CONNECTION USING SHEAR END PLATES</t>
  </si>
  <si>
    <t>"SHEAR-END-PL-13" is a spreadsheet program written in MS-Excel for the purpose of analysis of steel beam end</t>
  </si>
  <si>
    <t>connections using shear end plates that are shop welded to the beam web, and bolted to either the column flange,</t>
  </si>
  <si>
    <t>column web, or girder web.  The connections may be subjected to end shear reaction and/or axial load.</t>
  </si>
  <si>
    <t>Specifically, all applicable "limit states" for the end connection analysis pertaining to the shear end plate, bolts,</t>
  </si>
  <si>
    <t>beam web, column flange or web, and girder web are checked.</t>
  </si>
  <si>
    <t>This program is a workbook consisting of four (4) worksheets, described as follows:</t>
  </si>
  <si>
    <t>Shear Plate Thickness, tp =</t>
  </si>
  <si>
    <t>Yield Stress of Plate, Fyp =</t>
  </si>
  <si>
    <t>Shear Plate Width at Column, Lc =</t>
  </si>
  <si>
    <t>a = minimum of: (bfc-g)/2 , (Lc-g)/2 , or  1.25*b</t>
  </si>
  <si>
    <t xml:space="preserve">  Bolt Bearing Capacity of Shear End Plate:</t>
  </si>
  <si>
    <t>dh1 = Nominal hole dimensions from Table J3.3 (in shear plate)</t>
  </si>
  <si>
    <t>dh2 = Nominal hole dimensions from Table J3.3 (in col. flange)</t>
  </si>
  <si>
    <t>Fup =</t>
  </si>
  <si>
    <t>Avg = 2*((Nr-1)*S+(2*ED))*tp</t>
  </si>
  <si>
    <t xml:space="preserve">  Shear Yielding Capacity of Shear End Plate:</t>
  </si>
  <si>
    <t>Rvg = (1/1.5)*0.60*Fyp*Avg</t>
  </si>
  <si>
    <t>tc = SQRT(6.66*B*b'/(p*Fup))  (to develop 'B' in bolts/no prying)</t>
  </si>
  <si>
    <t>Rvn = (1/2)*0.60*Fup*Avn</t>
  </si>
  <si>
    <t>Rbs = min(0.30*Fup*Anv+0.50*Fup*Ant, 0.30*Fyp*Agv+0.50*Fup*Ant)</t>
  </si>
  <si>
    <t xml:space="preserve">  Shear Rupture Capacity of Shear End Plate:</t>
  </si>
  <si>
    <t>Anv = 2* { (ED+(Nr-1)*S)-[(Nr-1)*(dh1+1/16)+(dh1+1/16)/2] }*tp</t>
  </si>
  <si>
    <t>Avn = Avg-2*(Nr*(dh1+1/16)*tp)</t>
  </si>
  <si>
    <t>Agv = 2*(ED+(Nr-1)*S))*tp</t>
  </si>
  <si>
    <t xml:space="preserve">  Block Shear ("L-shaped") Capacity of Shear End Plate:</t>
  </si>
  <si>
    <t>Ant = 2*{ (Lc-g)/2-(dh1+1/16)/2 }*tp</t>
  </si>
  <si>
    <t>Pr = SQRT(R^2+P^2)  (total resultant load taken by 2 welds)</t>
  </si>
  <si>
    <r>
      <t>w</t>
    </r>
    <r>
      <rPr>
        <sz val="10"/>
        <color indexed="12"/>
        <rFont val="Arial"/>
        <family val="2"/>
      </rPr>
      <t>(max)</t>
    </r>
    <r>
      <rPr>
        <sz val="10"/>
        <color indexed="12"/>
        <rFont val="Arial"/>
        <family val="0"/>
      </rPr>
      <t xml:space="preserve"> = Max. fillet weld size from AISC J2.2b, page 16.1-95</t>
    </r>
  </si>
  <si>
    <t>(2*Pr/2)/(0.6*70ksi*0.707*L)  (per weld)</t>
  </si>
  <si>
    <r>
      <t>L = (Nr-1)*S+2*ED-2*</t>
    </r>
    <r>
      <rPr>
        <sz val="10"/>
        <color indexed="12"/>
        <rFont val="Symbol"/>
        <family val="1"/>
      </rPr>
      <t>w</t>
    </r>
    <r>
      <rPr>
        <sz val="10"/>
        <color indexed="12"/>
        <rFont val="Arial"/>
        <family val="2"/>
      </rPr>
      <t xml:space="preserve">  (vertical height of weld)</t>
    </r>
  </si>
  <si>
    <t>Avn = L*tw</t>
  </si>
  <si>
    <t>Rtn = (0.60*Fyb*Atg)*(1-(R/Rvn)^2)</t>
  </si>
  <si>
    <t>Atn = Avn = L*tw</t>
  </si>
  <si>
    <t>e = c+tp</t>
  </si>
  <si>
    <t>Rpc = (1/2)*(2.4*db*tw*Fuc*Nb)</t>
  </si>
  <si>
    <r>
      <t>L = (Nr-1)*S+2*ED-2*</t>
    </r>
    <r>
      <rPr>
        <sz val="10"/>
        <rFont val="Symbol"/>
        <family val="1"/>
      </rPr>
      <t>w</t>
    </r>
    <r>
      <rPr>
        <sz val="10"/>
        <rFont val="Arial"/>
        <family val="2"/>
      </rPr>
      <t xml:space="preserve">  (vertical height of weld)</t>
    </r>
  </si>
  <si>
    <r>
      <t>w</t>
    </r>
    <r>
      <rPr>
        <sz val="10"/>
        <rFont val="Arial"/>
        <family val="2"/>
      </rPr>
      <t>(max)</t>
    </r>
    <r>
      <rPr>
        <sz val="10"/>
        <rFont val="Arial"/>
        <family val="0"/>
      </rPr>
      <t xml:space="preserve"> = Max. fillet weld size from AISC J2.2b, page 16.1-95</t>
    </r>
  </si>
  <si>
    <t>Using Shear End Plate Field Bolted to Column Flange and Shop Welded to Beam Web</t>
  </si>
  <si>
    <t>Bolt Hole Type in Shear End Plate =</t>
  </si>
  <si>
    <t>Bolt Vertical Spacing in End Plate, S =</t>
  </si>
  <si>
    <t>Edge Distance for End Plate, ED =</t>
  </si>
  <si>
    <t>Bolt Gage in Shear End Plate, g =</t>
  </si>
  <si>
    <t>Shear End Plate to Support:</t>
  </si>
  <si>
    <t>Shear End Plate to Beam Web:</t>
  </si>
  <si>
    <t>p = Min. of: S  or  S/2+ED  (tributary end plate length/bolt)</t>
  </si>
  <si>
    <t>B = Ft*Ab (allow. tension load per bolt)</t>
  </si>
  <si>
    <t>Shear End Plate to Support (continued):</t>
  </si>
  <si>
    <t xml:space="preserve">  Prying Action and Shear End Plate Bending:</t>
  </si>
  <si>
    <t>d =</t>
  </si>
  <si>
    <t>Diameter of Bolts, db =</t>
  </si>
  <si>
    <t>Avg =</t>
  </si>
  <si>
    <t>Oversized</t>
  </si>
  <si>
    <t>Rpe =</t>
  </si>
  <si>
    <t>Rwb =</t>
  </si>
  <si>
    <t>Nb = 2*Nr  (total number of bolts at support connection)</t>
  </si>
  <si>
    <t>(continued)</t>
  </si>
  <si>
    <r>
      <t>b</t>
    </r>
    <r>
      <rPr>
        <sz val="10"/>
        <color indexed="8"/>
        <rFont val="Arial"/>
        <family val="0"/>
      </rPr>
      <t xml:space="preserve"> = </t>
    </r>
  </si>
  <si>
    <r>
      <t>b</t>
    </r>
    <r>
      <rPr>
        <sz val="10"/>
        <color indexed="8"/>
        <rFont val="Arial"/>
        <family val="0"/>
      </rPr>
      <t xml:space="preserve"> = (1/</t>
    </r>
    <r>
      <rPr>
        <sz val="10"/>
        <color indexed="8"/>
        <rFont val="Symbol"/>
        <family val="1"/>
      </rPr>
      <t>r</t>
    </r>
    <r>
      <rPr>
        <sz val="10"/>
        <color indexed="8"/>
        <rFont val="Arial"/>
        <family val="0"/>
      </rPr>
      <t xml:space="preserve">)*(B/T-1) </t>
    </r>
  </si>
  <si>
    <t>a' =</t>
  </si>
  <si>
    <r>
      <t>r</t>
    </r>
    <r>
      <rPr>
        <sz val="10"/>
        <color indexed="12"/>
        <rFont val="Arial"/>
        <family val="0"/>
      </rPr>
      <t xml:space="preserve"> =</t>
    </r>
  </si>
  <si>
    <r>
      <t>d</t>
    </r>
    <r>
      <rPr>
        <sz val="10"/>
        <color indexed="12"/>
        <rFont val="Arial"/>
        <family val="0"/>
      </rPr>
      <t xml:space="preserve"> =</t>
    </r>
  </si>
  <si>
    <t>ho =</t>
  </si>
  <si>
    <t>Fbc =</t>
  </si>
  <si>
    <t>fv = (P/Nb)/(twc*(S-dhc))</t>
  </si>
  <si>
    <t>Rw*(a+S)-Pb*S</t>
  </si>
  <si>
    <t>fb = Mw/((g-dhg)*twg^2/6)</t>
  </si>
  <si>
    <t>Beam and Column Data:</t>
  </si>
  <si>
    <t>Column Size =</t>
  </si>
  <si>
    <t>Column Yield Stress, Fyc =</t>
  </si>
  <si>
    <t>in-kips</t>
  </si>
  <si>
    <t>Column:</t>
  </si>
  <si>
    <t>tf(req'd) =</t>
  </si>
  <si>
    <t>fw =</t>
  </si>
  <si>
    <t>kips/in.</t>
  </si>
  <si>
    <t xml:space="preserve">  Column Web Yielding:</t>
  </si>
  <si>
    <t>N =</t>
  </si>
  <si>
    <t xml:space="preserve">  Column Web Crippling:</t>
  </si>
  <si>
    <t>fb =</t>
  </si>
  <si>
    <r>
      <t>a</t>
    </r>
    <r>
      <rPr>
        <sz val="10"/>
        <color indexed="8"/>
        <rFont val="Arial"/>
        <family val="0"/>
      </rPr>
      <t>' = 1/(</t>
    </r>
    <r>
      <rPr>
        <sz val="10"/>
        <color indexed="8"/>
        <rFont val="Symbol"/>
        <family val="1"/>
      </rPr>
      <t>d</t>
    </r>
    <r>
      <rPr>
        <sz val="10"/>
        <color indexed="8"/>
        <rFont val="Arial"/>
        <family val="0"/>
      </rPr>
      <t>*(1+</t>
    </r>
    <r>
      <rPr>
        <sz val="10"/>
        <color indexed="8"/>
        <rFont val="Symbol"/>
        <family val="1"/>
      </rPr>
      <t>r</t>
    </r>
    <r>
      <rPr>
        <sz val="10"/>
        <color indexed="8"/>
        <rFont val="Arial"/>
        <family val="0"/>
      </rPr>
      <t>))*((tc/tf)^2-1)</t>
    </r>
  </si>
  <si>
    <t>twc =</t>
  </si>
  <si>
    <r>
      <t>w</t>
    </r>
    <r>
      <rPr>
        <sz val="10"/>
        <color indexed="8"/>
        <rFont val="Arial"/>
        <family val="0"/>
      </rPr>
      <t xml:space="preserve"> =</t>
    </r>
  </si>
  <si>
    <t>twc = tw+td*(Fyd/Fyc)</t>
  </si>
  <si>
    <t xml:space="preserve">  Web Doubler Plate to Column Flange Welding:</t>
  </si>
  <si>
    <t>Ldw =</t>
  </si>
  <si>
    <r>
      <t>w</t>
    </r>
    <r>
      <rPr>
        <sz val="10"/>
        <color indexed="8"/>
        <rFont val="Arial"/>
        <family val="0"/>
      </rPr>
      <t xml:space="preserve"> = fw/((SQRT(2)/2)*0.30*70) </t>
    </r>
  </si>
  <si>
    <t xml:space="preserve">  Bolt Bearing in Column Web:</t>
  </si>
  <si>
    <t xml:space="preserve">  Column Web Bending:</t>
  </si>
  <si>
    <t>Mw =</t>
  </si>
  <si>
    <t>Fb =</t>
  </si>
  <si>
    <t xml:space="preserve">  Column Web Out of Plane Shear:</t>
  </si>
  <si>
    <r>
      <t>tf(req'd) = SQRT(8*T*b'/(p*Fyc*(1+</t>
    </r>
    <r>
      <rPr>
        <sz val="10"/>
        <color indexed="8"/>
        <rFont val="Symbol"/>
        <family val="1"/>
      </rPr>
      <t>d</t>
    </r>
    <r>
      <rPr>
        <sz val="10"/>
        <color indexed="8"/>
        <rFont val="Arial"/>
        <family val="0"/>
      </rPr>
      <t>*</t>
    </r>
    <r>
      <rPr>
        <sz val="10"/>
        <color indexed="8"/>
        <rFont val="Symbol"/>
        <family val="1"/>
      </rPr>
      <t>a</t>
    </r>
    <r>
      <rPr>
        <sz val="10"/>
        <color indexed="8"/>
        <rFont val="Arial"/>
        <family val="0"/>
      </rPr>
      <t>')))</t>
    </r>
  </si>
  <si>
    <t>Column Checks:</t>
  </si>
  <si>
    <t>fw = P/Ldw</t>
  </si>
  <si>
    <t>Prying Action and Column Flange Bending</t>
  </si>
  <si>
    <r>
      <t xml:space="preserve">If  </t>
    </r>
    <r>
      <rPr>
        <sz val="10"/>
        <color indexed="8"/>
        <rFont val="Symbol"/>
        <family val="1"/>
      </rPr>
      <t>a</t>
    </r>
    <r>
      <rPr>
        <sz val="10"/>
        <color indexed="8"/>
        <rFont val="Arial"/>
        <family val="0"/>
      </rPr>
      <t>' &gt;1: Ra = Nb*B*(tf/tc)^2*(1+</t>
    </r>
    <r>
      <rPr>
        <sz val="10"/>
        <color indexed="8"/>
        <rFont val="Symbol"/>
        <family val="1"/>
      </rPr>
      <t>d</t>
    </r>
    <r>
      <rPr>
        <sz val="10"/>
        <color indexed="8"/>
        <rFont val="Arial"/>
        <family val="0"/>
      </rPr>
      <t xml:space="preserve">) ,  If  </t>
    </r>
    <r>
      <rPr>
        <sz val="10"/>
        <color indexed="8"/>
        <rFont val="Symbol"/>
        <family val="1"/>
      </rPr>
      <t>a</t>
    </r>
    <r>
      <rPr>
        <sz val="10"/>
        <color indexed="8"/>
        <rFont val="Arial"/>
        <family val="0"/>
      </rPr>
      <t>' &lt; 0: Ra = Nb*B</t>
    </r>
  </si>
  <si>
    <r>
      <t xml:space="preserve">If  0 &lt;= </t>
    </r>
    <r>
      <rPr>
        <sz val="10"/>
        <color indexed="8"/>
        <rFont val="Symbol"/>
        <family val="1"/>
      </rPr>
      <t>a</t>
    </r>
    <r>
      <rPr>
        <sz val="10"/>
        <color indexed="8"/>
        <rFont val="Arial"/>
        <family val="0"/>
      </rPr>
      <t>' &lt;= 1: Ra = Nb*B*(tf/tc)^2*(1+</t>
    </r>
    <r>
      <rPr>
        <sz val="10"/>
        <color indexed="8"/>
        <rFont val="Symbol"/>
        <family val="1"/>
      </rPr>
      <t>d</t>
    </r>
    <r>
      <rPr>
        <sz val="10"/>
        <color indexed="8"/>
        <rFont val="Arial"/>
        <family val="0"/>
      </rPr>
      <t>*</t>
    </r>
    <r>
      <rPr>
        <sz val="10"/>
        <color indexed="8"/>
        <rFont val="Symbol"/>
        <family val="1"/>
      </rPr>
      <t>a</t>
    </r>
    <r>
      <rPr>
        <sz val="10"/>
        <color indexed="8"/>
        <rFont val="Arial"/>
        <family val="0"/>
      </rPr>
      <t xml:space="preserve">')  </t>
    </r>
  </si>
  <si>
    <t>a = D1-k  (Dist. to 1st bolt load)</t>
  </si>
  <si>
    <t>Pb = P/Nb  (load per bolt)</t>
  </si>
  <si>
    <t>Face of Col. Web</t>
  </si>
  <si>
    <t>Mw = Rw*(a+S)-Pb*S</t>
  </si>
  <si>
    <t>Mw = Rw*(a+2*S)-3*Pb*S</t>
  </si>
  <si>
    <t>Mw = Rw*(a+3*S)-6*Pb*S</t>
  </si>
  <si>
    <t>Mw = Rw*(a+4*S)-10*Pb*S</t>
  </si>
  <si>
    <t>Mw = Rw*(a+5*S)-15*Pb*S</t>
  </si>
  <si>
    <t>ft = T/Ab  (actual bolt tension stress)</t>
  </si>
  <si>
    <r>
      <t xml:space="preserve">Ab = </t>
    </r>
    <r>
      <rPr>
        <sz val="10"/>
        <color indexed="12"/>
        <rFont val="Symbol"/>
        <family val="1"/>
      </rPr>
      <t>p</t>
    </r>
    <r>
      <rPr>
        <sz val="10"/>
        <color indexed="12"/>
        <rFont val="Arial"/>
        <family val="0"/>
      </rPr>
      <t>*db^2/4  (nominal area/bolt)</t>
    </r>
  </si>
  <si>
    <t>Beam Size =</t>
  </si>
  <si>
    <t>tf =</t>
  </si>
  <si>
    <t>Girder Size =</t>
  </si>
  <si>
    <t>Girder Yield Stress, Fyg =</t>
  </si>
  <si>
    <t>Face of Girder Web</t>
  </si>
  <si>
    <t>Girder:</t>
  </si>
  <si>
    <t>Girder Checks:</t>
  </si>
  <si>
    <t xml:space="preserve">  Bolt Bearing in Girder Web:</t>
  </si>
  <si>
    <t xml:space="preserve">  Girder Web Bending:</t>
  </si>
  <si>
    <t xml:space="preserve">  Girder Web Out of Plane Shear:</t>
  </si>
  <si>
    <t xml:space="preserve">  Web Doubler Plate to Girder Flange Welding:</t>
  </si>
  <si>
    <t>twg =</t>
  </si>
  <si>
    <t>twg = tw+td*(Fyd/Fyg)</t>
  </si>
  <si>
    <t>Fb = 0.75*Fyg</t>
  </si>
  <si>
    <t>Sn =</t>
  </si>
  <si>
    <t>Fub =</t>
  </si>
  <si>
    <t>ta(req'd) =</t>
  </si>
  <si>
    <t>Number of Bolts in Vert. Row, Nr =</t>
  </si>
  <si>
    <t>General Parameters:</t>
  </si>
  <si>
    <r>
      <t>b</t>
    </r>
    <r>
      <rPr>
        <sz val="10"/>
        <color indexed="12"/>
        <rFont val="Arial"/>
        <family val="0"/>
      </rPr>
      <t xml:space="preserve"> = </t>
    </r>
  </si>
  <si>
    <t>Rbs =</t>
  </si>
  <si>
    <t>dh2 =</t>
  </si>
  <si>
    <t>Subjected to Shear and/or Axial Load</t>
  </si>
  <si>
    <t>(Note: eccentricity between C.L.'s  of beam and connection is ignored)</t>
  </si>
  <si>
    <t xml:space="preserve">  Prying Action and Clip Angle Bending at OSL's:</t>
  </si>
  <si>
    <t>Vb =</t>
  </si>
  <si>
    <t>Connection Loadings:</t>
  </si>
  <si>
    <t>A =</t>
  </si>
  <si>
    <t>fv =</t>
  </si>
  <si>
    <t>General Nomenclature</t>
  </si>
  <si>
    <t>Beam and Cope Nomenclature</t>
  </si>
  <si>
    <t>Input Data:</t>
  </si>
  <si>
    <t>Results:</t>
  </si>
  <si>
    <t>kips</t>
  </si>
  <si>
    <t>Shape</t>
  </si>
  <si>
    <t>A</t>
  </si>
  <si>
    <t>Beam Checks for Both Flanges Coped:</t>
  </si>
  <si>
    <t>in.^2</t>
  </si>
  <si>
    <t>kips/bolt</t>
  </si>
  <si>
    <t>ksi</t>
  </si>
  <si>
    <r>
      <t xml:space="preserve">If  0 &lt;= </t>
    </r>
    <r>
      <rPr>
        <sz val="10"/>
        <color indexed="12"/>
        <rFont val="Symbol"/>
        <family val="1"/>
      </rPr>
      <t>a</t>
    </r>
    <r>
      <rPr>
        <sz val="10"/>
        <color indexed="12"/>
        <rFont val="Arial"/>
        <family val="0"/>
      </rPr>
      <t>' &lt;= 1: Ra = Nb*B*(ta/tc)^2*(1+</t>
    </r>
    <r>
      <rPr>
        <sz val="10"/>
        <color indexed="12"/>
        <rFont val="Symbol"/>
        <family val="1"/>
      </rPr>
      <t>d</t>
    </r>
    <r>
      <rPr>
        <sz val="10"/>
        <color indexed="12"/>
        <rFont val="Arial"/>
        <family val="0"/>
      </rPr>
      <t>*</t>
    </r>
    <r>
      <rPr>
        <sz val="10"/>
        <color indexed="12"/>
        <rFont val="Symbol"/>
        <family val="1"/>
      </rPr>
      <t>a</t>
    </r>
    <r>
      <rPr>
        <sz val="10"/>
        <color indexed="12"/>
        <rFont val="Arial"/>
        <family val="0"/>
      </rPr>
      <t xml:space="preserve">')  </t>
    </r>
  </si>
  <si>
    <t>Fv =</t>
  </si>
  <si>
    <t>A325</t>
  </si>
  <si>
    <t>N</t>
  </si>
  <si>
    <t>d' =</t>
  </si>
  <si>
    <t>tc =</t>
  </si>
  <si>
    <r>
      <t>a</t>
    </r>
    <r>
      <rPr>
        <sz val="10"/>
        <color indexed="12"/>
        <rFont val="Arial"/>
        <family val="0"/>
      </rPr>
      <t>' =</t>
    </r>
  </si>
  <si>
    <r>
      <t>r</t>
    </r>
    <r>
      <rPr>
        <sz val="10"/>
        <color indexed="12"/>
        <rFont val="Arial"/>
        <family val="0"/>
      </rPr>
      <t xml:space="preserve"> = b'/a'</t>
    </r>
  </si>
  <si>
    <t>Rvg =</t>
  </si>
  <si>
    <t>Avn =</t>
  </si>
  <si>
    <t>Rvn =</t>
  </si>
  <si>
    <r>
      <t>w</t>
    </r>
    <r>
      <rPr>
        <sz val="10"/>
        <color indexed="12"/>
        <rFont val="Arial"/>
        <family val="2"/>
      </rPr>
      <t>(max)</t>
    </r>
    <r>
      <rPr>
        <sz val="10"/>
        <color indexed="12"/>
        <rFont val="Arial"/>
        <family val="0"/>
      </rPr>
      <t xml:space="preserve"> =</t>
    </r>
  </si>
  <si>
    <r>
      <t>w</t>
    </r>
    <r>
      <rPr>
        <sz val="10"/>
        <color indexed="8"/>
        <rFont val="Arial"/>
        <family val="2"/>
      </rPr>
      <t>(max)</t>
    </r>
    <r>
      <rPr>
        <sz val="10"/>
        <color indexed="8"/>
        <rFont val="Arial"/>
        <family val="0"/>
      </rPr>
      <t xml:space="preserve"> =</t>
    </r>
  </si>
  <si>
    <t>b' = b-db/2</t>
  </si>
  <si>
    <t>ho = d-dc1</t>
  </si>
  <si>
    <t>yc = (bf*tf^2/2+(ho-tf)*tw*(tf+(ho-tf)/2))/((ho-tf)*tw+bf*tf)</t>
  </si>
  <si>
    <t>in.</t>
  </si>
  <si>
    <t>deg.</t>
  </si>
  <si>
    <t>a' = a+db/2</t>
  </si>
  <si>
    <r>
      <t>w</t>
    </r>
    <r>
      <rPr>
        <sz val="10"/>
        <color indexed="12"/>
        <rFont val="Arial"/>
        <family val="0"/>
      </rPr>
      <t>(req'd) =</t>
    </r>
  </si>
  <si>
    <t>CALCULATIONS:</t>
  </si>
  <si>
    <r>
      <t xml:space="preserve">    </t>
    </r>
    <r>
      <rPr>
        <sz val="9"/>
        <color indexed="12"/>
        <rFont val="Symbol"/>
        <family val="1"/>
      </rPr>
      <t>w</t>
    </r>
  </si>
  <si>
    <t>T = P/Nb  (actual tension/bolt)</t>
  </si>
  <si>
    <t>p = Min. of: S  or  S/2+ED  (tributary angle length/bolt)</t>
  </si>
  <si>
    <t>Ra =</t>
  </si>
  <si>
    <t>Max. Shear Capacity of Connection:</t>
  </si>
  <si>
    <t>R(max) =</t>
  </si>
  <si>
    <t>R =</t>
  </si>
  <si>
    <t>S.R. =</t>
  </si>
  <si>
    <t>Fv = (1/1.5)*0.6*Fyg</t>
  </si>
  <si>
    <t>yc = ho/2</t>
  </si>
  <si>
    <t>In = tw*ho^3/12</t>
  </si>
  <si>
    <t>Sn = In/(ho-yc)</t>
  </si>
  <si>
    <t>d</t>
  </si>
  <si>
    <t>tw</t>
  </si>
  <si>
    <t>bf</t>
  </si>
  <si>
    <t>tf</t>
  </si>
  <si>
    <t>k</t>
  </si>
  <si>
    <t>e =</t>
  </si>
  <si>
    <t>Beam Checks for Top Flange Coped Only:</t>
  </si>
  <si>
    <t>Beam Checks for Uncoped Flanges:</t>
  </si>
  <si>
    <t>dh1 =</t>
  </si>
  <si>
    <t>bf =</t>
  </si>
  <si>
    <r>
      <t xml:space="preserve">Ab = </t>
    </r>
    <r>
      <rPr>
        <sz val="10"/>
        <color indexed="8"/>
        <rFont val="Symbol"/>
        <family val="1"/>
      </rPr>
      <t>p</t>
    </r>
    <r>
      <rPr>
        <sz val="10"/>
        <color indexed="8"/>
        <rFont val="Arial"/>
        <family val="2"/>
      </rPr>
      <t>*db^2/4</t>
    </r>
  </si>
  <si>
    <t xml:space="preserve">  Bolt Tension and Shear:</t>
  </si>
  <si>
    <r>
      <t xml:space="preserve">If </t>
    </r>
    <r>
      <rPr>
        <sz val="10"/>
        <color indexed="12"/>
        <rFont val="Symbol"/>
        <family val="1"/>
      </rPr>
      <t>b</t>
    </r>
    <r>
      <rPr>
        <sz val="10"/>
        <color indexed="12"/>
        <rFont val="Arial"/>
        <family val="2"/>
      </rPr>
      <t xml:space="preserve"> &gt;= 1:  </t>
    </r>
    <r>
      <rPr>
        <sz val="10"/>
        <color indexed="12"/>
        <rFont val="Symbol"/>
        <family val="1"/>
      </rPr>
      <t>a</t>
    </r>
    <r>
      <rPr>
        <sz val="10"/>
        <color indexed="12"/>
        <rFont val="Arial"/>
        <family val="2"/>
      </rPr>
      <t xml:space="preserve">' = 1,  If </t>
    </r>
    <r>
      <rPr>
        <sz val="10"/>
        <color indexed="12"/>
        <rFont val="Symbol"/>
        <family val="1"/>
      </rPr>
      <t>b</t>
    </r>
    <r>
      <rPr>
        <sz val="10"/>
        <color indexed="12"/>
        <rFont val="Arial"/>
        <family val="2"/>
      </rPr>
      <t xml:space="preserve"> &lt; 1:  </t>
    </r>
    <r>
      <rPr>
        <sz val="10"/>
        <color indexed="12"/>
        <rFont val="Symbol"/>
        <family val="1"/>
      </rPr>
      <t>a</t>
    </r>
    <r>
      <rPr>
        <sz val="10"/>
        <color indexed="12"/>
        <rFont val="Arial"/>
        <family val="2"/>
      </rPr>
      <t>' = lesser of 1.0 or (1/</t>
    </r>
    <r>
      <rPr>
        <sz val="10"/>
        <color indexed="12"/>
        <rFont val="Symbol"/>
        <family val="1"/>
      </rPr>
      <t>d</t>
    </r>
    <r>
      <rPr>
        <sz val="10"/>
        <color indexed="12"/>
        <rFont val="Arial"/>
        <family val="2"/>
      </rPr>
      <t>)*(</t>
    </r>
    <r>
      <rPr>
        <sz val="10"/>
        <color indexed="12"/>
        <rFont val="Symbol"/>
        <family val="1"/>
      </rPr>
      <t>b</t>
    </r>
    <r>
      <rPr>
        <sz val="10"/>
        <color indexed="12"/>
        <rFont val="Arial"/>
        <family val="2"/>
      </rPr>
      <t>/(1-</t>
    </r>
    <r>
      <rPr>
        <sz val="10"/>
        <color indexed="12"/>
        <rFont val="Symbol"/>
        <family val="1"/>
      </rPr>
      <t>b</t>
    </r>
    <r>
      <rPr>
        <sz val="10"/>
        <color indexed="12"/>
        <rFont val="Arial"/>
        <family val="2"/>
      </rPr>
      <t xml:space="preserve">))  </t>
    </r>
  </si>
  <si>
    <r>
      <t>d</t>
    </r>
    <r>
      <rPr>
        <sz val="10"/>
        <color indexed="8"/>
        <rFont val="Arial"/>
        <family val="0"/>
      </rPr>
      <t xml:space="preserve"> = 1-d'/p</t>
    </r>
  </si>
  <si>
    <t>C2 =</t>
  </si>
  <si>
    <t>Nb =</t>
  </si>
  <si>
    <t>f =</t>
  </si>
  <si>
    <t>S</t>
  </si>
  <si>
    <t>Connection to Support:</t>
  </si>
  <si>
    <r>
      <t>w</t>
    </r>
    <r>
      <rPr>
        <sz val="10"/>
        <color indexed="8"/>
        <rFont val="Arial"/>
        <family val="0"/>
      </rPr>
      <t>(req'd) =</t>
    </r>
  </si>
  <si>
    <r>
      <t>q</t>
    </r>
    <r>
      <rPr>
        <sz val="10"/>
        <color indexed="8"/>
        <rFont val="Arial"/>
        <family val="0"/>
      </rPr>
      <t xml:space="preserve"> = 90-(ATAN((R/2)/(P/2)))  (angle from vertical)</t>
    </r>
  </si>
  <si>
    <t>Yes</t>
  </si>
  <si>
    <t>Rba =</t>
  </si>
  <si>
    <t>Beam Axial Force, P =</t>
  </si>
  <si>
    <t>Mw = Rw*(a+6*S)-21*Pb*S</t>
  </si>
  <si>
    <t>Mw = Rw*(a+7*S)-28*Pb*S</t>
  </si>
  <si>
    <t>Mw = Rw*(a+8*S)-36*Pb*S</t>
  </si>
  <si>
    <t>Mw = Rw*(a+9*S)-45*Pb*S</t>
  </si>
  <si>
    <t>Mw = Rw*(a+10*S)-55*Pb*S</t>
  </si>
  <si>
    <t>Mw = Rw*(a+11*S)-66*Pb*S</t>
  </si>
  <si>
    <t>fv = Rw/(twg*(g-dhg))</t>
  </si>
  <si>
    <t>bolts</t>
  </si>
  <si>
    <t>SR =</t>
  </si>
  <si>
    <t>vb =</t>
  </si>
  <si>
    <t>in. (size)</t>
  </si>
  <si>
    <r>
      <t>b</t>
    </r>
    <r>
      <rPr>
        <sz val="10"/>
        <color indexed="12"/>
        <rFont val="Arial"/>
        <family val="0"/>
      </rPr>
      <t xml:space="preserve"> = (1/</t>
    </r>
    <r>
      <rPr>
        <sz val="10"/>
        <color indexed="12"/>
        <rFont val="Symbol"/>
        <family val="1"/>
      </rPr>
      <t>r</t>
    </r>
    <r>
      <rPr>
        <sz val="10"/>
        <color indexed="12"/>
        <rFont val="Arial"/>
        <family val="0"/>
      </rPr>
      <t xml:space="preserve">)*(B/T-1) </t>
    </r>
  </si>
  <si>
    <t>L =</t>
  </si>
  <si>
    <t>Connection Data and Parameters:</t>
  </si>
  <si>
    <r>
      <t xml:space="preserve">If  </t>
    </r>
    <r>
      <rPr>
        <sz val="10"/>
        <color indexed="12"/>
        <rFont val="Symbol"/>
        <family val="1"/>
      </rPr>
      <t>a</t>
    </r>
    <r>
      <rPr>
        <sz val="10"/>
        <color indexed="12"/>
        <rFont val="Arial"/>
        <family val="0"/>
      </rPr>
      <t>' &gt;1: Ra = Nb*B*(ta/tc)^2*(1+</t>
    </r>
    <r>
      <rPr>
        <sz val="10"/>
        <color indexed="12"/>
        <rFont val="Symbol"/>
        <family val="1"/>
      </rPr>
      <t>d</t>
    </r>
    <r>
      <rPr>
        <sz val="10"/>
        <color indexed="12"/>
        <rFont val="Arial"/>
        <family val="0"/>
      </rPr>
      <t xml:space="preserve">) ,  If  </t>
    </r>
    <r>
      <rPr>
        <sz val="10"/>
        <color indexed="12"/>
        <rFont val="Symbol"/>
        <family val="1"/>
      </rPr>
      <t>a</t>
    </r>
    <r>
      <rPr>
        <sz val="10"/>
        <color indexed="12"/>
        <rFont val="Arial"/>
        <family val="0"/>
      </rPr>
      <t>' &lt; 0: Ra = Nb*B</t>
    </r>
  </si>
  <si>
    <t xml:space="preserve">  Net Tension Capacity of Beam for Top Flange Coped:</t>
  </si>
  <si>
    <t>In =</t>
  </si>
  <si>
    <t xml:space="preserve">kips  </t>
  </si>
  <si>
    <t>Rwr =</t>
  </si>
  <si>
    <r>
      <t>w</t>
    </r>
    <r>
      <rPr>
        <sz val="10"/>
        <color indexed="12"/>
        <rFont val="Arial"/>
        <family val="2"/>
      </rPr>
      <t>(min)</t>
    </r>
    <r>
      <rPr>
        <sz val="10"/>
        <color indexed="12"/>
        <rFont val="Arial"/>
        <family val="0"/>
      </rPr>
      <t xml:space="preserve"> =</t>
    </r>
  </si>
  <si>
    <t>At =</t>
  </si>
  <si>
    <t>Rps =</t>
  </si>
  <si>
    <t>k =</t>
  </si>
  <si>
    <t>Row No.:</t>
  </si>
  <si>
    <t>SUMMARY OF CHECKS:</t>
  </si>
  <si>
    <t>((Pr/2)/((C or Ca)*C1*L))/16  (per weld)</t>
  </si>
  <si>
    <t>Beam Checks for Uncoped Flanges (continued):</t>
  </si>
  <si>
    <t>Beam Checks for Top Flange Coped Only (continued):</t>
  </si>
  <si>
    <t>Beam Checks for Both Flanges Coped (continued):</t>
  </si>
  <si>
    <r>
      <t>d</t>
    </r>
    <r>
      <rPr>
        <sz val="10"/>
        <color indexed="12"/>
        <rFont val="Arial"/>
        <family val="0"/>
      </rPr>
      <t xml:space="preserve"> = 1-d'/p</t>
    </r>
  </si>
  <si>
    <t>Ft =</t>
  </si>
  <si>
    <t>Rpv =</t>
  </si>
  <si>
    <t>Beam End Reaction (Shear), R =</t>
  </si>
  <si>
    <t>Rbv =</t>
  </si>
  <si>
    <t>Rw =</t>
  </si>
  <si>
    <t>in.-kips</t>
  </si>
  <si>
    <t>Pb =</t>
  </si>
  <si>
    <t>Mw = Rw*a</t>
  </si>
  <si>
    <t>in.^3</t>
  </si>
  <si>
    <t>in.^4</t>
  </si>
  <si>
    <t>AISC BEAM END CONNECTION (ASD)</t>
  </si>
  <si>
    <t>Rwb = Fbc*Sn/e</t>
  </si>
  <si>
    <t>tw =</t>
  </si>
  <si>
    <t>Tb =</t>
  </si>
  <si>
    <t xml:space="preserve">2.   This program uses the database of member dimensions and section properties from the "AISC Shapes </t>
  </si>
  <si>
    <t xml:space="preserve">                    "Combined Shear and Tension Stress" - by Subhash C. Goel, AISC Journal, 3rd Qtr.-1986.</t>
  </si>
  <si>
    <t>R = actual shear end reaction</t>
  </si>
  <si>
    <t>where:</t>
  </si>
  <si>
    <t>Rv = allowable shear capacity for the particular "limit state" considered</t>
  </si>
  <si>
    <t xml:space="preserve">3.   This program assumes that the tension capacity for any "limit state" is reduced by the presence of shear. </t>
  </si>
  <si>
    <t xml:space="preserve">      For allowable bolt tension in the presence of shear, the "interaction" (combined stresses) is handled directly </t>
  </si>
  <si>
    <r>
      <t xml:space="preserve">At = </t>
    </r>
    <r>
      <rPr>
        <sz val="10"/>
        <rFont val="Symbol"/>
        <family val="1"/>
      </rPr>
      <t>p/4</t>
    </r>
    <r>
      <rPr>
        <sz val="10"/>
        <rFont val="Arial"/>
        <family val="0"/>
      </rPr>
      <t>*(db - 0.9743/n)^2, where n is the numbers of threads per inch</t>
    </r>
  </si>
  <si>
    <t>((2*Pr/2)/((C*C1*L))/16  (per weld)</t>
  </si>
  <si>
    <r>
      <t>w</t>
    </r>
    <r>
      <rPr>
        <sz val="10"/>
        <color indexed="12"/>
        <rFont val="Arial"/>
        <family val="2"/>
      </rPr>
      <t>(min)</t>
    </r>
    <r>
      <rPr>
        <sz val="10"/>
        <color indexed="12"/>
        <rFont val="Arial"/>
        <family val="0"/>
      </rPr>
      <t xml:space="preserve"> = Min. fillet weld size from AISC Table J2.4, page 16.1-96</t>
    </r>
  </si>
  <si>
    <t>Is tmin &gt; twb?  If so, Rwr' = Rwr* twb / tmin.  If not, Rwr' = Rwr</t>
  </si>
  <si>
    <t>w18x50</t>
  </si>
  <si>
    <t>w21x62</t>
  </si>
  <si>
    <t>Rba = Nb*B  (allow. tension load)</t>
  </si>
  <si>
    <r>
      <t xml:space="preserve">If  </t>
    </r>
    <r>
      <rPr>
        <sz val="10"/>
        <color indexed="12"/>
        <rFont val="Symbol"/>
        <family val="1"/>
      </rPr>
      <t>a</t>
    </r>
    <r>
      <rPr>
        <sz val="10"/>
        <color indexed="12"/>
        <rFont val="Arial"/>
        <family val="0"/>
      </rPr>
      <t>' &gt;1: Ra = Nb*B*(tfc/tc)^2*(1+</t>
    </r>
    <r>
      <rPr>
        <sz val="10"/>
        <color indexed="12"/>
        <rFont val="Symbol"/>
        <family val="1"/>
      </rPr>
      <t>d</t>
    </r>
    <r>
      <rPr>
        <sz val="10"/>
        <color indexed="12"/>
        <rFont val="Arial"/>
        <family val="0"/>
      </rPr>
      <t xml:space="preserve">) ,  If  </t>
    </r>
    <r>
      <rPr>
        <sz val="10"/>
        <color indexed="12"/>
        <rFont val="Symbol"/>
        <family val="1"/>
      </rPr>
      <t>a</t>
    </r>
    <r>
      <rPr>
        <sz val="10"/>
        <color indexed="12"/>
        <rFont val="Arial"/>
        <family val="0"/>
      </rPr>
      <t>' &lt; 0: Ra = Nb*B</t>
    </r>
  </si>
  <si>
    <r>
      <t xml:space="preserve">If  0 &lt;= </t>
    </r>
    <r>
      <rPr>
        <sz val="10"/>
        <color indexed="12"/>
        <rFont val="Symbol"/>
        <family val="1"/>
      </rPr>
      <t>a</t>
    </r>
    <r>
      <rPr>
        <sz val="10"/>
        <color indexed="12"/>
        <rFont val="Arial"/>
        <family val="0"/>
      </rPr>
      <t>' &lt;= 1: Ra = Nb*B*(tfc/tc)^2*(1+</t>
    </r>
    <r>
      <rPr>
        <sz val="10"/>
        <color indexed="12"/>
        <rFont val="Symbol"/>
        <family val="1"/>
      </rPr>
      <t>d</t>
    </r>
    <r>
      <rPr>
        <sz val="10"/>
        <color indexed="12"/>
        <rFont val="Arial"/>
        <family val="0"/>
      </rPr>
      <t>*</t>
    </r>
    <r>
      <rPr>
        <sz val="10"/>
        <color indexed="12"/>
        <rFont val="Symbol"/>
        <family val="1"/>
      </rPr>
      <t>a</t>
    </r>
    <r>
      <rPr>
        <sz val="10"/>
        <color indexed="12"/>
        <rFont val="Arial"/>
        <family val="0"/>
      </rPr>
      <t xml:space="preserve">')  </t>
    </r>
  </si>
  <si>
    <t xml:space="preserve">      by the AISC Code equations.  For other "limit states" in combined stresses such as bolt bearing, gross and </t>
  </si>
  <si>
    <t xml:space="preserve">      net shear and tension, and block shear and tension tearout, the effect of "interaction" is handled by use of</t>
  </si>
  <si>
    <t xml:space="preserve">      the formula,  P/Ra+(R/Rv)^2=1,  as suggested from the following reference:  </t>
  </si>
  <si>
    <t xml:space="preserve">      Thus, the reduction factor applied to the tension "limit state" capacity is  =  (1-R/Rv)^2.</t>
  </si>
  <si>
    <t>mp =</t>
  </si>
  <si>
    <t>L = (Nr-1)*S</t>
  </si>
  <si>
    <t>mp = 0.25*Fyc*twc^2</t>
  </si>
  <si>
    <t>Tc =</t>
  </si>
  <si>
    <t>Pa =</t>
  </si>
  <si>
    <r>
      <t>f</t>
    </r>
    <r>
      <rPr>
        <sz val="10"/>
        <color indexed="8"/>
        <rFont val="Arial"/>
        <family val="0"/>
      </rPr>
      <t xml:space="preserve"> =</t>
    </r>
  </si>
  <si>
    <r>
      <t>f</t>
    </r>
    <r>
      <rPr>
        <sz val="10"/>
        <color indexed="8"/>
        <rFont val="Arial"/>
        <family val="2"/>
      </rPr>
      <t>Pn =</t>
    </r>
  </si>
  <si>
    <r>
      <t>f</t>
    </r>
    <r>
      <rPr>
        <sz val="10"/>
        <color indexed="8"/>
        <rFont val="Arial"/>
        <family val="0"/>
      </rPr>
      <t xml:space="preserve"> = 0.90</t>
    </r>
  </si>
  <si>
    <r>
      <t>f</t>
    </r>
    <r>
      <rPr>
        <sz val="10"/>
        <color indexed="8"/>
        <rFont val="Arial"/>
        <family val="0"/>
      </rPr>
      <t xml:space="preserve">Pn = </t>
    </r>
    <r>
      <rPr>
        <sz val="10"/>
        <color indexed="8"/>
        <rFont val="Symbol"/>
        <family val="1"/>
      </rPr>
      <t>f</t>
    </r>
    <r>
      <rPr>
        <sz val="10"/>
        <color indexed="8"/>
        <rFont val="Arial"/>
        <family val="0"/>
      </rPr>
      <t>*8*mp*(SQRT(2*Tc/(Tc-g))+L/(2*(Tc-g)))</t>
    </r>
  </si>
  <si>
    <r>
      <t>f</t>
    </r>
    <r>
      <rPr>
        <sz val="10"/>
        <color indexed="12"/>
        <rFont val="Arial"/>
        <family val="0"/>
      </rPr>
      <t xml:space="preserve"> =</t>
    </r>
  </si>
  <si>
    <r>
      <t>f</t>
    </r>
    <r>
      <rPr>
        <sz val="10"/>
        <color indexed="12"/>
        <rFont val="Arial"/>
        <family val="0"/>
      </rPr>
      <t xml:space="preserve"> = 0.90</t>
    </r>
  </si>
  <si>
    <r>
      <t>f</t>
    </r>
    <r>
      <rPr>
        <sz val="10"/>
        <color indexed="12"/>
        <rFont val="Arial"/>
        <family val="2"/>
      </rPr>
      <t>Pn =</t>
    </r>
  </si>
  <si>
    <r>
      <t xml:space="preserve">Pa = </t>
    </r>
    <r>
      <rPr>
        <sz val="10"/>
        <color indexed="8"/>
        <rFont val="Symbol"/>
        <family val="1"/>
      </rPr>
      <t>f</t>
    </r>
    <r>
      <rPr>
        <sz val="10"/>
        <color indexed="8"/>
        <rFont val="Arial"/>
        <family val="2"/>
      </rPr>
      <t>Pn/1.5 (converting LRFD value back to ASD value)</t>
    </r>
  </si>
  <si>
    <r>
      <t xml:space="preserve">Pa = </t>
    </r>
    <r>
      <rPr>
        <sz val="10"/>
        <color indexed="12"/>
        <rFont val="Symbol"/>
        <family val="1"/>
      </rPr>
      <t>f</t>
    </r>
    <r>
      <rPr>
        <sz val="10"/>
        <color indexed="12"/>
        <rFont val="Arial"/>
        <family val="2"/>
      </rPr>
      <t>Pn/1.5 (converting LRFD value back to ASD value)</t>
    </r>
  </si>
  <si>
    <t>c =</t>
  </si>
  <si>
    <t>c = (Nr-1)*S</t>
  </si>
  <si>
    <t>VOIDED Calc's. in "Red":</t>
  </si>
  <si>
    <t>Girder Web Doubler Plate Thk., td =</t>
  </si>
  <si>
    <t>(assume LRFD "yield line" theory and convert results back to ASD)</t>
  </si>
  <si>
    <t>Tg =</t>
  </si>
  <si>
    <t>a = D1-kg</t>
  </si>
  <si>
    <t>b = Tg-(a+c)</t>
  </si>
  <si>
    <t>mp = 0.25*Fyg*twg^2</t>
  </si>
  <si>
    <r>
      <t xml:space="preserve">  Determine Shear </t>
    </r>
    <r>
      <rPr>
        <sz val="10"/>
        <color indexed="10"/>
        <rFont val="Arial"/>
        <family val="2"/>
      </rPr>
      <t>and Maximum Moment</t>
    </r>
    <r>
      <rPr>
        <sz val="10"/>
        <color indexed="12"/>
        <rFont val="Arial"/>
        <family val="0"/>
      </rPr>
      <t xml:space="preserve"> on Stip of Girder Web of Width = g: </t>
    </r>
  </si>
  <si>
    <r>
      <t>f</t>
    </r>
    <r>
      <rPr>
        <sz val="10"/>
        <color indexed="8"/>
        <rFont val="Arial"/>
        <family val="0"/>
      </rPr>
      <t xml:space="preserve">Pn = </t>
    </r>
    <r>
      <rPr>
        <sz val="10"/>
        <color indexed="8"/>
        <rFont val="Symbol"/>
        <family val="1"/>
      </rPr>
      <t>f</t>
    </r>
    <r>
      <rPr>
        <sz val="10"/>
        <color indexed="8"/>
        <rFont val="Arial"/>
        <family val="0"/>
      </rPr>
      <t xml:space="preserve">*2*mp*(((2*SQRT(2*Tg*a*b/(a+b))+g/2)*(a+b))/(a*b))         </t>
    </r>
  </si>
  <si>
    <t>c = g</t>
  </si>
  <si>
    <r>
      <t>f</t>
    </r>
    <r>
      <rPr>
        <sz val="10"/>
        <color indexed="12"/>
        <rFont val="Arial"/>
        <family val="0"/>
      </rPr>
      <t xml:space="preserve">Pn = </t>
    </r>
    <r>
      <rPr>
        <sz val="10"/>
        <color indexed="12"/>
        <rFont val="Symbol"/>
        <family val="1"/>
      </rPr>
      <t>f</t>
    </r>
    <r>
      <rPr>
        <sz val="10"/>
        <color indexed="12"/>
        <rFont val="Arial"/>
        <family val="0"/>
      </rPr>
      <t xml:space="preserve">*2*mp*(((2*SQRT(2*Tc*a*b/(a+b))+L/2)*(a+b))/(a*b))         </t>
    </r>
  </si>
  <si>
    <t>b = a = (Tc-c)/2</t>
  </si>
  <si>
    <t>a = (Tc-c)/2</t>
  </si>
  <si>
    <t>Tc = dc-2*kc</t>
  </si>
  <si>
    <r>
      <t>f</t>
    </r>
    <r>
      <rPr>
        <sz val="10"/>
        <color indexed="12"/>
        <rFont val="Arial"/>
        <family val="0"/>
      </rPr>
      <t xml:space="preserve">Pn = </t>
    </r>
    <r>
      <rPr>
        <sz val="10"/>
        <color indexed="12"/>
        <rFont val="Symbol"/>
        <family val="1"/>
      </rPr>
      <t>f</t>
    </r>
    <r>
      <rPr>
        <sz val="10"/>
        <color indexed="12"/>
        <rFont val="Arial"/>
        <family val="0"/>
      </rPr>
      <t xml:space="preserve">*2*mp*(((2*SQRT(2*Tg*a*b/(a+b))+L/2)*(a+b))/(a*b))         </t>
    </r>
  </si>
  <si>
    <t>L = g</t>
  </si>
  <si>
    <t>Tg = dg-2*kg</t>
  </si>
  <si>
    <t>5.  This program contains numerous “comment boxes” which contain a wide variety of information including</t>
  </si>
  <si>
    <t xml:space="preserve">4.   This program follows the procedure for "yield line" theory for the flexural analysis of either a column web or </t>
  </si>
  <si>
    <t xml:space="preserve">      a girder web subjected to an axial load, as outlined in "Connections" by Larry S. Muir and William A. Thornton</t>
  </si>
  <si>
    <t xml:space="preserve">      and published by Cives Steel Company.</t>
  </si>
  <si>
    <t xml:space="preserve">      (Note: This booklet is a reprint of Chapter 3, from the "Structural Steel Designer's Handbook, 4 th Edition.)</t>
  </si>
  <si>
    <t>Project Name:</t>
  </si>
  <si>
    <t>Client:</t>
  </si>
  <si>
    <t>Project No.:</t>
  </si>
  <si>
    <t>Prep. By:</t>
  </si>
  <si>
    <t>Date:</t>
  </si>
  <si>
    <t xml:space="preserve">1.   This program follows the procedures and guidelines of the AISC 13th Edition Allowable Stress (ASD) Manual </t>
  </si>
  <si>
    <t xml:space="preserve">      (2005).</t>
  </si>
  <si>
    <t xml:space="preserve">      Database", Version 13.0 (2005) as well as the AISC 13th Edition (ASD) Manual (2005).</t>
  </si>
  <si>
    <t>Faying Surface Class =</t>
  </si>
  <si>
    <t>dh1 = Nominal hole dimensions from Table J3.3 (in angles)</t>
  </si>
  <si>
    <t>vb = R/Nb (actual shear/bolt)</t>
  </si>
  <si>
    <t>fv = vb/Ab (actual bolt shear stress)</t>
  </si>
  <si>
    <r>
      <t>m</t>
    </r>
    <r>
      <rPr>
        <sz val="10"/>
        <color indexed="12"/>
        <rFont val="Arial"/>
        <family val="0"/>
      </rPr>
      <t xml:space="preserve"> =</t>
    </r>
  </si>
  <si>
    <t>Fnv =</t>
  </si>
  <si>
    <t>Fnv' =</t>
  </si>
  <si>
    <t>ks =</t>
  </si>
  <si>
    <t>Rbv = Nb*Vb (allow. shear load)</t>
  </si>
  <si>
    <r>
      <t xml:space="preserve">At = </t>
    </r>
    <r>
      <rPr>
        <sz val="10"/>
        <color indexed="12"/>
        <rFont val="Symbol"/>
        <family val="1"/>
      </rPr>
      <t>p/4</t>
    </r>
    <r>
      <rPr>
        <sz val="10"/>
        <color indexed="12"/>
        <rFont val="Arial"/>
        <family val="0"/>
      </rPr>
      <t>*(db - 0.9743/n)^2, where n is the numbers of threads per inch</t>
    </r>
  </si>
  <si>
    <t>Fnt =</t>
  </si>
  <si>
    <t>N.A.</t>
  </si>
  <si>
    <t>Fnt' =</t>
  </si>
  <si>
    <t>Class A</t>
  </si>
  <si>
    <t>Ft = Fnt' / 2 (allowable bolt tension stress)</t>
  </si>
  <si>
    <t>Class B</t>
  </si>
  <si>
    <t>b = (g-tw)/2</t>
  </si>
  <si>
    <t>d' = Nominal hole dimensions from Table J3.3</t>
  </si>
  <si>
    <t>Lce =</t>
  </si>
  <si>
    <t>Lcs =</t>
  </si>
  <si>
    <t>Lcs = Clear distance between bolt holes</t>
  </si>
  <si>
    <t>Rpv = 2*{ Rpe+(Nb-1)*Rps }</t>
  </si>
  <si>
    <t>Anv =</t>
  </si>
  <si>
    <t>Agv =</t>
  </si>
  <si>
    <t>Ant =</t>
  </si>
  <si>
    <t>Rwr' =</t>
  </si>
  <si>
    <t>tmin =</t>
  </si>
  <si>
    <r>
      <t>m</t>
    </r>
    <r>
      <rPr>
        <sz val="10"/>
        <rFont val="Arial"/>
        <family val="0"/>
      </rPr>
      <t xml:space="preserve"> =</t>
    </r>
  </si>
  <si>
    <r>
      <t xml:space="preserve">fd </t>
    </r>
    <r>
      <rPr>
        <sz val="10"/>
        <rFont val="Arial"/>
        <family val="0"/>
      </rPr>
      <t>=</t>
    </r>
  </si>
  <si>
    <r>
      <t>lambda</t>
    </r>
    <r>
      <rPr>
        <sz val="10"/>
        <rFont val="Arial"/>
        <family val="0"/>
      </rPr>
      <t>=</t>
    </r>
  </si>
  <si>
    <r>
      <t xml:space="preserve">Q </t>
    </r>
    <r>
      <rPr>
        <sz val="10"/>
        <rFont val="Arial"/>
        <family val="0"/>
      </rPr>
      <t>=</t>
    </r>
  </si>
  <si>
    <t>Rwc =</t>
  </si>
  <si>
    <t>Fv = (1/1.5)*0.6*Fyc</t>
  </si>
  <si>
    <t xml:space="preserve">  Shear Rupture Capacity of Beam Web:</t>
  </si>
  <si>
    <t>Rvn = (1/2)*0.60*Fub*Avn</t>
  </si>
  <si>
    <t xml:space="preserve">  Web Buckling (Flexural Rupture) Capacity for Uncoped Flanges:</t>
  </si>
  <si>
    <t xml:space="preserve">  Web Buckling (Flexural Local Buckling) Capacity for Uncoped Flanges:</t>
  </si>
  <si>
    <t xml:space="preserve">  Shear Rupture Capacity of Beam Web for Top Flange Coped:</t>
  </si>
  <si>
    <t xml:space="preserve">  Web Buckling (Flexural Rupture) Capacity for Top Flange Coped:</t>
  </si>
  <si>
    <t xml:space="preserve">  Web Buckling (Flexural Local Buckling) Capacity for Top Flange Coped:</t>
  </si>
  <si>
    <t>ho = d-dc1-dc2</t>
  </si>
  <si>
    <t xml:space="preserve">  Shear Rupture Capacity of Beam Web for Both Flanges Coped:</t>
  </si>
  <si>
    <t xml:space="preserve">  Web Buckling (Flexural Rupture) Capacity for Both Flanges Coped:</t>
  </si>
  <si>
    <t xml:space="preserve">  Web Buckling (Flexural Local Buckling) Capacity for Both Flanges Coped:</t>
  </si>
  <si>
    <r>
      <t xml:space="preserve">fd </t>
    </r>
    <r>
      <rPr>
        <sz val="10"/>
        <color indexed="12"/>
        <rFont val="Arial"/>
        <family val="0"/>
      </rPr>
      <t>=</t>
    </r>
  </si>
  <si>
    <t>fd = 3.5 - 7.5*(dc1/d)</t>
  </si>
  <si>
    <r>
      <t xml:space="preserve">lambda </t>
    </r>
    <r>
      <rPr>
        <sz val="10"/>
        <color indexed="12"/>
        <rFont val="Arial"/>
        <family val="0"/>
      </rPr>
      <t>=</t>
    </r>
  </si>
  <si>
    <t>lambda = (ho*sqrt(Fyb)) / { 10*tw*sqrt[475+280*(ho/c)^2] }</t>
  </si>
  <si>
    <r>
      <t xml:space="preserve">Q </t>
    </r>
    <r>
      <rPr>
        <sz val="10"/>
        <color indexed="12"/>
        <rFont val="Arial"/>
        <family val="0"/>
      </rPr>
      <t>=</t>
    </r>
  </si>
  <si>
    <t>Q = 1 if lambda ≤ 0.7, (1.34-0.486*lambda) if 0.7 &lt; lambda ≤ 1.41, 1.30/lambda^2 if lambda &gt; 1.41</t>
  </si>
  <si>
    <r>
      <t xml:space="preserve">Fbc </t>
    </r>
    <r>
      <rPr>
        <sz val="10"/>
        <color indexed="12"/>
        <rFont val="Arial"/>
        <family val="0"/>
      </rPr>
      <t>=</t>
    </r>
  </si>
  <si>
    <r>
      <t>ta(req'd) = SQRT(6.66*T*b'/(p*Fuc*(1+</t>
    </r>
    <r>
      <rPr>
        <sz val="10"/>
        <color indexed="12"/>
        <rFont val="Symbol"/>
        <family val="1"/>
      </rPr>
      <t>d</t>
    </r>
    <r>
      <rPr>
        <sz val="10"/>
        <color indexed="12"/>
        <rFont val="Arial"/>
        <family val="0"/>
      </rPr>
      <t>*</t>
    </r>
    <r>
      <rPr>
        <sz val="10"/>
        <color indexed="12"/>
        <rFont val="Symbol"/>
        <family val="1"/>
      </rPr>
      <t>a</t>
    </r>
    <r>
      <rPr>
        <sz val="10"/>
        <color indexed="12"/>
        <rFont val="Arial"/>
        <family val="0"/>
      </rPr>
      <t>')))</t>
    </r>
  </si>
  <si>
    <t>tc = SQRT(6.66*B*b'/(p*Fuc))  (to develop 'B' in bolts/no prying)</t>
  </si>
  <si>
    <r>
      <t>a</t>
    </r>
    <r>
      <rPr>
        <sz val="10"/>
        <color indexed="12"/>
        <rFont val="Arial"/>
        <family val="0"/>
      </rPr>
      <t>' = 1/(</t>
    </r>
    <r>
      <rPr>
        <sz val="10"/>
        <color indexed="12"/>
        <rFont val="Symbol"/>
        <family val="1"/>
      </rPr>
      <t>d</t>
    </r>
    <r>
      <rPr>
        <sz val="10"/>
        <color indexed="12"/>
        <rFont val="Arial"/>
        <family val="0"/>
      </rPr>
      <t>*(1+</t>
    </r>
    <r>
      <rPr>
        <sz val="10"/>
        <color indexed="12"/>
        <rFont val="Symbol"/>
        <family val="1"/>
      </rPr>
      <t>r</t>
    </r>
    <r>
      <rPr>
        <sz val="10"/>
        <color indexed="12"/>
        <rFont val="Arial"/>
        <family val="0"/>
      </rPr>
      <t>))*((tc/tfc)^2-1)</t>
    </r>
  </si>
  <si>
    <t>Rpc =</t>
  </si>
  <si>
    <t>(Criteria is assumed for beam near column end per AISC Eqn. J10-3)</t>
  </si>
  <si>
    <t>Rwy =</t>
  </si>
  <si>
    <t>Rwy = (1/1.5)*Fyc*twc*(N+2.5*kc)</t>
  </si>
  <si>
    <t>(Criteria is for beam near column end per AISC Eqn. J10-5a)</t>
  </si>
  <si>
    <t>Rwc = (1/2.0)*0.4*twc^2*(1+3*(N/d)*(twc/tfc)^1.5)*SQRT(E*Fyc*tfc/twc)</t>
  </si>
  <si>
    <t>Dimensions, in (Table 7-18)</t>
  </si>
  <si>
    <t>Min. Bolt Pretension (Table J3.1)</t>
  </si>
  <si>
    <t>Bolt Dia</t>
  </si>
  <si>
    <t>Threads / in</t>
  </si>
  <si>
    <t>A325 Bolts</t>
  </si>
  <si>
    <t>A490 Bolts</t>
  </si>
  <si>
    <t>Nominal Hole Dimensions, in. (Table J3.3)</t>
  </si>
  <si>
    <t>Min. Edge Dist (Table J3.4)</t>
  </si>
  <si>
    <t>Bolt Dia.</t>
  </si>
  <si>
    <t>Standard (Dia.)</t>
  </si>
  <si>
    <t>Oversize (Dia.)</t>
  </si>
  <si>
    <t>At Sheared Edges</t>
  </si>
  <si>
    <t>W, S, M, and HP Section Properties from AISC Version 13.0 CD Database (2005)</t>
  </si>
  <si>
    <t xml:space="preserve"> and AISC 13th Edition Manual (2005)</t>
  </si>
  <si>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</si>
  <si>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</si>
  <si>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</si>
  <si>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</si>
  <si>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</si>
  <si>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</si>
  <si>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</si>
  <si>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</si>
  <si>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</si>
  <si>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</si>
  <si>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</si>
  <si>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</si>
  <si>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</si>
  <si>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</si>
  <si>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</si>
  <si>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</si>
  <si>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</si>
  <si>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</si>
  <si>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</si>
  <si>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</si>
  <si>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</si>
  <si>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</si>
  <si>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</si>
  <si>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</si>
  <si>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</si>
  <si>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</si>
  <si>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</si>
  <si>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W36X800</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</si>
  <si>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</si>
  <si>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</si>
  <si>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</si>
  <si>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</si>
  <si>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</si>
  <si>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</si>
  <si>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</si>
  <si>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</si>
  <si>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</si>
  <si>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</si>
  <si>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</si>
  <si>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</si>
  <si>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</si>
  <si>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</si>
  <si>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</si>
  <si>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</si>
  <si>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</si>
  <si>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</si>
  <si>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</si>
  <si>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</si>
  <si>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</si>
  <si>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</si>
  <si>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</si>
  <si>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</si>
  <si>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</si>
  <si>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</si>
  <si>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</si>
  <si>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</si>
  <si>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</si>
  <si>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</si>
  <si>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</si>
  <si>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</si>
  <si>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</si>
  <si>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</si>
  <si>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</si>
  <si>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</si>
  <si>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</si>
  <si>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</si>
  <si>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</si>
  <si>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</si>
  <si>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</si>
  <si>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</si>
  <si>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</si>
  <si>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</si>
  <si>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</si>
  <si>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</si>
  <si>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</si>
  <si>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</si>
  <si>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</si>
  <si>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</si>
  <si>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</si>
  <si>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</si>
  <si>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</si>
  <si>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</si>
  <si>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</si>
  <si>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</si>
  <si>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</si>
  <si>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</si>
  <si>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</si>
  <si>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</si>
  <si>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</si>
  <si>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</si>
  <si>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</si>
  <si>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</si>
  <si>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</si>
  <si>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</si>
  <si>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</si>
  <si>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</si>
  <si>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</si>
  <si>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</si>
  <si>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</si>
  <si>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</si>
  <si>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</si>
  <si>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</si>
  <si>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</si>
  <si>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</si>
  <si>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</si>
  <si>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</si>
  <si>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</si>
  <si>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</si>
  <si>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</si>
  <si>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</si>
  <si>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</si>
  <si>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</si>
  <si>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</si>
  <si>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</si>
  <si>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</si>
  <si>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</si>
  <si>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</si>
  <si>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</si>
  <si>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</si>
  <si>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</si>
  <si>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</si>
  <si>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</si>
  <si>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</si>
  <si>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</si>
  <si>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</si>
  <si>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</si>
  <si>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</si>
  <si>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</si>
  <si>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</si>
  <si>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</si>
  <si>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</si>
  <si>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</si>
  <si>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</si>
  <si>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</si>
  <si>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</si>
  <si>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</si>
  <si>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</si>
  <si>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</si>
  <si>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</si>
  <si>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</si>
  <si>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</si>
  <si>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</si>
  <si>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</si>
  <si>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</si>
  <si>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</si>
  <si>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</si>
  <si>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</si>
  <si>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</si>
  <si>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</si>
  <si>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</si>
  <si>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</si>
  <si>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</si>
  <si>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</si>
  <si>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</si>
  <si>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</si>
  <si>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</si>
  <si>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</si>
  <si>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</si>
  <si>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</si>
  <si>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</si>
  <si>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</si>
  <si>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</si>
  <si>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</si>
  <si>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</si>
  <si>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</si>
  <si>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</si>
  <si>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</si>
  <si>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</si>
  <si>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</si>
  <si>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</si>
  <si>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</si>
  <si>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</si>
  <si>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</si>
  <si>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</si>
  <si>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</si>
  <si>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</si>
  <si>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</si>
  <si>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</si>
  <si>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</si>
  <si>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</si>
  <si>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</si>
  <si>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</si>
  <si>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</si>
  <si>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</si>
  <si>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</si>
  <si>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</si>
  <si>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</si>
  <si>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</si>
  <si>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</si>
  <si>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</si>
  <si>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</si>
  <si>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</si>
  <si>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</si>
  <si>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</si>
  <si>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</si>
  <si>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</si>
  <si>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</si>
  <si>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</si>
  <si>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</si>
  <si>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</si>
  <si>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</si>
  <si>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</si>
  <si>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</si>
  <si>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</si>
  <si>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</si>
  <si>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</si>
  <si>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</si>
  <si>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</si>
  <si>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</si>
  <si>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</si>
  <si>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</si>
  <si>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</si>
  <si>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</si>
  <si>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</si>
  <si>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</si>
  <si>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</si>
  <si>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</si>
  <si>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</si>
  <si>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</si>
  <si>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</si>
  <si>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</si>
  <si>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</si>
  <si>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</si>
  <si>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</si>
  <si>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</si>
  <si>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</si>
  <si>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</si>
  <si>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</si>
  <si>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</si>
  <si>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</si>
  <si>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</si>
  <si>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</si>
  <si>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</si>
  <si>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</si>
  <si>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</si>
  <si>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</si>
  <si>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</si>
  <si>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</si>
  <si>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</si>
  <si>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</si>
  <si>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</si>
  <si>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</si>
  <si>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</si>
  <si>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</si>
  <si>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</si>
  <si>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</si>
  <si>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</si>
  <si>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</si>
  <si>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</si>
  <si>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</si>
  <si>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</si>
  <si>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</si>
  <si>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</si>
  <si>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</si>
  <si>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</si>
  <si>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</si>
  <si>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</si>
  <si>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</si>
  <si>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</si>
  <si>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</si>
  <si>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</si>
  <si>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</si>
  <si>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</si>
  <si>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</si>
  <si>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</si>
  <si>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</si>
  <si>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</si>
  <si>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</si>
  <si>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M12.5X12.4</t>
  </si>
  <si>
    <t>M12.5X11.6</t>
  </si>
  <si>
    <t>M12X11.8</t>
  </si>
  <si>
    <t>M12X10.8</t>
  </si>
  <si>
    <t>M12X10</t>
  </si>
  <si>
    <t>M10X9</t>
  </si>
  <si>
    <t>M10X8</t>
  </si>
  <si>
    <t>M10X7.5</t>
  </si>
  <si>
    <t>M8X6.5</t>
  </si>
  <si>
    <t>M8X6.2</t>
  </si>
  <si>
    <t>M6X4.4</t>
  </si>
  <si>
    <t>M6X3.7</t>
  </si>
  <si>
    <t>M5X18.9</t>
  </si>
  <si>
    <t>M4X6</t>
  </si>
  <si>
    <t>M4X4.08</t>
  </si>
  <si>
    <t>M4X3.45</t>
  </si>
  <si>
    <t>M4X3.2</t>
  </si>
  <si>
    <t>M3X2.9</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</si>
  <si>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</si>
  <si>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</si>
  <si>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</si>
  <si>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</si>
  <si>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</si>
  <si>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</si>
  <si>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</si>
  <si>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</si>
  <si>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</si>
  <si>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</si>
  <si>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</si>
  <si>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</si>
  <si>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</si>
  <si>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</si>
  <si>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</si>
  <si>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</si>
  <si>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</si>
  <si>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</si>
  <si>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</si>
  <si>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</si>
  <si>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</si>
  <si>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t>
  </si>
  <si>
    <t>S6X12.5</t>
  </si>
  <si>
    <t>S5X10</t>
  </si>
  <si>
    <t>S4X9.5</t>
  </si>
  <si>
    <t>S4X7.7</t>
  </si>
  <si>
    <t>S3X7.5</t>
  </si>
  <si>
    <t>S3X5.7</t>
  </si>
  <si>
    <t>HP14X117</t>
  </si>
  <si>
    <t>HP14X102</t>
  </si>
  <si>
    <t>HP14X89</t>
  </si>
  <si>
    <t>HP14X73</t>
  </si>
  <si>
    <t>HP12X84</t>
  </si>
  <si>
    <t>HP12X74</t>
  </si>
  <si>
    <t>HP12X63</t>
  </si>
  <si>
    <t>HP12X53</t>
  </si>
  <si>
    <t>HP10X57</t>
  </si>
  <si>
    <t>HP10X42</t>
  </si>
  <si>
    <t>HP8X36</t>
  </si>
  <si>
    <t>B =</t>
  </si>
  <si>
    <t>b =</t>
  </si>
  <si>
    <t>b' =</t>
  </si>
  <si>
    <t>a =</t>
  </si>
  <si>
    <t>Beam Yield Stress, Fyb =</t>
  </si>
  <si>
    <t>T = d-2*k  (effective span of girder web)</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</si>
  <si>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</si>
  <si>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</si>
  <si>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</si>
  <si>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</si>
  <si>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</si>
  <si>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</si>
  <si>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</si>
  <si>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Shear End Plate (Col Flg)</t>
  </si>
  <si>
    <t>Shear End Plate (Col Web)</t>
  </si>
  <si>
    <t>Shear End Plate (Girder)</t>
  </si>
  <si>
    <t>Shear End Plate welded to beam web and bolted to column flange</t>
  </si>
  <si>
    <t>Shear End Plate welded to beam web and bolted to column web</t>
  </si>
  <si>
    <t>Shear End Plate welded to beam web and bolted to girder web</t>
  </si>
  <si>
    <r>
      <t>ta(req'd) = SQRT(6.66*T*b'/(p*Fup*(1+</t>
    </r>
    <r>
      <rPr>
        <sz val="10"/>
        <color indexed="12"/>
        <rFont val="Symbol"/>
        <family val="1"/>
      </rPr>
      <t>d</t>
    </r>
    <r>
      <rPr>
        <sz val="10"/>
        <color indexed="12"/>
        <rFont val="Arial"/>
        <family val="0"/>
      </rPr>
      <t>*</t>
    </r>
    <r>
      <rPr>
        <sz val="10"/>
        <color indexed="12"/>
        <rFont val="Symbol"/>
        <family val="1"/>
      </rPr>
      <t>a</t>
    </r>
    <r>
      <rPr>
        <sz val="10"/>
        <color indexed="12"/>
        <rFont val="Arial"/>
        <family val="0"/>
      </rPr>
      <t>')))</t>
    </r>
  </si>
  <si>
    <t>tp(req'd) = SQRT(6.66*T*b'/(p*Fup*(1+d*a')))</t>
  </si>
  <si>
    <t>tp(req'd) =</t>
  </si>
  <si>
    <r>
      <t>a</t>
    </r>
    <r>
      <rPr>
        <sz val="10"/>
        <color indexed="8"/>
        <rFont val="Arial"/>
        <family val="0"/>
      </rPr>
      <t>' = 1/(</t>
    </r>
    <r>
      <rPr>
        <sz val="10"/>
        <color indexed="8"/>
        <rFont val="Symbol"/>
        <family val="1"/>
      </rPr>
      <t>d</t>
    </r>
    <r>
      <rPr>
        <sz val="10"/>
        <color indexed="8"/>
        <rFont val="Arial"/>
        <family val="0"/>
      </rPr>
      <t>*(1+</t>
    </r>
    <r>
      <rPr>
        <sz val="10"/>
        <color indexed="8"/>
        <rFont val="Symbol"/>
        <family val="1"/>
      </rPr>
      <t>r</t>
    </r>
    <r>
      <rPr>
        <sz val="10"/>
        <color indexed="8"/>
        <rFont val="Arial"/>
        <family val="0"/>
      </rPr>
      <t>))*((tc/tp)^2-1)</t>
    </r>
  </si>
  <si>
    <r>
      <t xml:space="preserve">If  </t>
    </r>
    <r>
      <rPr>
        <sz val="10"/>
        <color indexed="8"/>
        <rFont val="Symbol"/>
        <family val="1"/>
      </rPr>
      <t>a</t>
    </r>
    <r>
      <rPr>
        <sz val="10"/>
        <color indexed="8"/>
        <rFont val="Arial"/>
        <family val="0"/>
      </rPr>
      <t>' &gt;1: Ra = Nb*B*(tp/tc)^2*(1+</t>
    </r>
    <r>
      <rPr>
        <sz val="10"/>
        <color indexed="8"/>
        <rFont val="Symbol"/>
        <family val="1"/>
      </rPr>
      <t>d</t>
    </r>
    <r>
      <rPr>
        <sz val="10"/>
        <color indexed="8"/>
        <rFont val="Arial"/>
        <family val="0"/>
      </rPr>
      <t xml:space="preserve">) ,  If  </t>
    </r>
    <r>
      <rPr>
        <sz val="10"/>
        <color indexed="8"/>
        <rFont val="Symbol"/>
        <family val="1"/>
      </rPr>
      <t>a</t>
    </r>
    <r>
      <rPr>
        <sz val="10"/>
        <color indexed="8"/>
        <rFont val="Arial"/>
        <family val="0"/>
      </rPr>
      <t>' &lt; 0: Ra = Nb*B</t>
    </r>
  </si>
  <si>
    <r>
      <t xml:space="preserve">If  0 &lt;= </t>
    </r>
    <r>
      <rPr>
        <sz val="10"/>
        <color indexed="8"/>
        <rFont val="Symbol"/>
        <family val="1"/>
      </rPr>
      <t>a</t>
    </r>
    <r>
      <rPr>
        <sz val="10"/>
        <color indexed="8"/>
        <rFont val="Arial"/>
        <family val="0"/>
      </rPr>
      <t>' &lt;= 1: Ra = Nb*B*(tp/tc)^2*(1+</t>
    </r>
    <r>
      <rPr>
        <sz val="10"/>
        <color indexed="8"/>
        <rFont val="Symbol"/>
        <family val="1"/>
      </rPr>
      <t>d</t>
    </r>
    <r>
      <rPr>
        <sz val="10"/>
        <color indexed="8"/>
        <rFont val="Arial"/>
        <family val="0"/>
      </rPr>
      <t>*</t>
    </r>
    <r>
      <rPr>
        <sz val="10"/>
        <color indexed="8"/>
        <rFont val="Symbol"/>
        <family val="1"/>
      </rPr>
      <t>a</t>
    </r>
    <r>
      <rPr>
        <sz val="10"/>
        <color indexed="8"/>
        <rFont val="Arial"/>
        <family val="0"/>
      </rPr>
      <t xml:space="preserve">') </t>
    </r>
  </si>
  <si>
    <r>
      <t>a</t>
    </r>
    <r>
      <rPr>
        <sz val="10"/>
        <color indexed="12"/>
        <rFont val="Arial"/>
        <family val="0"/>
      </rPr>
      <t>' = 1/(</t>
    </r>
    <r>
      <rPr>
        <sz val="10"/>
        <color indexed="12"/>
        <rFont val="Symbol"/>
        <family val="1"/>
      </rPr>
      <t>d</t>
    </r>
    <r>
      <rPr>
        <sz val="10"/>
        <color indexed="12"/>
        <rFont val="Arial"/>
        <family val="0"/>
      </rPr>
      <t>*(1+</t>
    </r>
    <r>
      <rPr>
        <sz val="10"/>
        <color indexed="12"/>
        <rFont val="Symbol"/>
        <family val="1"/>
      </rPr>
      <t>r</t>
    </r>
    <r>
      <rPr>
        <sz val="10"/>
        <color indexed="12"/>
        <rFont val="Arial"/>
        <family val="0"/>
      </rPr>
      <t>))*((tp/ta)^2-1)</t>
    </r>
  </si>
  <si>
    <r>
      <t xml:space="preserve">If  </t>
    </r>
    <r>
      <rPr>
        <sz val="10"/>
        <color indexed="12"/>
        <rFont val="Symbol"/>
        <family val="1"/>
      </rPr>
      <t>a</t>
    </r>
    <r>
      <rPr>
        <sz val="10"/>
        <color indexed="12"/>
        <rFont val="Arial"/>
        <family val="0"/>
      </rPr>
      <t>' &gt;1: Ra = Nb*B*(tp/tc)^2*(1+</t>
    </r>
    <r>
      <rPr>
        <sz val="10"/>
        <color indexed="12"/>
        <rFont val="Symbol"/>
        <family val="1"/>
      </rPr>
      <t>d</t>
    </r>
    <r>
      <rPr>
        <sz val="10"/>
        <color indexed="12"/>
        <rFont val="Arial"/>
        <family val="0"/>
      </rPr>
      <t xml:space="preserve">) ,  If  </t>
    </r>
    <r>
      <rPr>
        <sz val="10"/>
        <color indexed="12"/>
        <rFont val="Symbol"/>
        <family val="1"/>
      </rPr>
      <t>a</t>
    </r>
    <r>
      <rPr>
        <sz val="10"/>
        <color indexed="12"/>
        <rFont val="Arial"/>
        <family val="0"/>
      </rPr>
      <t>' &lt; 0: Ra = Nb*B</t>
    </r>
  </si>
  <si>
    <r>
      <t xml:space="preserve">If  0 &lt;= </t>
    </r>
    <r>
      <rPr>
        <sz val="10"/>
        <color indexed="12"/>
        <rFont val="Symbol"/>
        <family val="1"/>
      </rPr>
      <t>a</t>
    </r>
    <r>
      <rPr>
        <sz val="10"/>
        <color indexed="12"/>
        <rFont val="Arial"/>
        <family val="0"/>
      </rPr>
      <t>' &lt;= 1: Ra = Nb*B*(tp/tc)^2*(1+</t>
    </r>
    <r>
      <rPr>
        <sz val="10"/>
        <color indexed="12"/>
        <rFont val="Symbol"/>
        <family val="1"/>
      </rPr>
      <t>d</t>
    </r>
    <r>
      <rPr>
        <sz val="10"/>
        <color indexed="12"/>
        <rFont val="Arial"/>
        <family val="0"/>
      </rPr>
      <t>*</t>
    </r>
    <r>
      <rPr>
        <sz val="10"/>
        <color indexed="12"/>
        <rFont val="Symbol"/>
        <family val="1"/>
      </rPr>
      <t>a</t>
    </r>
    <r>
      <rPr>
        <sz val="10"/>
        <color indexed="12"/>
        <rFont val="Arial"/>
        <family val="0"/>
      </rPr>
      <t xml:space="preserve">')  </t>
    </r>
  </si>
  <si>
    <t>Rpe = (1/2)*min{ (1.2*Lce*tp*Fup), (2.4*db*tp*Fup) }</t>
  </si>
  <si>
    <t>Rps = (1/2)*min{ (1.2*Lcs*tp*Fup), (2.4*db*tp*Fup) }</t>
  </si>
  <si>
    <r>
      <t>tp(req'd) = SQRT(6.66*T*b'/(p*Fup*(1+</t>
    </r>
    <r>
      <rPr>
        <sz val="10"/>
        <color indexed="8"/>
        <rFont val="Symbol"/>
        <family val="1"/>
      </rPr>
      <t>d</t>
    </r>
    <r>
      <rPr>
        <sz val="10"/>
        <color indexed="8"/>
        <rFont val="Arial"/>
        <family val="0"/>
      </rPr>
      <t>*</t>
    </r>
    <r>
      <rPr>
        <sz val="10"/>
        <color indexed="8"/>
        <rFont val="Symbol"/>
        <family val="1"/>
      </rPr>
      <t>a</t>
    </r>
    <r>
      <rPr>
        <sz val="10"/>
        <color indexed="8"/>
        <rFont val="Arial"/>
        <family val="0"/>
      </rPr>
      <t>')))</t>
    </r>
  </si>
  <si>
    <t>tmin &gt; twb? =</t>
  </si>
  <si>
    <t>Fbc = Min. of:  {(26,210*f*k*(tw/ho)^2  or  Fy)/1.67}*(1-P/(0.60*Fy*Atn))</t>
  </si>
  <si>
    <t>Rtg = (0.60*Fyb*Atn)*(1-(R/Rvn)^2)</t>
  </si>
  <si>
    <t xml:space="preserve">  Net Tension Capacity of Beam for Both Flanges Coped:</t>
  </si>
  <si>
    <t>Rpc = (1/2)*(2.4*Fuc*twc*db*Nb)</t>
  </si>
  <si>
    <t>kw =</t>
  </si>
  <si>
    <r>
      <t xml:space="preserve">kw = 1 + 0.5*(sin </t>
    </r>
    <r>
      <rPr>
        <sz val="10"/>
        <color indexed="12"/>
        <rFont val="Symbol"/>
        <family val="1"/>
      </rPr>
      <t>q</t>
    </r>
    <r>
      <rPr>
        <sz val="10"/>
        <color indexed="12"/>
        <rFont val="Arial"/>
        <family val="0"/>
      </rPr>
      <t>)^1.5, AISC Eqn. J2-5</t>
    </r>
  </si>
  <si>
    <r>
      <t>Rwr = (1/2)*2*0.6*kw*70ksi*0.707*</t>
    </r>
    <r>
      <rPr>
        <sz val="10"/>
        <color indexed="12"/>
        <rFont val="Symbol"/>
        <family val="1"/>
      </rPr>
      <t>w</t>
    </r>
    <r>
      <rPr>
        <sz val="10"/>
        <color indexed="12"/>
        <rFont val="Arial"/>
        <family val="0"/>
      </rPr>
      <t>*L</t>
    </r>
  </si>
  <si>
    <r>
      <t xml:space="preserve">kw = 1 + 0.5*(sin </t>
    </r>
    <r>
      <rPr>
        <sz val="10"/>
        <rFont val="Symbol"/>
        <family val="1"/>
      </rPr>
      <t>q</t>
    </r>
    <r>
      <rPr>
        <sz val="10"/>
        <rFont val="Arial"/>
        <family val="2"/>
      </rPr>
      <t>)^1.5, AISC Eqn. J2-5</t>
    </r>
  </si>
  <si>
    <r>
      <t>Rwr = (1/2)*2*0.6*kw*70ksi*0.707*</t>
    </r>
    <r>
      <rPr>
        <sz val="10"/>
        <rFont val="Symbol"/>
        <family val="1"/>
      </rPr>
      <t>w</t>
    </r>
    <r>
      <rPr>
        <sz val="10"/>
        <rFont val="Arial"/>
        <family val="0"/>
      </rPr>
      <t>*L</t>
    </r>
  </si>
  <si>
    <r>
      <t>tmin = 6.19*kw*16*</t>
    </r>
    <r>
      <rPr>
        <sz val="10"/>
        <color indexed="12"/>
        <rFont val="Symbol"/>
        <family val="1"/>
      </rPr>
      <t>w</t>
    </r>
    <r>
      <rPr>
        <sz val="10"/>
        <color indexed="12"/>
        <rFont val="Arial"/>
        <family val="0"/>
      </rPr>
      <t xml:space="preserve"> / Fub</t>
    </r>
  </si>
  <si>
    <r>
      <t>tmin = 6.19*16*kw*</t>
    </r>
    <r>
      <rPr>
        <sz val="10"/>
        <rFont val="Symbol"/>
        <family val="1"/>
      </rPr>
      <t>w</t>
    </r>
    <r>
      <rPr>
        <sz val="10"/>
        <rFont val="Arial"/>
        <family val="0"/>
      </rPr>
      <t xml:space="preserve"> / Fub</t>
    </r>
  </si>
  <si>
    <r>
      <t>tmin = 6.19*16*kw*</t>
    </r>
    <r>
      <rPr>
        <sz val="10"/>
        <color indexed="12"/>
        <rFont val="Symbol"/>
        <family val="1"/>
      </rPr>
      <t>w</t>
    </r>
    <r>
      <rPr>
        <sz val="10"/>
        <color indexed="12"/>
        <rFont val="Arial"/>
        <family val="0"/>
      </rPr>
      <t xml:space="preserve"> / Fub</t>
    </r>
  </si>
  <si>
    <t>Using Shear End Plate Field Bolted to Column Web and Shop Welded to Beam Web</t>
  </si>
  <si>
    <t>Shear Plate Width at Girder, Lc =</t>
  </si>
  <si>
    <t>Fug =</t>
  </si>
  <si>
    <r>
      <t>tp(req'd) = SQRT(6.66*T*b'/(p*Fup*(1+</t>
    </r>
    <r>
      <rPr>
        <sz val="10"/>
        <color indexed="12"/>
        <rFont val="Symbol"/>
        <family val="1"/>
      </rPr>
      <t>d</t>
    </r>
    <r>
      <rPr>
        <sz val="10"/>
        <color indexed="12"/>
        <rFont val="Arial"/>
        <family val="0"/>
      </rPr>
      <t>*</t>
    </r>
    <r>
      <rPr>
        <sz val="10"/>
        <color indexed="12"/>
        <rFont val="Symbol"/>
        <family val="1"/>
      </rPr>
      <t>a</t>
    </r>
    <r>
      <rPr>
        <sz val="10"/>
        <color indexed="12"/>
        <rFont val="Arial"/>
        <family val="0"/>
      </rPr>
      <t>')))</t>
    </r>
  </si>
  <si>
    <r>
      <t>tp(req'd) = SQRT(6.66*T*b'/(p*Fup*(1+</t>
    </r>
    <r>
      <rPr>
        <sz val="10"/>
        <rFont val="Symbol"/>
        <family val="1"/>
      </rPr>
      <t>d</t>
    </r>
    <r>
      <rPr>
        <sz val="10"/>
        <rFont val="Arial"/>
        <family val="0"/>
      </rPr>
      <t>*</t>
    </r>
    <r>
      <rPr>
        <sz val="10"/>
        <rFont val="Symbol"/>
        <family val="1"/>
      </rPr>
      <t>a</t>
    </r>
    <r>
      <rPr>
        <sz val="10"/>
        <rFont val="Arial"/>
        <family val="0"/>
      </rPr>
      <t>')))</t>
    </r>
  </si>
  <si>
    <r>
      <t xml:space="preserve">If  </t>
    </r>
    <r>
      <rPr>
        <sz val="10"/>
        <rFont val="Symbol"/>
        <family val="1"/>
      </rPr>
      <t>a</t>
    </r>
    <r>
      <rPr>
        <sz val="10"/>
        <rFont val="Arial"/>
        <family val="0"/>
      </rPr>
      <t>' &gt;1: Ra = Nb*B*(tp/tc)^2*(1+</t>
    </r>
    <r>
      <rPr>
        <sz val="10"/>
        <rFont val="Symbol"/>
        <family val="1"/>
      </rPr>
      <t>d</t>
    </r>
    <r>
      <rPr>
        <sz val="10"/>
        <rFont val="Arial"/>
        <family val="0"/>
      </rPr>
      <t xml:space="preserve">) ,  If  </t>
    </r>
    <r>
      <rPr>
        <sz val="10"/>
        <rFont val="Symbol"/>
        <family val="1"/>
      </rPr>
      <t>a</t>
    </r>
    <r>
      <rPr>
        <sz val="10"/>
        <rFont val="Arial"/>
        <family val="0"/>
      </rPr>
      <t>' &lt; 0: Ra = Nb*B</t>
    </r>
  </si>
  <si>
    <r>
      <t xml:space="preserve">If  0 &lt;= </t>
    </r>
    <r>
      <rPr>
        <sz val="10"/>
        <rFont val="Symbol"/>
        <family val="1"/>
      </rPr>
      <t>a</t>
    </r>
    <r>
      <rPr>
        <sz val="10"/>
        <rFont val="Arial"/>
        <family val="0"/>
      </rPr>
      <t>' &lt;= 1: Ra = Nb*B*(tp/tc)^2*(1+</t>
    </r>
    <r>
      <rPr>
        <sz val="10"/>
        <rFont val="Symbol"/>
        <family val="1"/>
      </rPr>
      <t>d</t>
    </r>
    <r>
      <rPr>
        <sz val="10"/>
        <rFont val="Arial"/>
        <family val="0"/>
      </rPr>
      <t>*</t>
    </r>
    <r>
      <rPr>
        <sz val="10"/>
        <rFont val="Symbol"/>
        <family val="1"/>
      </rPr>
      <t>a</t>
    </r>
    <r>
      <rPr>
        <sz val="10"/>
        <rFont val="Arial"/>
        <family val="0"/>
      </rPr>
      <t xml:space="preserve">')  </t>
    </r>
  </si>
  <si>
    <r>
      <t>a</t>
    </r>
    <r>
      <rPr>
        <sz val="10"/>
        <color indexed="12"/>
        <rFont val="Arial"/>
        <family val="0"/>
      </rPr>
      <t>' = 1/(</t>
    </r>
    <r>
      <rPr>
        <sz val="10"/>
        <color indexed="12"/>
        <rFont val="Symbol"/>
        <family val="1"/>
      </rPr>
      <t>d</t>
    </r>
    <r>
      <rPr>
        <sz val="10"/>
        <color indexed="12"/>
        <rFont val="Arial"/>
        <family val="0"/>
      </rPr>
      <t>*(1+</t>
    </r>
    <r>
      <rPr>
        <sz val="10"/>
        <color indexed="12"/>
        <rFont val="Symbol"/>
        <family val="1"/>
      </rPr>
      <t>r</t>
    </r>
    <r>
      <rPr>
        <sz val="10"/>
        <color indexed="12"/>
        <rFont val="Arial"/>
        <family val="0"/>
      </rPr>
      <t>))*((tc/tp)^2-1)</t>
    </r>
  </si>
  <si>
    <t>Using Shear End Plate Field Bolted to Girder Web and Shop Welded to Beam Web</t>
  </si>
  <si>
    <r>
      <t>a</t>
    </r>
    <r>
      <rPr>
        <sz val="10"/>
        <rFont val="Arial"/>
        <family val="0"/>
      </rPr>
      <t>' = 1/(</t>
    </r>
    <r>
      <rPr>
        <sz val="10"/>
        <rFont val="Symbol"/>
        <family val="1"/>
      </rPr>
      <t>d</t>
    </r>
    <r>
      <rPr>
        <sz val="10"/>
        <rFont val="Arial"/>
        <family val="0"/>
      </rPr>
      <t>*(1+</t>
    </r>
    <r>
      <rPr>
        <sz val="10"/>
        <rFont val="Symbol"/>
        <family val="1"/>
      </rPr>
      <t>r</t>
    </r>
    <r>
      <rPr>
        <sz val="10"/>
        <rFont val="Arial"/>
        <family val="0"/>
      </rPr>
      <t>))*((tc/tp)^2-1)</t>
    </r>
  </si>
  <si>
    <r>
      <t xml:space="preserve">kw = 1 + 0.5*(sin </t>
    </r>
    <r>
      <rPr>
        <sz val="10"/>
        <rFont val="Symbol"/>
        <family val="1"/>
      </rPr>
      <t>q</t>
    </r>
    <r>
      <rPr>
        <sz val="10"/>
        <rFont val="Arial"/>
        <family val="0"/>
      </rPr>
      <t>)^1.5, AISC Eqn. J2-5</t>
    </r>
  </si>
  <si>
    <r>
      <t>w</t>
    </r>
    <r>
      <rPr>
        <sz val="10"/>
        <rFont val="Arial"/>
        <family val="2"/>
      </rPr>
      <t>(min)</t>
    </r>
    <r>
      <rPr>
        <sz val="10"/>
        <rFont val="Arial"/>
        <family val="0"/>
      </rPr>
      <t xml:space="preserve"> = Min. fillet weld size from AISC Table J2.4, page 16.1-96</t>
    </r>
  </si>
  <si>
    <t>Rpc = (1/2)*(2.4*Fu*twg*db*Nb)</t>
  </si>
  <si>
    <t>At Shapes</t>
  </si>
  <si>
    <t>dh2 = Nominal hole dimensions from Table J3.3 (in col. web)</t>
  </si>
  <si>
    <t>dh2 = Nominal hole dimensions from Table J3.3 (in girder web)</t>
  </si>
  <si>
    <t>Rtn = (0.60*Fyb*Atg)</t>
  </si>
  <si>
    <t>Rvn = not applicable for uncoped beam</t>
  </si>
  <si>
    <t>Avn = not applicable for uncoped beam</t>
  </si>
  <si>
    <t>Version 1.1</t>
  </si>
  <si>
    <t/>
  </si>
  <si>
    <t>C15X50</t>
  </si>
  <si>
    <t>C15X40</t>
  </si>
  <si>
    <t>C15X33.9</t>
  </si>
  <si>
    <t>C12X30</t>
  </si>
  <si>
    <t>C12X25</t>
  </si>
  <si>
    <t>C12X20.7</t>
  </si>
  <si>
    <t>C10X30</t>
  </si>
  <si>
    <t>C10X25</t>
  </si>
  <si>
    <t>C10X20</t>
  </si>
  <si>
    <t>C10X15.3</t>
  </si>
  <si>
    <t>C9X20</t>
  </si>
  <si>
    <t>C9X15</t>
  </si>
  <si>
    <t>C9X13.4</t>
  </si>
  <si>
    <t>C8X18.75</t>
  </si>
  <si>
    <t>C8X13.7</t>
  </si>
  <si>
    <t>C8X11.5</t>
  </si>
  <si>
    <t>C7X14.7</t>
  </si>
  <si>
    <t>C7X12.2</t>
  </si>
  <si>
    <t>C7X9.8</t>
  </si>
  <si>
    <t>C6X13</t>
  </si>
  <si>
    <t>C6X10.5</t>
  </si>
  <si>
    <t>C6X8.2</t>
  </si>
  <si>
    <t>C5X9</t>
  </si>
  <si>
    <t>C5X6.7</t>
  </si>
  <si>
    <t>C4X7.2</t>
  </si>
  <si>
    <t>C4X5.4</t>
  </si>
  <si>
    <t>C4X4.5</t>
  </si>
  <si>
    <t>C3X6</t>
  </si>
  <si>
    <t>C3X5</t>
  </si>
  <si>
    <t>C3X4.1</t>
  </si>
  <si>
    <t>C3X3.5</t>
  </si>
  <si>
    <t>MC18X58</t>
  </si>
  <si>
    <t>MC18X51.9</t>
  </si>
  <si>
    <t>MC18X45.8</t>
  </si>
  <si>
    <t>MC18X42.7</t>
  </si>
  <si>
    <t>MC13X50</t>
  </si>
  <si>
    <t>MC13X40</t>
  </si>
  <si>
    <t>MC13X35</t>
  </si>
  <si>
    <t>MC13X31.8</t>
  </si>
  <si>
    <t>MC12X50</t>
  </si>
  <si>
    <t>MC12X45</t>
  </si>
  <si>
    <t>MC12X40</t>
  </si>
  <si>
    <t>MC12X35</t>
  </si>
  <si>
    <t>MC12X31</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</si>
  <si>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</si>
  <si>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</si>
  <si>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</si>
  <si>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</si>
  <si>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</si>
  <si>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</si>
  <si>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</si>
  <si>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</si>
  <si>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</si>
  <si>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</si>
  <si>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</si>
  <si>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</si>
  <si>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</si>
  <si>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</si>
  <si>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</si>
  <si>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</si>
  <si>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</si>
  <si>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</si>
  <si>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</si>
  <si>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</si>
  <si>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</si>
  <si>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</si>
  <si>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</si>
  <si>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</si>
  <si>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</si>
  <si>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</si>
  <si>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Fbc = (1/2)*Fub*(1-P/(0.60*Fy*Atn))</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</si>
</sst>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quot;$&quot;#,##0\ ;\(&quot;$&quot;#,##0\)"/>
    <numFmt numFmtId="168" formatCode="mm/dd/yyyy"/>
    <numFmt numFmtId="169" formatCode="m/d/yy\ h:mm\ AM/PM"/>
    <numFmt numFmtId="170" formatCode="#\ ?/16\ &quot;in.&quot;"/>
    <numFmt numFmtId="171" formatCode="0.000E+00"/>
    <numFmt numFmtId="172" formatCode="0.00000"/>
    <numFmt numFmtId="173" formatCode="0.000_)"/>
    <numFmt numFmtId="174" formatCode=".00"/>
    <numFmt numFmtId="175" formatCode="[$-409]dddd\,\ mmmm\ dd\,\ yyyy"/>
    <numFmt numFmtId="176" formatCode="0.0000000"/>
    <numFmt numFmtId="177" formatCode="0.000000"/>
    <numFmt numFmtId="178" formatCode="0.00000000"/>
    <numFmt numFmtId="179" formatCode="0.000000000"/>
    <numFmt numFmtId="180" formatCode="00000"/>
    <numFmt numFmtId="181" formatCode="0.0000000000"/>
    <numFmt numFmtId="182" formatCode="0.000000000000"/>
    <numFmt numFmtId="183" formatCode="0.00000000000000000"/>
    <numFmt numFmtId="184" formatCode="0.0000000000000000"/>
    <numFmt numFmtId="185" formatCode="0.000000000000000000"/>
    <numFmt numFmtId="186" formatCode="0.0000000000000000000"/>
    <numFmt numFmtId="187" formatCode="0.000000000000000"/>
    <numFmt numFmtId="188" formatCode="0.00000000000000"/>
    <numFmt numFmtId="189" formatCode="0.0000000000000"/>
    <numFmt numFmtId="190" formatCode="0.00000000000"/>
    <numFmt numFmtId="191" formatCode="&quot;$&quot;#,##0\ ;[Red]\(&quot;$&quot;#,##0\)"/>
    <numFmt numFmtId="192" formatCode="&quot;$&quot;#,##0.00\ ;\(&quot;$&quot;#,##0.00\)"/>
    <numFmt numFmtId="193" formatCode="&quot;$&quot;#,##0.00\ ;[Red]\(&quot;$&quot;#,##0.00\)"/>
    <numFmt numFmtId="194" formatCode="m/d"/>
    <numFmt numFmtId="195" formatCode="mm/dd/yy"/>
    <numFmt numFmtId="196" formatCode="dd\-mmm\-yy"/>
    <numFmt numFmtId="197" formatCode="dd\-mmm"/>
    <numFmt numFmtId="198" formatCode="mm/dd/yy\ h:mm"/>
    <numFmt numFmtId="199" formatCode="0.0000E+00"/>
    <numFmt numFmtId="200" formatCode="0.00_)"/>
    <numFmt numFmtId="201" formatCode="0;[Red]0"/>
    <numFmt numFmtId="202" formatCode="#\ ?/4"/>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0\ &quot;ksi&quot;"/>
    <numFmt numFmtId="212" formatCode="#\ ?/8"/>
    <numFmt numFmtId="213" formatCode="#\ ?/8\ &quot;in.&quot;"/>
    <numFmt numFmtId="214" formatCode="#\ ?/2\ &quot;in.&quot;"/>
    <numFmt numFmtId="215" formatCode="#\ ?/4\ &quot;in.&quot;"/>
    <numFmt numFmtId="216" formatCode="0\ &quot;in.&quot;"/>
    <numFmt numFmtId="217" formatCode="_(* #,##0.000_);_(* \(#,##0.000\);_(* &quot;-&quot;??_);_(@_)"/>
    <numFmt numFmtId="218" formatCode="0.0%"/>
    <numFmt numFmtId="219" formatCode="&quot;k =&quot;\ 0.000"/>
  </numFmts>
  <fonts count="55">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0"/>
    </font>
    <font>
      <sz val="10"/>
      <color indexed="24"/>
      <name val="Arial"/>
      <family val="0"/>
    </font>
    <font>
      <b/>
      <sz val="18"/>
      <color indexed="24"/>
      <name val="Arial"/>
      <family val="0"/>
    </font>
    <font>
      <b/>
      <sz val="12"/>
      <color indexed="24"/>
      <name val="Arial"/>
      <family val="0"/>
    </font>
    <font>
      <sz val="10"/>
      <color indexed="12"/>
      <name val="Symbol"/>
      <family val="1"/>
    </font>
    <font>
      <u val="single"/>
      <sz val="10"/>
      <name val="Arial"/>
      <family val="2"/>
    </font>
    <font>
      <sz val="10"/>
      <color indexed="10"/>
      <name val="Arial"/>
      <family val="2"/>
    </font>
    <font>
      <sz val="8"/>
      <color indexed="12"/>
      <name val="Arial"/>
      <family val="2"/>
    </font>
    <font>
      <sz val="10"/>
      <color indexed="43"/>
      <name val="Arial"/>
      <family val="2"/>
    </font>
    <font>
      <b/>
      <sz val="8"/>
      <name val="Tahoma"/>
      <family val="0"/>
    </font>
    <font>
      <u val="single"/>
      <sz val="8"/>
      <name val="Tahoma"/>
      <family val="2"/>
    </font>
    <font>
      <b/>
      <u val="single"/>
      <sz val="8"/>
      <name val="Tahoma"/>
      <family val="2"/>
    </font>
    <font>
      <sz val="9"/>
      <color indexed="12"/>
      <name val="Arial"/>
      <family val="2"/>
    </font>
    <font>
      <b/>
      <u val="single"/>
      <sz val="10"/>
      <color indexed="12"/>
      <name val="Arial"/>
      <family val="2"/>
    </font>
    <font>
      <sz val="9"/>
      <color indexed="12"/>
      <name val="Symbol"/>
      <family val="1"/>
    </font>
    <font>
      <sz val="8"/>
      <name val="Arial"/>
      <family val="2"/>
    </font>
    <font>
      <b/>
      <i/>
      <sz val="9"/>
      <color indexed="12"/>
      <name val="Arial"/>
      <family val="2"/>
    </font>
    <font>
      <b/>
      <sz val="8"/>
      <color indexed="8"/>
      <name val="Arial"/>
      <family val="2"/>
    </font>
    <font>
      <u val="single"/>
      <sz val="10"/>
      <color indexed="36"/>
      <name val="Arial"/>
      <family val="0"/>
    </font>
    <font>
      <u val="single"/>
      <sz val="10"/>
      <color indexed="9"/>
      <name val="Arial"/>
      <family val="2"/>
    </font>
    <font>
      <b/>
      <u val="single"/>
      <sz val="12"/>
      <name val="Arial"/>
      <family val="2"/>
    </font>
    <font>
      <sz val="9"/>
      <name val="Arial"/>
      <family val="2"/>
    </font>
    <font>
      <b/>
      <sz val="9"/>
      <name val="Arial"/>
      <family val="2"/>
    </font>
    <font>
      <sz val="9"/>
      <color indexed="8"/>
      <name val="Arial"/>
      <family val="2"/>
    </font>
    <font>
      <u val="single"/>
      <sz val="10"/>
      <color indexed="10"/>
      <name val="Arial"/>
      <family val="0"/>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0" fontId="4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0" fontId="46" fillId="0" borderId="0" applyNumberFormat="0" applyFill="0" applyBorder="0" applyAlignment="0" applyProtection="0"/>
    <xf numFmtId="2" fontId="15" fillId="0" borderId="0" applyFont="0" applyFill="0" applyBorder="0" applyAlignment="0" applyProtection="0"/>
    <xf numFmtId="0" fontId="32" fillId="0" borderId="0" applyNumberFormat="0" applyFill="0" applyBorder="0" applyAlignment="0" applyProtection="0"/>
    <xf numFmtId="0" fontId="47" fillId="4"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8" fillId="0" borderId="3"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7" borderId="1" applyNumberFormat="0" applyAlignment="0" applyProtection="0"/>
    <xf numFmtId="0" fontId="50" fillId="0" borderId="4" applyNumberFormat="0" applyFill="0" applyAlignment="0" applyProtection="0"/>
    <xf numFmtId="0" fontId="51" fillId="22" borderId="0" applyNumberFormat="0" applyBorder="0" applyAlignment="0" applyProtection="0"/>
    <xf numFmtId="0" fontId="0" fillId="23" borderId="5" applyNumberFormat="0" applyFont="0" applyAlignment="0" applyProtection="0"/>
    <xf numFmtId="0" fontId="52" fillId="20" borderId="6"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15" fillId="0" borderId="7" applyNumberFormat="0" applyFont="0" applyFill="0" applyAlignment="0" applyProtection="0"/>
    <xf numFmtId="0" fontId="54" fillId="0" borderId="0" applyNumberFormat="0" applyFill="0" applyBorder="0" applyAlignment="0" applyProtection="0"/>
  </cellStyleXfs>
  <cellXfs count="385">
    <xf numFmtId="0" fontId="0" fillId="0" borderId="0" xfId="0" applyAlignment="1">
      <alignment/>
    </xf>
    <xf numFmtId="0" fontId="0" fillId="24" borderId="0" xfId="0" applyFill="1" applyBorder="1" applyAlignment="1" applyProtection="1">
      <alignment horizontal="centerContinuous"/>
      <protection hidden="1"/>
    </xf>
    <xf numFmtId="2" fontId="5" fillId="24" borderId="0" xfId="0" applyNumberFormat="1" applyFont="1" applyFill="1" applyBorder="1" applyAlignment="1" applyProtection="1">
      <alignment horizontal="center"/>
      <protection hidden="1"/>
    </xf>
    <xf numFmtId="2" fontId="8" fillId="24" borderId="0" xfId="0" applyNumberFormat="1" applyFont="1" applyFill="1" applyBorder="1" applyAlignment="1" applyProtection="1">
      <alignment horizontal="center"/>
      <protection hidden="1"/>
    </xf>
    <xf numFmtId="2" fontId="8" fillId="24" borderId="0" xfId="0" applyNumberFormat="1" applyFont="1" applyFill="1" applyBorder="1" applyAlignment="1" applyProtection="1">
      <alignment horizontal="left"/>
      <protection hidden="1"/>
    </xf>
    <xf numFmtId="166" fontId="5" fillId="24" borderId="0" xfId="0" applyNumberFormat="1" applyFont="1" applyFill="1" applyBorder="1" applyAlignment="1" applyProtection="1">
      <alignment horizontal="center"/>
      <protection hidden="1"/>
    </xf>
    <xf numFmtId="0" fontId="8" fillId="24" borderId="0" xfId="0" applyFont="1" applyFill="1" applyBorder="1" applyAlignment="1" applyProtection="1">
      <alignment horizontal="center"/>
      <protection hidden="1"/>
    </xf>
    <xf numFmtId="165" fontId="5" fillId="24" borderId="0" xfId="0" applyNumberFormat="1" applyFont="1" applyFill="1" applyBorder="1" applyAlignment="1" applyProtection="1">
      <alignment horizontal="center"/>
      <protection hidden="1"/>
    </xf>
    <xf numFmtId="0" fontId="0" fillId="24" borderId="0" xfId="0" applyFill="1" applyAlignment="1" applyProtection="1">
      <alignment/>
      <protection hidden="1"/>
    </xf>
    <xf numFmtId="0" fontId="0" fillId="24" borderId="0" xfId="0" applyFill="1" applyBorder="1" applyAlignment="1" applyProtection="1">
      <alignment/>
      <protection hidden="1"/>
    </xf>
    <xf numFmtId="0" fontId="9" fillId="24" borderId="8" xfId="0" applyFont="1" applyFill="1" applyBorder="1" applyAlignment="1" applyProtection="1">
      <alignment/>
      <protection hidden="1"/>
    </xf>
    <xf numFmtId="0" fontId="0" fillId="24" borderId="9" xfId="0" applyFill="1" applyBorder="1" applyAlignment="1" applyProtection="1">
      <alignment horizontal="centerContinuous"/>
      <protection hidden="1"/>
    </xf>
    <xf numFmtId="0" fontId="26" fillId="24" borderId="0" xfId="0" applyFont="1" applyFill="1" applyBorder="1" applyAlignment="1" applyProtection="1">
      <alignment/>
      <protection hidden="1"/>
    </xf>
    <xf numFmtId="0" fontId="0" fillId="24" borderId="9" xfId="0" applyFill="1" applyBorder="1" applyAlignment="1" applyProtection="1">
      <alignment/>
      <protection hidden="1"/>
    </xf>
    <xf numFmtId="0" fontId="26" fillId="24" borderId="0" xfId="0" applyFont="1" applyFill="1" applyBorder="1" applyAlignment="1" applyProtection="1">
      <alignment horizontal="left"/>
      <protection hidden="1"/>
    </xf>
    <xf numFmtId="0" fontId="0" fillId="24" borderId="0" xfId="0" applyFill="1" applyAlignment="1" applyProtection="1">
      <alignment horizontal="center"/>
      <protection hidden="1"/>
    </xf>
    <xf numFmtId="0" fontId="0" fillId="24" borderId="10" xfId="0" applyFill="1" applyBorder="1" applyAlignment="1" applyProtection="1">
      <alignment/>
      <protection hidden="1"/>
    </xf>
    <xf numFmtId="0" fontId="0" fillId="24" borderId="11" xfId="0" applyFill="1" applyBorder="1" applyAlignment="1" applyProtection="1">
      <alignment/>
      <protection hidden="1"/>
    </xf>
    <xf numFmtId="0" fontId="0" fillId="24" borderId="8" xfId="0" applyFill="1" applyBorder="1" applyAlignment="1" applyProtection="1">
      <alignment/>
      <protection hidden="1"/>
    </xf>
    <xf numFmtId="0" fontId="0" fillId="24" borderId="12" xfId="0" applyFill="1" applyBorder="1" applyAlignment="1" applyProtection="1">
      <alignment/>
      <protection hidden="1"/>
    </xf>
    <xf numFmtId="0" fontId="0" fillId="24" borderId="13" xfId="0" applyFill="1" applyBorder="1" applyAlignment="1" applyProtection="1">
      <alignment/>
      <protection hidden="1"/>
    </xf>
    <xf numFmtId="0" fontId="0" fillId="24" borderId="0" xfId="0" applyFont="1" applyFill="1" applyBorder="1" applyAlignment="1" applyProtection="1">
      <alignment horizontal="centerContinuous"/>
      <protection hidden="1"/>
    </xf>
    <xf numFmtId="0" fontId="5" fillId="24" borderId="0" xfId="0" applyFont="1" applyFill="1" applyBorder="1" applyAlignment="1" applyProtection="1">
      <alignment/>
      <protection hidden="1"/>
    </xf>
    <xf numFmtId="0" fontId="0" fillId="24" borderId="0" xfId="0" applyFont="1" applyFill="1" applyBorder="1" applyAlignment="1" applyProtection="1">
      <alignment/>
      <protection hidden="1"/>
    </xf>
    <xf numFmtId="0" fontId="5" fillId="24" borderId="0" xfId="0" applyFont="1" applyFill="1" applyBorder="1" applyAlignment="1" applyProtection="1">
      <alignment/>
      <protection hidden="1"/>
    </xf>
    <xf numFmtId="0" fontId="5" fillId="24" borderId="0" xfId="0" applyFont="1" applyFill="1" applyBorder="1" applyAlignment="1" applyProtection="1">
      <alignment horizontal="center"/>
      <protection hidden="1"/>
    </xf>
    <xf numFmtId="0" fontId="5" fillId="24" borderId="9" xfId="0" applyFont="1" applyFill="1" applyBorder="1" applyAlignment="1" applyProtection="1">
      <alignment/>
      <protection hidden="1"/>
    </xf>
    <xf numFmtId="0" fontId="26" fillId="24" borderId="0" xfId="0" applyFont="1" applyFill="1" applyBorder="1" applyAlignment="1" applyProtection="1">
      <alignment/>
      <protection hidden="1"/>
    </xf>
    <xf numFmtId="0" fontId="5" fillId="24" borderId="0" xfId="0" applyFont="1" applyFill="1" applyAlignment="1" applyProtection="1">
      <alignment/>
      <protection hidden="1"/>
    </xf>
    <xf numFmtId="0" fontId="3" fillId="24" borderId="0" xfId="0" applyFont="1" applyFill="1" applyBorder="1" applyAlignment="1" applyProtection="1">
      <alignment/>
      <protection hidden="1"/>
    </xf>
    <xf numFmtId="0" fontId="5" fillId="24" borderId="0" xfId="0" applyFont="1" applyFill="1" applyAlignment="1" applyProtection="1">
      <alignment horizontal="left"/>
      <protection hidden="1"/>
    </xf>
    <xf numFmtId="0" fontId="27" fillId="24" borderId="0" xfId="0" applyFont="1" applyFill="1" applyAlignment="1" applyProtection="1">
      <alignment/>
      <protection hidden="1"/>
    </xf>
    <xf numFmtId="0" fontId="5" fillId="24" borderId="0" xfId="0" applyFont="1" applyFill="1" applyAlignment="1" applyProtection="1">
      <alignment horizontal="right"/>
      <protection hidden="1"/>
    </xf>
    <xf numFmtId="0" fontId="5" fillId="24" borderId="0" xfId="0" applyFont="1" applyFill="1" applyAlignment="1" applyProtection="1">
      <alignment horizontal="center"/>
      <protection hidden="1"/>
    </xf>
    <xf numFmtId="0" fontId="8" fillId="24" borderId="0" xfId="0" applyFont="1" applyFill="1" applyAlignment="1" applyProtection="1">
      <alignment horizontal="center"/>
      <protection hidden="1"/>
    </xf>
    <xf numFmtId="0" fontId="6" fillId="24" borderId="0" xfId="0" applyFont="1" applyFill="1" applyAlignment="1" applyProtection="1">
      <alignment horizontal="center"/>
      <protection hidden="1"/>
    </xf>
    <xf numFmtId="0" fontId="5" fillId="24" borderId="0" xfId="0" applyFont="1" applyFill="1" applyBorder="1" applyAlignment="1" applyProtection="1">
      <alignment/>
      <protection hidden="1"/>
    </xf>
    <xf numFmtId="0" fontId="5" fillId="24" borderId="0" xfId="0" applyFont="1" applyFill="1" applyAlignment="1" applyProtection="1">
      <alignment horizontal="left"/>
      <protection hidden="1"/>
    </xf>
    <xf numFmtId="166" fontId="5" fillId="24" borderId="0" xfId="0" applyNumberFormat="1" applyFont="1" applyFill="1" applyAlignment="1" applyProtection="1">
      <alignment horizontal="center"/>
      <protection hidden="1"/>
    </xf>
    <xf numFmtId="0" fontId="5" fillId="24" borderId="0" xfId="0" applyNumberFormat="1" applyFont="1" applyFill="1" applyAlignment="1" applyProtection="1">
      <alignment horizontal="center"/>
      <protection hidden="1"/>
    </xf>
    <xf numFmtId="2" fontId="5" fillId="24" borderId="0" xfId="0" applyNumberFormat="1" applyFont="1" applyFill="1" applyAlignment="1" applyProtection="1">
      <alignment horizontal="center"/>
      <protection hidden="1"/>
    </xf>
    <xf numFmtId="166" fontId="5" fillId="24" borderId="0" xfId="0" applyNumberFormat="1" applyFont="1" applyFill="1" applyAlignment="1" applyProtection="1">
      <alignment/>
      <protection hidden="1"/>
    </xf>
    <xf numFmtId="166" fontId="5" fillId="24" borderId="0" xfId="0" applyNumberFormat="1" applyFont="1" applyFill="1" applyAlignment="1" applyProtection="1">
      <alignment horizontal="center"/>
      <protection hidden="1"/>
    </xf>
    <xf numFmtId="0" fontId="0" fillId="24" borderId="0" xfId="0" applyFill="1" applyBorder="1" applyAlignment="1" applyProtection="1">
      <alignment horizontal="right"/>
      <protection hidden="1"/>
    </xf>
    <xf numFmtId="0" fontId="8" fillId="24" borderId="0" xfId="0" applyFont="1" applyFill="1" applyBorder="1" applyAlignment="1" applyProtection="1">
      <alignment/>
      <protection hidden="1"/>
    </xf>
    <xf numFmtId="0" fontId="8" fillId="24" borderId="9" xfId="0" applyFont="1" applyFill="1" applyBorder="1" applyAlignment="1" applyProtection="1">
      <alignment/>
      <protection hidden="1"/>
    </xf>
    <xf numFmtId="166" fontId="8" fillId="24" borderId="0" xfId="0" applyNumberFormat="1" applyFont="1" applyFill="1" applyBorder="1" applyAlignment="1" applyProtection="1">
      <alignment horizontal="center"/>
      <protection hidden="1"/>
    </xf>
    <xf numFmtId="0" fontId="5" fillId="24" borderId="0" xfId="0" applyFont="1" applyFill="1" applyBorder="1" applyAlignment="1" applyProtection="1">
      <alignment horizontal="left"/>
      <protection hidden="1"/>
    </xf>
    <xf numFmtId="0" fontId="19" fillId="24" borderId="8" xfId="0" applyFont="1" applyFill="1" applyBorder="1" applyAlignment="1" applyProtection="1">
      <alignment/>
      <protection hidden="1"/>
    </xf>
    <xf numFmtId="0" fontId="5" fillId="24" borderId="0" xfId="0" applyFont="1" applyFill="1" applyAlignment="1" applyProtection="1">
      <alignment horizontal="right"/>
      <protection hidden="1"/>
    </xf>
    <xf numFmtId="0" fontId="0" fillId="24" borderId="8" xfId="0" applyFont="1" applyFill="1" applyBorder="1" applyAlignment="1" applyProtection="1">
      <alignment horizontal="right"/>
      <protection hidden="1"/>
    </xf>
    <xf numFmtId="0" fontId="8" fillId="24" borderId="0" xfId="0" applyFont="1" applyFill="1" applyBorder="1" applyAlignment="1" applyProtection="1">
      <alignment horizontal="left"/>
      <protection hidden="1"/>
    </xf>
    <xf numFmtId="0" fontId="2" fillId="24" borderId="8" xfId="0" applyFont="1" applyFill="1" applyBorder="1" applyAlignment="1" applyProtection="1">
      <alignment horizontal="left"/>
      <protection hidden="1"/>
    </xf>
    <xf numFmtId="0" fontId="8" fillId="24" borderId="9" xfId="0" applyFont="1" applyFill="1" applyBorder="1" applyAlignment="1" applyProtection="1">
      <alignment/>
      <protection hidden="1"/>
    </xf>
    <xf numFmtId="0" fontId="8" fillId="24" borderId="0" xfId="0" applyFont="1" applyFill="1" applyBorder="1" applyAlignment="1" applyProtection="1">
      <alignment/>
      <protection hidden="1"/>
    </xf>
    <xf numFmtId="0" fontId="10" fillId="24" borderId="0" xfId="0" applyFont="1" applyFill="1" applyBorder="1" applyAlignment="1" applyProtection="1">
      <alignment horizontal="left"/>
      <protection hidden="1"/>
    </xf>
    <xf numFmtId="0" fontId="5" fillId="24" borderId="0" xfId="0" applyFont="1" applyFill="1" applyAlignment="1" applyProtection="1">
      <alignment/>
      <protection hidden="1"/>
    </xf>
    <xf numFmtId="0" fontId="8" fillId="24" borderId="0" xfId="0" applyFont="1" applyFill="1" applyBorder="1" applyAlignment="1" applyProtection="1">
      <alignment horizontal="right"/>
      <protection hidden="1"/>
    </xf>
    <xf numFmtId="0" fontId="4" fillId="24" borderId="0" xfId="0" applyFont="1" applyFill="1" applyBorder="1" applyAlignment="1" applyProtection="1">
      <alignment/>
      <protection hidden="1"/>
    </xf>
    <xf numFmtId="0" fontId="5" fillId="24" borderId="0" xfId="0" applyFont="1" applyFill="1" applyBorder="1" applyAlignment="1" applyProtection="1">
      <alignment horizontal="right"/>
      <protection hidden="1"/>
    </xf>
    <xf numFmtId="2" fontId="5" fillId="24" borderId="0" xfId="0" applyNumberFormat="1" applyFont="1" applyFill="1" applyAlignment="1" applyProtection="1">
      <alignment horizontal="center"/>
      <protection hidden="1"/>
    </xf>
    <xf numFmtId="0" fontId="0" fillId="24" borderId="8" xfId="0" applyFill="1" applyBorder="1" applyAlignment="1" applyProtection="1">
      <alignment horizontal="right"/>
      <protection hidden="1"/>
    </xf>
    <xf numFmtId="0" fontId="8" fillId="24" borderId="0" xfId="0" applyFont="1" applyFill="1" applyBorder="1" applyAlignment="1" applyProtection="1">
      <alignment horizontal="left"/>
      <protection hidden="1"/>
    </xf>
    <xf numFmtId="0" fontId="11" fillId="24" borderId="8" xfId="0" applyFont="1" applyFill="1" applyBorder="1" applyAlignment="1" applyProtection="1">
      <alignment/>
      <protection hidden="1"/>
    </xf>
    <xf numFmtId="0" fontId="8" fillId="24" borderId="9" xfId="0" applyFont="1" applyFill="1" applyBorder="1" applyAlignment="1" applyProtection="1">
      <alignment horizontal="centerContinuous"/>
      <protection hidden="1"/>
    </xf>
    <xf numFmtId="0" fontId="8" fillId="24" borderId="9" xfId="0" applyFont="1" applyFill="1" applyBorder="1" applyAlignment="1" applyProtection="1">
      <alignment/>
      <protection hidden="1"/>
    </xf>
    <xf numFmtId="0" fontId="8" fillId="24" borderId="8" xfId="0" applyFont="1" applyFill="1" applyBorder="1" applyAlignment="1" applyProtection="1">
      <alignment horizontal="left"/>
      <protection hidden="1"/>
    </xf>
    <xf numFmtId="0" fontId="8" fillId="24" borderId="0" xfId="0" applyFont="1" applyFill="1" applyBorder="1" applyAlignment="1" applyProtection="1">
      <alignment/>
      <protection hidden="1"/>
    </xf>
    <xf numFmtId="0" fontId="8" fillId="24" borderId="8" xfId="0" applyFont="1" applyFill="1" applyBorder="1" applyAlignment="1" applyProtection="1">
      <alignment horizontal="right"/>
      <protection hidden="1"/>
    </xf>
    <xf numFmtId="165" fontId="5" fillId="24" borderId="0" xfId="0" applyNumberFormat="1" applyFont="1" applyFill="1" applyAlignment="1" applyProtection="1">
      <alignment horizontal="center"/>
      <protection hidden="1"/>
    </xf>
    <xf numFmtId="165" fontId="5" fillId="24" borderId="0" xfId="0" applyNumberFormat="1" applyFont="1" applyFill="1" applyAlignment="1" applyProtection="1">
      <alignment horizontal="center"/>
      <protection hidden="1"/>
    </xf>
    <xf numFmtId="2" fontId="5" fillId="24" borderId="0" xfId="0" applyNumberFormat="1" applyFont="1" applyFill="1" applyBorder="1" applyAlignment="1" applyProtection="1">
      <alignment horizontal="left"/>
      <protection hidden="1"/>
    </xf>
    <xf numFmtId="0" fontId="8" fillId="24" borderId="8" xfId="0" applyFont="1" applyFill="1" applyBorder="1" applyAlignment="1" applyProtection="1">
      <alignment/>
      <protection hidden="1"/>
    </xf>
    <xf numFmtId="0" fontId="18" fillId="24" borderId="0" xfId="0" applyFont="1" applyFill="1" applyAlignment="1" applyProtection="1">
      <alignment horizontal="right"/>
      <protection hidden="1"/>
    </xf>
    <xf numFmtId="0" fontId="18" fillId="24" borderId="0" xfId="0" applyFont="1" applyFill="1" applyAlignment="1" applyProtection="1">
      <alignment horizontal="left"/>
      <protection hidden="1"/>
    </xf>
    <xf numFmtId="0" fontId="8" fillId="24" borderId="0" xfId="0" applyFont="1" applyFill="1" applyBorder="1" applyAlignment="1" applyProtection="1">
      <alignment horizontal="center"/>
      <protection hidden="1"/>
    </xf>
    <xf numFmtId="0" fontId="8" fillId="24" borderId="8" xfId="0" applyFont="1" applyFill="1" applyBorder="1" applyAlignment="1" applyProtection="1">
      <alignment horizontal="right"/>
      <protection hidden="1"/>
    </xf>
    <xf numFmtId="0" fontId="8" fillId="24" borderId="13" xfId="0" applyFont="1" applyFill="1" applyBorder="1" applyAlignment="1" applyProtection="1">
      <alignment/>
      <protection hidden="1"/>
    </xf>
    <xf numFmtId="0" fontId="8" fillId="24" borderId="8" xfId="0" applyFont="1" applyFill="1" applyBorder="1" applyAlignment="1" applyProtection="1">
      <alignment/>
      <protection hidden="1"/>
    </xf>
    <xf numFmtId="0" fontId="4" fillId="24" borderId="0" xfId="0" applyFont="1" applyFill="1" applyBorder="1" applyAlignment="1" applyProtection="1">
      <alignment horizontal="left"/>
      <protection hidden="1"/>
    </xf>
    <xf numFmtId="0" fontId="12" fillId="24" borderId="8" xfId="0" applyFont="1" applyFill="1" applyBorder="1" applyAlignment="1" applyProtection="1">
      <alignment horizontal="right"/>
      <protection hidden="1"/>
    </xf>
    <xf numFmtId="0" fontId="12" fillId="24" borderId="0" xfId="0" applyFont="1" applyFill="1" applyBorder="1" applyAlignment="1" applyProtection="1">
      <alignment horizontal="left"/>
      <protection hidden="1"/>
    </xf>
    <xf numFmtId="166" fontId="5" fillId="24" borderId="0" xfId="0" applyNumberFormat="1" applyFont="1" applyFill="1" applyAlignment="1" applyProtection="1">
      <alignment horizontal="left"/>
      <protection hidden="1"/>
    </xf>
    <xf numFmtId="0" fontId="5" fillId="24" borderId="0" xfId="0" applyFont="1" applyFill="1" applyAlignment="1" applyProtection="1">
      <alignment horizontal="center"/>
      <protection hidden="1"/>
    </xf>
    <xf numFmtId="166" fontId="11" fillId="24" borderId="8" xfId="0" applyNumberFormat="1" applyFont="1" applyFill="1" applyBorder="1" applyAlignment="1" applyProtection="1">
      <alignment horizontal="left"/>
      <protection hidden="1"/>
    </xf>
    <xf numFmtId="0" fontId="8" fillId="24" borderId="0" xfId="0" applyFont="1" applyFill="1" applyBorder="1" applyAlignment="1" applyProtection="1">
      <alignment/>
      <protection hidden="1"/>
    </xf>
    <xf numFmtId="165" fontId="8" fillId="24" borderId="8" xfId="0" applyNumberFormat="1" applyFont="1" applyFill="1" applyBorder="1" applyAlignment="1" applyProtection="1">
      <alignment horizontal="right"/>
      <protection hidden="1"/>
    </xf>
    <xf numFmtId="0" fontId="0" fillId="24" borderId="0" xfId="0" applyFill="1" applyBorder="1" applyAlignment="1" applyProtection="1">
      <alignment horizontal="center"/>
      <protection hidden="1"/>
    </xf>
    <xf numFmtId="166" fontId="8" fillId="24" borderId="0" xfId="0" applyNumberFormat="1" applyFont="1" applyFill="1" applyBorder="1" applyAlignment="1" applyProtection="1">
      <alignment horizontal="left"/>
      <protection hidden="1"/>
    </xf>
    <xf numFmtId="0" fontId="21" fillId="24" borderId="0" xfId="0" applyFont="1" applyFill="1" applyBorder="1" applyAlignment="1" applyProtection="1">
      <alignment horizontal="right"/>
      <protection hidden="1"/>
    </xf>
    <xf numFmtId="0" fontId="5" fillId="24" borderId="0" xfId="0" applyFont="1" applyFill="1" applyBorder="1" applyAlignment="1" applyProtection="1">
      <alignment horizontal="left"/>
      <protection hidden="1"/>
    </xf>
    <xf numFmtId="0" fontId="0" fillId="24" borderId="0" xfId="0" applyFont="1" applyFill="1" applyBorder="1" applyAlignment="1" applyProtection="1">
      <alignment horizontal="right"/>
      <protection hidden="1"/>
    </xf>
    <xf numFmtId="166" fontId="27" fillId="24" borderId="0" xfId="0" applyNumberFormat="1" applyFont="1" applyFill="1" applyBorder="1" applyAlignment="1" applyProtection="1">
      <alignment horizontal="left"/>
      <protection hidden="1"/>
    </xf>
    <xf numFmtId="166" fontId="3" fillId="24" borderId="0" xfId="0" applyNumberFormat="1" applyFont="1" applyFill="1" applyAlignment="1" applyProtection="1">
      <alignment horizontal="left"/>
      <protection hidden="1"/>
    </xf>
    <xf numFmtId="0" fontId="12" fillId="24" borderId="0" xfId="0" applyFont="1" applyFill="1" applyBorder="1" applyAlignment="1" applyProtection="1">
      <alignment/>
      <protection hidden="1"/>
    </xf>
    <xf numFmtId="166" fontId="8" fillId="24" borderId="0" xfId="0" applyNumberFormat="1" applyFont="1" applyFill="1" applyBorder="1" applyAlignment="1" applyProtection="1">
      <alignment/>
      <protection hidden="1"/>
    </xf>
    <xf numFmtId="166" fontId="4" fillId="24" borderId="0" xfId="0" applyNumberFormat="1" applyFont="1" applyFill="1" applyBorder="1" applyAlignment="1" applyProtection="1">
      <alignment horizontal="left"/>
      <protection hidden="1"/>
    </xf>
    <xf numFmtId="0" fontId="10" fillId="24" borderId="0" xfId="0" applyFont="1" applyFill="1" applyBorder="1" applyAlignment="1" applyProtection="1">
      <alignment/>
      <protection hidden="1"/>
    </xf>
    <xf numFmtId="166" fontId="5" fillId="24" borderId="0" xfId="0" applyNumberFormat="1" applyFont="1" applyFill="1" applyBorder="1" applyAlignment="1" applyProtection="1">
      <alignment horizontal="left"/>
      <protection hidden="1"/>
    </xf>
    <xf numFmtId="0" fontId="9" fillId="24" borderId="0" xfId="0" applyFont="1" applyFill="1" applyBorder="1" applyAlignment="1" applyProtection="1">
      <alignment horizontal="centerContinuous"/>
      <protection hidden="1"/>
    </xf>
    <xf numFmtId="0" fontId="0" fillId="24" borderId="9" xfId="0" applyFill="1" applyBorder="1" applyAlignment="1" applyProtection="1">
      <alignment/>
      <protection hidden="1"/>
    </xf>
    <xf numFmtId="0" fontId="5" fillId="24" borderId="0" xfId="0" applyFont="1" applyFill="1" applyBorder="1" applyAlignment="1" applyProtection="1">
      <alignment/>
      <protection locked="0"/>
    </xf>
    <xf numFmtId="0" fontId="6" fillId="24" borderId="0" xfId="0" applyFont="1" applyFill="1" applyBorder="1" applyAlignment="1" applyProtection="1">
      <alignment/>
      <protection locked="0"/>
    </xf>
    <xf numFmtId="0" fontId="20" fillId="24" borderId="0" xfId="0" applyFont="1" applyFill="1" applyAlignment="1" applyProtection="1">
      <alignment/>
      <protection hidden="1"/>
    </xf>
    <xf numFmtId="164" fontId="5" fillId="24" borderId="0" xfId="0" applyNumberFormat="1" applyFont="1" applyFill="1" applyAlignment="1" applyProtection="1">
      <alignment horizontal="center"/>
      <protection hidden="1"/>
    </xf>
    <xf numFmtId="0" fontId="29" fillId="24" borderId="0" xfId="0" applyFont="1" applyFill="1" applyBorder="1" applyAlignment="1" applyProtection="1">
      <alignment horizontal="left"/>
      <protection hidden="1"/>
    </xf>
    <xf numFmtId="0" fontId="29" fillId="24" borderId="0" xfId="0" applyFont="1" applyFill="1" applyBorder="1" applyAlignment="1" applyProtection="1">
      <alignment/>
      <protection hidden="1"/>
    </xf>
    <xf numFmtId="0" fontId="7" fillId="24" borderId="0" xfId="0" applyFont="1" applyFill="1" applyBorder="1" applyAlignment="1" applyProtection="1">
      <alignment horizontal="left"/>
      <protection hidden="1"/>
    </xf>
    <xf numFmtId="164" fontId="5" fillId="24" borderId="0" xfId="0" applyNumberFormat="1" applyFont="1" applyFill="1" applyAlignment="1" applyProtection="1">
      <alignment horizontal="center"/>
      <protection hidden="1"/>
    </xf>
    <xf numFmtId="0" fontId="18" fillId="24" borderId="0" xfId="0" applyFont="1" applyFill="1" applyBorder="1" applyAlignment="1" applyProtection="1">
      <alignment/>
      <protection hidden="1"/>
    </xf>
    <xf numFmtId="13" fontId="5" fillId="24" borderId="0" xfId="0" applyNumberFormat="1" applyFont="1" applyFill="1" applyAlignment="1" applyProtection="1">
      <alignment horizontal="center"/>
      <protection hidden="1"/>
    </xf>
    <xf numFmtId="0" fontId="5" fillId="24" borderId="0" xfId="0" applyFont="1" applyFill="1" applyBorder="1" applyAlignment="1" applyProtection="1">
      <alignment/>
      <protection hidden="1"/>
    </xf>
    <xf numFmtId="0" fontId="7" fillId="24" borderId="0" xfId="0" applyFont="1" applyFill="1" applyBorder="1" applyAlignment="1" applyProtection="1">
      <alignment horizontal="centerContinuous"/>
      <protection hidden="1"/>
    </xf>
    <xf numFmtId="0" fontId="26" fillId="24" borderId="0" xfId="0" applyFont="1" applyFill="1" applyBorder="1" applyAlignment="1" applyProtection="1">
      <alignment horizontal="right"/>
      <protection hidden="1"/>
    </xf>
    <xf numFmtId="0" fontId="21" fillId="24" borderId="0" xfId="0" applyFont="1" applyFill="1" applyBorder="1" applyAlignment="1" applyProtection="1">
      <alignment/>
      <protection hidden="1"/>
    </xf>
    <xf numFmtId="0" fontId="7" fillId="24" borderId="0" xfId="0" applyFont="1" applyFill="1" applyBorder="1" applyAlignment="1" applyProtection="1">
      <alignment/>
      <protection hidden="1"/>
    </xf>
    <xf numFmtId="0" fontId="26" fillId="24" borderId="9" xfId="0" applyFont="1" applyFill="1" applyBorder="1" applyAlignment="1" applyProtection="1">
      <alignment/>
      <protection hidden="1"/>
    </xf>
    <xf numFmtId="1" fontId="7" fillId="24" borderId="0" xfId="0" applyNumberFormat="1" applyFont="1" applyFill="1" applyBorder="1" applyAlignment="1" applyProtection="1">
      <alignment horizontal="left"/>
      <protection hidden="1"/>
    </xf>
    <xf numFmtId="0" fontId="29" fillId="24" borderId="11" xfId="0" applyFont="1" applyFill="1" applyBorder="1" applyAlignment="1" applyProtection="1">
      <alignment/>
      <protection hidden="1"/>
    </xf>
    <xf numFmtId="0" fontId="29" fillId="24" borderId="13" xfId="0" applyFont="1" applyFill="1" applyBorder="1" applyAlignment="1" applyProtection="1">
      <alignment/>
      <protection hidden="1"/>
    </xf>
    <xf numFmtId="166" fontId="6" fillId="24" borderId="0" xfId="0" applyNumberFormat="1" applyFont="1" applyFill="1" applyAlignment="1" applyProtection="1">
      <alignment horizontal="center"/>
      <protection hidden="1"/>
    </xf>
    <xf numFmtId="0" fontId="6" fillId="24" borderId="0" xfId="0" applyFont="1" applyFill="1" applyAlignment="1" applyProtection="1">
      <alignment/>
      <protection hidden="1"/>
    </xf>
    <xf numFmtId="0" fontId="7" fillId="24" borderId="14" xfId="0" applyFont="1" applyFill="1" applyBorder="1" applyAlignment="1" applyProtection="1">
      <alignment horizontal="right"/>
      <protection hidden="1"/>
    </xf>
    <xf numFmtId="0" fontId="7" fillId="24" borderId="0" xfId="0" applyFont="1" applyFill="1" applyBorder="1" applyAlignment="1" applyProtection="1">
      <alignment horizontal="center"/>
      <protection hidden="1"/>
    </xf>
    <xf numFmtId="0" fontId="21" fillId="24" borderId="0" xfId="0" applyFont="1" applyFill="1" applyBorder="1" applyAlignment="1" applyProtection="1">
      <alignment horizontal="center"/>
      <protection hidden="1"/>
    </xf>
    <xf numFmtId="0" fontId="0" fillId="24" borderId="0" xfId="0" applyFill="1" applyAlignment="1" applyProtection="1">
      <alignment horizontal="left"/>
      <protection hidden="1"/>
    </xf>
    <xf numFmtId="0" fontId="26" fillId="24" borderId="9" xfId="0" applyFont="1" applyFill="1" applyBorder="1" applyAlignment="1" applyProtection="1">
      <alignment horizontal="left"/>
      <protection hidden="1"/>
    </xf>
    <xf numFmtId="0" fontId="10" fillId="24" borderId="9" xfId="0" applyFont="1" applyFill="1" applyBorder="1" applyAlignment="1" applyProtection="1">
      <alignment/>
      <protection hidden="1"/>
    </xf>
    <xf numFmtId="0" fontId="26" fillId="24" borderId="9" xfId="0" applyFont="1" applyFill="1" applyBorder="1" applyAlignment="1" applyProtection="1">
      <alignment/>
      <protection hidden="1"/>
    </xf>
    <xf numFmtId="166" fontId="11" fillId="24" borderId="8" xfId="0" applyNumberFormat="1" applyFont="1" applyFill="1" applyBorder="1" applyAlignment="1" applyProtection="1">
      <alignment/>
      <protection hidden="1"/>
    </xf>
    <xf numFmtId="0" fontId="26" fillId="24" borderId="0" xfId="0" applyFont="1" applyFill="1" applyBorder="1" applyAlignment="1" applyProtection="1">
      <alignment horizontal="center"/>
      <protection hidden="1"/>
    </xf>
    <xf numFmtId="0" fontId="5" fillId="24" borderId="9" xfId="0" applyFont="1" applyFill="1" applyBorder="1" applyAlignment="1" applyProtection="1">
      <alignment horizontal="left"/>
      <protection hidden="1"/>
    </xf>
    <xf numFmtId="2" fontId="21" fillId="24" borderId="0" xfId="0" applyNumberFormat="1" applyFont="1" applyFill="1" applyBorder="1" applyAlignment="1" applyProtection="1">
      <alignment horizontal="center"/>
      <protection hidden="1"/>
    </xf>
    <xf numFmtId="0" fontId="21" fillId="24" borderId="0" xfId="0" applyNumberFormat="1" applyFont="1" applyFill="1" applyBorder="1" applyAlignment="1" applyProtection="1">
      <alignment horizontal="center"/>
      <protection hidden="1"/>
    </xf>
    <xf numFmtId="166" fontId="26" fillId="24" borderId="9" xfId="0" applyNumberFormat="1" applyFont="1" applyFill="1" applyBorder="1" applyAlignment="1" applyProtection="1">
      <alignment/>
      <protection hidden="1"/>
    </xf>
    <xf numFmtId="166" fontId="33" fillId="24" borderId="0" xfId="0" applyNumberFormat="1" applyFont="1" applyFill="1" applyAlignment="1" applyProtection="1">
      <alignment horizontal="left"/>
      <protection hidden="1"/>
    </xf>
    <xf numFmtId="0" fontId="22" fillId="24" borderId="0" xfId="0" applyFont="1" applyFill="1" applyBorder="1" applyAlignment="1" applyProtection="1">
      <alignment horizontal="center"/>
      <protection hidden="1"/>
    </xf>
    <xf numFmtId="0" fontId="30" fillId="24" borderId="0" xfId="0" applyFont="1" applyFill="1" applyBorder="1" applyAlignment="1" applyProtection="1">
      <alignment horizontal="right"/>
      <protection hidden="1"/>
    </xf>
    <xf numFmtId="166" fontId="21" fillId="24" borderId="0" xfId="0" applyNumberFormat="1" applyFont="1" applyFill="1" applyBorder="1" applyAlignment="1" applyProtection="1">
      <alignment horizontal="center"/>
      <protection hidden="1"/>
    </xf>
    <xf numFmtId="0" fontId="7" fillId="24" borderId="0" xfId="0" applyNumberFormat="1" applyFont="1" applyFill="1" applyBorder="1" applyAlignment="1" applyProtection="1">
      <alignment horizontal="center"/>
      <protection hidden="1"/>
    </xf>
    <xf numFmtId="13" fontId="5" fillId="24" borderId="0" xfId="0" applyNumberFormat="1" applyFont="1" applyFill="1" applyBorder="1" applyAlignment="1" applyProtection="1">
      <alignment horizontal="center"/>
      <protection hidden="1"/>
    </xf>
    <xf numFmtId="2" fontId="8" fillId="24" borderId="0" xfId="0" applyNumberFormat="1" applyFont="1" applyFill="1" applyBorder="1" applyAlignment="1" applyProtection="1">
      <alignment/>
      <protection hidden="1"/>
    </xf>
    <xf numFmtId="2" fontId="5" fillId="24" borderId="0" xfId="0" applyNumberFormat="1" applyFont="1" applyFill="1" applyAlignment="1" applyProtection="1">
      <alignment horizontal="left"/>
      <protection hidden="1"/>
    </xf>
    <xf numFmtId="0" fontId="8" fillId="24" borderId="12" xfId="0" applyFont="1" applyFill="1" applyBorder="1" applyAlignment="1" applyProtection="1">
      <alignment/>
      <protection hidden="1"/>
    </xf>
    <xf numFmtId="2" fontId="5" fillId="24" borderId="15" xfId="0" applyNumberFormat="1" applyFont="1" applyFill="1" applyBorder="1" applyAlignment="1" applyProtection="1">
      <alignment horizontal="center"/>
      <protection hidden="1"/>
    </xf>
    <xf numFmtId="0" fontId="5" fillId="24" borderId="0" xfId="0" applyFont="1" applyFill="1" applyBorder="1" applyAlignment="1" applyProtection="1">
      <alignment/>
      <protection locked="0"/>
    </xf>
    <xf numFmtId="0" fontId="7" fillId="24" borderId="13" xfId="0" applyFont="1" applyFill="1" applyBorder="1" applyAlignment="1" applyProtection="1">
      <alignment/>
      <protection hidden="1"/>
    </xf>
    <xf numFmtId="2" fontId="8" fillId="24" borderId="0" xfId="0" applyNumberFormat="1" applyFont="1" applyFill="1" applyBorder="1" applyAlignment="1" applyProtection="1">
      <alignment/>
      <protection hidden="1"/>
    </xf>
    <xf numFmtId="0" fontId="3" fillId="24" borderId="0" xfId="0" applyFont="1" applyFill="1" applyAlignment="1" applyProtection="1">
      <alignment/>
      <protection hidden="1"/>
    </xf>
    <xf numFmtId="165" fontId="8" fillId="24" borderId="12" xfId="0" applyNumberFormat="1" applyFont="1" applyFill="1" applyBorder="1" applyAlignment="1" applyProtection="1">
      <alignment horizontal="right"/>
      <protection hidden="1"/>
    </xf>
    <xf numFmtId="0" fontId="8" fillId="24" borderId="13" xfId="0" applyFont="1" applyFill="1" applyBorder="1" applyAlignment="1" applyProtection="1">
      <alignment horizontal="right"/>
      <protection hidden="1"/>
    </xf>
    <xf numFmtId="0" fontId="7" fillId="24" borderId="13" xfId="0" applyFont="1" applyFill="1" applyBorder="1" applyAlignment="1" applyProtection="1">
      <alignment horizontal="left"/>
      <protection hidden="1"/>
    </xf>
    <xf numFmtId="2" fontId="5" fillId="24" borderId="13" xfId="0" applyNumberFormat="1" applyFont="1" applyFill="1" applyBorder="1" applyAlignment="1" applyProtection="1">
      <alignment horizontal="center"/>
      <protection hidden="1"/>
    </xf>
    <xf numFmtId="1" fontId="5" fillId="22" borderId="16" xfId="0" applyNumberFormat="1" applyFont="1" applyFill="1" applyBorder="1" applyAlignment="1" applyProtection="1">
      <alignment horizontal="center"/>
      <protection locked="0"/>
    </xf>
    <xf numFmtId="1" fontId="5" fillId="22" borderId="17" xfId="0" applyNumberFormat="1" applyFont="1" applyFill="1" applyBorder="1" applyAlignment="1" applyProtection="1">
      <alignment horizontal="center"/>
      <protection locked="0"/>
    </xf>
    <xf numFmtId="2" fontId="5" fillId="22" borderId="18" xfId="0" applyNumberFormat="1" applyFont="1" applyFill="1" applyBorder="1" applyAlignment="1" applyProtection="1">
      <alignment horizontal="center"/>
      <protection locked="0"/>
    </xf>
    <xf numFmtId="2" fontId="5" fillId="22" borderId="17" xfId="0" applyNumberFormat="1" applyFont="1" applyFill="1" applyBorder="1" applyAlignment="1" applyProtection="1">
      <alignment horizontal="center"/>
      <protection locked="0"/>
    </xf>
    <xf numFmtId="166" fontId="5" fillId="22" borderId="18" xfId="0" applyNumberFormat="1" applyFont="1" applyFill="1" applyBorder="1" applyAlignment="1" applyProtection="1">
      <alignment horizontal="center"/>
      <protection locked="0"/>
    </xf>
    <xf numFmtId="166" fontId="5" fillId="22" borderId="16" xfId="0" applyNumberFormat="1" applyFont="1" applyFill="1" applyBorder="1" applyAlignment="1" applyProtection="1">
      <alignment horizontal="center"/>
      <protection locked="0"/>
    </xf>
    <xf numFmtId="165" fontId="5" fillId="22" borderId="16" xfId="0" applyNumberFormat="1" applyFont="1" applyFill="1" applyBorder="1" applyAlignment="1" applyProtection="1">
      <alignment horizontal="center"/>
      <protection locked="0"/>
    </xf>
    <xf numFmtId="13" fontId="5" fillId="22" borderId="16" xfId="0" applyNumberFormat="1" applyFont="1" applyFill="1" applyBorder="1" applyAlignment="1" applyProtection="1">
      <alignment horizontal="center"/>
      <protection locked="0"/>
    </xf>
    <xf numFmtId="0" fontId="5" fillId="22" borderId="17" xfId="0" applyNumberFormat="1" applyFont="1" applyFill="1" applyBorder="1" applyAlignment="1" applyProtection="1">
      <alignment horizontal="center"/>
      <protection locked="0"/>
    </xf>
    <xf numFmtId="2" fontId="5" fillId="24" borderId="18" xfId="0" applyNumberFormat="1" applyFont="1" applyFill="1" applyBorder="1" applyAlignment="1" applyProtection="1">
      <alignment horizontal="center"/>
      <protection hidden="1"/>
    </xf>
    <xf numFmtId="166" fontId="5" fillId="24" borderId="16" xfId="0" applyNumberFormat="1" applyFont="1" applyFill="1" applyBorder="1" applyAlignment="1" applyProtection="1">
      <alignment horizontal="center"/>
      <protection hidden="1"/>
    </xf>
    <xf numFmtId="165" fontId="5" fillId="24" borderId="16" xfId="0" applyNumberFormat="1" applyFont="1" applyFill="1" applyBorder="1" applyAlignment="1" applyProtection="1">
      <alignment horizontal="center"/>
      <protection hidden="1"/>
    </xf>
    <xf numFmtId="164" fontId="5" fillId="24" borderId="16" xfId="0" applyNumberFormat="1" applyFont="1" applyFill="1" applyBorder="1" applyAlignment="1" applyProtection="1">
      <alignment horizontal="center"/>
      <protection hidden="1"/>
    </xf>
    <xf numFmtId="164" fontId="5" fillId="24" borderId="17" xfId="0" applyNumberFormat="1" applyFont="1" applyFill="1" applyBorder="1" applyAlignment="1" applyProtection="1">
      <alignment horizontal="center"/>
      <protection hidden="1"/>
    </xf>
    <xf numFmtId="0" fontId="5" fillId="24" borderId="18" xfId="0" applyNumberFormat="1" applyFont="1" applyFill="1" applyBorder="1" applyAlignment="1" applyProtection="1">
      <alignment horizontal="center"/>
      <protection hidden="1"/>
    </xf>
    <xf numFmtId="2" fontId="5" fillId="24" borderId="16" xfId="0" applyNumberFormat="1" applyFont="1" applyFill="1" applyBorder="1" applyAlignment="1" applyProtection="1">
      <alignment horizontal="center"/>
      <protection hidden="1"/>
    </xf>
    <xf numFmtId="2" fontId="5" fillId="24" borderId="16" xfId="0" applyNumberFormat="1" applyFont="1" applyFill="1" applyBorder="1" applyAlignment="1" applyProtection="1">
      <alignment horizontal="center"/>
      <protection hidden="1"/>
    </xf>
    <xf numFmtId="2" fontId="5" fillId="24" borderId="17" xfId="0" applyNumberFormat="1" applyFont="1" applyFill="1" applyBorder="1" applyAlignment="1" applyProtection="1">
      <alignment horizontal="center"/>
      <protection hidden="1"/>
    </xf>
    <xf numFmtId="165" fontId="5" fillId="24" borderId="18" xfId="0" applyNumberFormat="1" applyFont="1" applyFill="1" applyBorder="1" applyAlignment="1" applyProtection="1">
      <alignment horizontal="center"/>
      <protection hidden="1"/>
    </xf>
    <xf numFmtId="2" fontId="5" fillId="24" borderId="17" xfId="0" applyNumberFormat="1" applyFont="1" applyFill="1" applyBorder="1" applyAlignment="1" applyProtection="1">
      <alignment horizontal="center"/>
      <protection hidden="1"/>
    </xf>
    <xf numFmtId="166" fontId="5" fillId="24" borderId="18" xfId="0" applyNumberFormat="1" applyFont="1" applyFill="1" applyBorder="1" applyAlignment="1" applyProtection="1">
      <alignment horizontal="center"/>
      <protection hidden="1"/>
    </xf>
    <xf numFmtId="0" fontId="5" fillId="22" borderId="16" xfId="0" applyNumberFormat="1" applyFont="1" applyFill="1" applyBorder="1" applyAlignment="1" applyProtection="1">
      <alignment horizontal="center"/>
      <protection locked="0"/>
    </xf>
    <xf numFmtId="0" fontId="21" fillId="24" borderId="15" xfId="0" applyFont="1" applyFill="1" applyBorder="1" applyAlignment="1" applyProtection="1">
      <alignment horizontal="center"/>
      <protection hidden="1"/>
    </xf>
    <xf numFmtId="0" fontId="5" fillId="24" borderId="0" xfId="0" applyFont="1" applyFill="1" applyBorder="1" applyAlignment="1" applyProtection="1">
      <alignment horizontal="center"/>
      <protection locked="0"/>
    </xf>
    <xf numFmtId="0" fontId="8" fillId="24" borderId="15" xfId="0" applyFont="1" applyFill="1" applyBorder="1" applyAlignment="1" applyProtection="1">
      <alignment horizontal="center"/>
      <protection hidden="1"/>
    </xf>
    <xf numFmtId="14" fontId="0" fillId="24" borderId="19" xfId="0" applyNumberFormat="1" applyFill="1" applyBorder="1" applyAlignment="1" applyProtection="1">
      <alignment horizontal="center"/>
      <protection hidden="1"/>
    </xf>
    <xf numFmtId="18" fontId="0" fillId="24" borderId="9" xfId="0" applyNumberFormat="1" applyFill="1" applyBorder="1" applyAlignment="1" applyProtection="1">
      <alignment horizontal="center"/>
      <protection hidden="1"/>
    </xf>
    <xf numFmtId="0" fontId="21" fillId="24" borderId="0" xfId="0" applyFont="1" applyFill="1" applyBorder="1" applyAlignment="1" applyProtection="1">
      <alignment horizontal="center"/>
      <protection locked="0"/>
    </xf>
    <xf numFmtId="14" fontId="5" fillId="24" borderId="19" xfId="0" applyNumberFormat="1" applyFont="1" applyFill="1" applyBorder="1" applyAlignment="1" applyProtection="1">
      <alignment horizontal="center"/>
      <protection locked="0"/>
    </xf>
    <xf numFmtId="18" fontId="5" fillId="24" borderId="9" xfId="0" applyNumberFormat="1" applyFont="1" applyFill="1" applyBorder="1" applyAlignment="1" applyProtection="1">
      <alignment horizontal="center"/>
      <protection locked="0"/>
    </xf>
    <xf numFmtId="0" fontId="5" fillId="24" borderId="9" xfId="0" applyFont="1" applyFill="1" applyBorder="1" applyAlignment="1" applyProtection="1">
      <alignment horizontal="center"/>
      <protection hidden="1"/>
    </xf>
    <xf numFmtId="0" fontId="0" fillId="24" borderId="11" xfId="0" applyFill="1" applyBorder="1" applyAlignment="1" applyProtection="1">
      <alignment horizontal="center"/>
      <protection hidden="1"/>
    </xf>
    <xf numFmtId="0" fontId="5" fillId="24" borderId="0" xfId="0" applyFont="1" applyFill="1" applyBorder="1" applyAlignment="1" applyProtection="1">
      <alignment/>
      <protection locked="0"/>
    </xf>
    <xf numFmtId="14" fontId="5" fillId="24" borderId="19" xfId="0" applyNumberFormat="1" applyFont="1" applyFill="1" applyBorder="1" applyAlignment="1" applyProtection="1">
      <alignment horizontal="center"/>
      <protection hidden="1"/>
    </xf>
    <xf numFmtId="18" fontId="5" fillId="24" borderId="9" xfId="0" applyNumberFormat="1" applyFont="1" applyFill="1" applyBorder="1" applyAlignment="1" applyProtection="1">
      <alignment horizontal="center"/>
      <protection hidden="1"/>
    </xf>
    <xf numFmtId="0" fontId="26" fillId="24" borderId="0" xfId="0" applyFont="1" applyFill="1" applyBorder="1" applyAlignment="1" applyProtection="1">
      <alignment/>
      <protection locked="0"/>
    </xf>
    <xf numFmtId="0" fontId="34" fillId="24" borderId="0" xfId="0" applyFont="1" applyFill="1" applyAlignment="1">
      <alignment horizontal="centerContinuous"/>
    </xf>
    <xf numFmtId="0" fontId="35" fillId="24" borderId="0" xfId="0" applyFont="1" applyFill="1" applyAlignment="1">
      <alignment horizontal="centerContinuous"/>
    </xf>
    <xf numFmtId="0" fontId="35" fillId="24" borderId="0" xfId="0" applyFont="1" applyFill="1" applyAlignment="1">
      <alignment/>
    </xf>
    <xf numFmtId="0" fontId="0" fillId="24" borderId="0" xfId="0" applyFill="1" applyAlignment="1">
      <alignment/>
    </xf>
    <xf numFmtId="0" fontId="9" fillId="24" borderId="0" xfId="0" applyFont="1" applyFill="1" applyAlignment="1">
      <alignment/>
    </xf>
    <xf numFmtId="0" fontId="2" fillId="24" borderId="20" xfId="0" applyFont="1" applyFill="1" applyBorder="1" applyAlignment="1">
      <alignment horizontal="centerContinuous"/>
    </xf>
    <xf numFmtId="0" fontId="36" fillId="24" borderId="21" xfId="0" applyFont="1" applyFill="1" applyBorder="1" applyAlignment="1">
      <alignment horizontal="centerContinuous"/>
    </xf>
    <xf numFmtId="0" fontId="36" fillId="24" borderId="22" xfId="0" applyFont="1" applyFill="1" applyBorder="1" applyAlignment="1">
      <alignment horizontal="centerContinuous"/>
    </xf>
    <xf numFmtId="0" fontId="0" fillId="24" borderId="21" xfId="0" applyFont="1" applyFill="1" applyBorder="1" applyAlignment="1">
      <alignment horizontal="centerContinuous"/>
    </xf>
    <xf numFmtId="0" fontId="0" fillId="24" borderId="22" xfId="0" applyFont="1" applyFill="1" applyBorder="1" applyAlignment="1">
      <alignment horizontal="centerContinuous"/>
    </xf>
    <xf numFmtId="0" fontId="35" fillId="0" borderId="10" xfId="0" applyFont="1" applyFill="1" applyBorder="1" applyAlignment="1">
      <alignment horizontal="centerContinuous"/>
    </xf>
    <xf numFmtId="0" fontId="35" fillId="0" borderId="11" xfId="0" applyFont="1" applyFill="1" applyBorder="1" applyAlignment="1">
      <alignment horizontal="centerContinuous"/>
    </xf>
    <xf numFmtId="0" fontId="35" fillId="0" borderId="19" xfId="0" applyFont="1" applyFill="1" applyBorder="1" applyAlignment="1">
      <alignment horizontal="centerContinuous"/>
    </xf>
    <xf numFmtId="0" fontId="35" fillId="0" borderId="12" xfId="0" applyFont="1" applyFill="1" applyBorder="1" applyAlignment="1">
      <alignment horizontal="centerContinuous"/>
    </xf>
    <xf numFmtId="0" fontId="35" fillId="0" borderId="13" xfId="0" applyFont="1" applyFill="1" applyBorder="1" applyAlignment="1">
      <alignment horizontal="centerContinuous"/>
    </xf>
    <xf numFmtId="0" fontId="35" fillId="0" borderId="14" xfId="0" applyFont="1" applyFill="1" applyBorder="1" applyAlignment="1">
      <alignment horizontal="centerContinuous"/>
    </xf>
    <xf numFmtId="0" fontId="35" fillId="24" borderId="0" xfId="0" applyFont="1" applyFill="1" applyBorder="1" applyAlignment="1">
      <alignment horizontal="centerContinuous"/>
    </xf>
    <xf numFmtId="0" fontId="35" fillId="24" borderId="0" xfId="0" applyFont="1" applyFill="1" applyBorder="1" applyAlignment="1">
      <alignment/>
    </xf>
    <xf numFmtId="0" fontId="37" fillId="24" borderId="0" xfId="0" applyFont="1" applyFill="1" applyAlignment="1">
      <alignment/>
    </xf>
    <xf numFmtId="0" fontId="35" fillId="0" borderId="8" xfId="0" applyFont="1" applyFill="1" applyBorder="1" applyAlignment="1">
      <alignment horizontal="centerContinuous"/>
    </xf>
    <xf numFmtId="0" fontId="35" fillId="0" borderId="0" xfId="0" applyFont="1" applyFill="1" applyBorder="1" applyAlignment="1">
      <alignment horizontal="centerContinuous"/>
    </xf>
    <xf numFmtId="0" fontId="35" fillId="0" borderId="9" xfId="0" applyFont="1" applyFill="1" applyBorder="1" applyAlignment="1">
      <alignment horizontal="centerContinuous"/>
    </xf>
    <xf numFmtId="0" fontId="2" fillId="24" borderId="21" xfId="0" applyFont="1" applyFill="1" applyBorder="1" applyAlignment="1">
      <alignment horizontal="centerContinuous"/>
    </xf>
    <xf numFmtId="0" fontId="5" fillId="24" borderId="10" xfId="0" applyFont="1" applyFill="1" applyBorder="1" applyAlignment="1" applyProtection="1">
      <alignment horizontal="centerContinuous"/>
      <protection hidden="1"/>
    </xf>
    <xf numFmtId="0" fontId="5" fillId="24" borderId="11" xfId="0" applyFont="1" applyFill="1" applyBorder="1" applyAlignment="1" applyProtection="1">
      <alignment horizontal="centerContinuous"/>
      <protection hidden="1"/>
    </xf>
    <xf numFmtId="0" fontId="5" fillId="24" borderId="19" xfId="0" applyFont="1" applyFill="1" applyBorder="1" applyAlignment="1" applyProtection="1">
      <alignment horizontal="centerContinuous"/>
      <protection hidden="1"/>
    </xf>
    <xf numFmtId="0" fontId="5" fillId="24" borderId="15" xfId="0" applyFont="1" applyFill="1" applyBorder="1" applyAlignment="1">
      <alignment horizontal="center"/>
    </xf>
    <xf numFmtId="0" fontId="5" fillId="24" borderId="15" xfId="0" applyNumberFormat="1" applyFont="1" applyFill="1" applyBorder="1" applyAlignment="1">
      <alignment horizontal="center"/>
    </xf>
    <xf numFmtId="0" fontId="5" fillId="24" borderId="12" xfId="0" applyFont="1" applyFill="1" applyBorder="1" applyAlignment="1" applyProtection="1">
      <alignment horizontal="centerContinuous"/>
      <protection hidden="1"/>
    </xf>
    <xf numFmtId="0" fontId="5" fillId="24" borderId="13" xfId="0" applyFont="1" applyFill="1" applyBorder="1" applyAlignment="1" applyProtection="1">
      <alignment horizontal="centerContinuous"/>
      <protection hidden="1"/>
    </xf>
    <xf numFmtId="0" fontId="5" fillId="24" borderId="14" xfId="0" applyFont="1" applyFill="1" applyBorder="1" applyAlignment="1" applyProtection="1">
      <alignment horizontal="centerContinuous"/>
      <protection hidden="1"/>
    </xf>
    <xf numFmtId="0" fontId="0" fillId="24" borderId="0" xfId="0" applyFill="1" applyBorder="1" applyAlignment="1">
      <alignment/>
    </xf>
    <xf numFmtId="2" fontId="20" fillId="24" borderId="0" xfId="0" applyNumberFormat="1" applyFont="1" applyFill="1" applyAlignment="1" applyProtection="1">
      <alignment horizontal="center"/>
      <protection hidden="1"/>
    </xf>
    <xf numFmtId="0" fontId="29" fillId="24" borderId="0" xfId="0" applyFont="1" applyFill="1" applyBorder="1" applyAlignment="1" applyProtection="1">
      <alignment/>
      <protection hidden="1"/>
    </xf>
    <xf numFmtId="165" fontId="5" fillId="24" borderId="18" xfId="0" applyNumberFormat="1" applyFont="1" applyFill="1" applyBorder="1" applyAlignment="1" applyProtection="1">
      <alignment horizontal="center"/>
      <protection hidden="1"/>
    </xf>
    <xf numFmtId="165" fontId="20" fillId="24" borderId="0" xfId="0" applyNumberFormat="1" applyFont="1" applyFill="1" applyAlignment="1" applyProtection="1">
      <alignment horizontal="center"/>
      <protection hidden="1"/>
    </xf>
    <xf numFmtId="0" fontId="20" fillId="24" borderId="0" xfId="0" applyFont="1" applyFill="1" applyAlignment="1" applyProtection="1">
      <alignment horizontal="right"/>
      <protection hidden="1"/>
    </xf>
    <xf numFmtId="0" fontId="20" fillId="24" borderId="0" xfId="0" applyFont="1" applyFill="1" applyAlignment="1" applyProtection="1">
      <alignment/>
      <protection hidden="1"/>
    </xf>
    <xf numFmtId="0" fontId="20" fillId="24" borderId="0" xfId="0" applyFont="1" applyFill="1" applyAlignment="1" applyProtection="1">
      <alignment horizontal="center"/>
      <protection hidden="1"/>
    </xf>
    <xf numFmtId="0" fontId="20" fillId="24" borderId="0" xfId="0" applyFont="1" applyFill="1" applyAlignment="1" applyProtection="1">
      <alignment horizontal="left"/>
      <protection hidden="1"/>
    </xf>
    <xf numFmtId="0" fontId="4" fillId="24" borderId="0" xfId="0" applyFont="1" applyFill="1" applyAlignment="1" applyProtection="1">
      <alignment/>
      <protection hidden="1"/>
    </xf>
    <xf numFmtId="0" fontId="38" fillId="24" borderId="0" xfId="0" applyFont="1" applyFill="1" applyAlignment="1" applyProtection="1">
      <alignment/>
      <protection hidden="1"/>
    </xf>
    <xf numFmtId="0" fontId="20" fillId="24" borderId="0" xfId="0" applyFont="1" applyFill="1" applyAlignment="1" applyProtection="1">
      <alignment/>
      <protection hidden="1"/>
    </xf>
    <xf numFmtId="0" fontId="38" fillId="24" borderId="0" xfId="0" applyFont="1" applyFill="1" applyAlignment="1" applyProtection="1">
      <alignment horizontal="right"/>
      <protection hidden="1"/>
    </xf>
    <xf numFmtId="0" fontId="7" fillId="24" borderId="0" xfId="0" applyFont="1" applyFill="1" applyBorder="1" applyAlignment="1" applyProtection="1">
      <alignment horizontal="left"/>
      <protection hidden="1"/>
    </xf>
    <xf numFmtId="0" fontId="8" fillId="24" borderId="23" xfId="0" applyFont="1" applyFill="1" applyBorder="1" applyAlignment="1" applyProtection="1">
      <alignment horizontal="right"/>
      <protection hidden="1"/>
    </xf>
    <xf numFmtId="0" fontId="1" fillId="24" borderId="10" xfId="0" applyFont="1" applyFill="1" applyBorder="1" applyAlignment="1" applyProtection="1">
      <alignment horizontal="centerContinuous"/>
      <protection hidden="1"/>
    </xf>
    <xf numFmtId="0" fontId="0" fillId="24" borderId="11" xfId="0" applyFill="1" applyBorder="1" applyAlignment="1" applyProtection="1">
      <alignment horizontal="centerContinuous"/>
      <protection hidden="1"/>
    </xf>
    <xf numFmtId="0" fontId="2" fillId="24" borderId="11" xfId="0" applyFont="1" applyFill="1" applyBorder="1" applyAlignment="1" applyProtection="1">
      <alignment horizontal="centerContinuous"/>
      <protection hidden="1"/>
    </xf>
    <xf numFmtId="0" fontId="0" fillId="24" borderId="19" xfId="0" applyFill="1" applyBorder="1" applyAlignment="1" applyProtection="1">
      <alignment horizontal="centerContinuous"/>
      <protection hidden="1"/>
    </xf>
    <xf numFmtId="0" fontId="4" fillId="24" borderId="0" xfId="0" applyFont="1" applyFill="1" applyBorder="1" applyAlignment="1" applyProtection="1">
      <alignment horizontal="centerContinuous"/>
      <protection hidden="1"/>
    </xf>
    <xf numFmtId="0" fontId="4" fillId="24" borderId="9" xfId="0" applyFont="1" applyFill="1" applyBorder="1" applyAlignment="1" applyProtection="1">
      <alignment horizontal="centerContinuous"/>
      <protection hidden="1"/>
    </xf>
    <xf numFmtId="0" fontId="6" fillId="24" borderId="8" xfId="0" applyFont="1" applyFill="1" applyBorder="1" applyAlignment="1" applyProtection="1">
      <alignment horizontal="centerContinuous"/>
      <protection hidden="1"/>
    </xf>
    <xf numFmtId="0" fontId="6" fillId="24" borderId="12" xfId="0" applyFont="1" applyFill="1" applyBorder="1" applyAlignment="1" applyProtection="1">
      <alignment horizontal="centerContinuous"/>
      <protection hidden="1"/>
    </xf>
    <xf numFmtId="0" fontId="0" fillId="24" borderId="24" xfId="0" applyFill="1" applyBorder="1" applyAlignment="1" applyProtection="1">
      <alignment horizontal="center"/>
      <protection hidden="1"/>
    </xf>
    <xf numFmtId="0" fontId="5" fillId="22" borderId="20" xfId="0" applyFont="1" applyFill="1" applyBorder="1" applyAlignment="1" applyProtection="1">
      <alignment/>
      <protection locked="0"/>
    </xf>
    <xf numFmtId="0" fontId="5" fillId="22" borderId="21" xfId="0" applyFont="1" applyFill="1" applyBorder="1" applyAlignment="1" applyProtection="1">
      <alignment/>
      <protection hidden="1"/>
    </xf>
    <xf numFmtId="49" fontId="5" fillId="22" borderId="20" xfId="0" applyNumberFormat="1" applyFont="1" applyFill="1" applyBorder="1" applyAlignment="1" applyProtection="1">
      <alignment/>
      <protection locked="0"/>
    </xf>
    <xf numFmtId="49" fontId="5" fillId="22" borderId="21" xfId="0" applyNumberFormat="1" applyFont="1" applyFill="1" applyBorder="1" applyAlignment="1" applyProtection="1">
      <alignment/>
      <protection hidden="1"/>
    </xf>
    <xf numFmtId="49" fontId="5" fillId="22" borderId="22" xfId="0" applyNumberFormat="1" applyFont="1" applyFill="1" applyBorder="1" applyAlignment="1" applyProtection="1">
      <alignment/>
      <protection hidden="1"/>
    </xf>
    <xf numFmtId="0" fontId="5" fillId="22" borderId="22" xfId="0" applyFont="1" applyFill="1" applyBorder="1" applyAlignment="1" applyProtection="1">
      <alignment/>
      <protection hidden="1"/>
    </xf>
    <xf numFmtId="14" fontId="5" fillId="22" borderId="15" xfId="0" applyNumberFormat="1" applyFont="1" applyFill="1" applyBorder="1" applyAlignment="1" applyProtection="1">
      <alignment horizontal="centerContinuous"/>
      <protection locked="0"/>
    </xf>
    <xf numFmtId="0" fontId="5" fillId="24" borderId="9" xfId="0" applyFont="1" applyFill="1" applyBorder="1" applyAlignment="1" applyProtection="1">
      <alignment horizontal="right"/>
      <protection hidden="1"/>
    </xf>
    <xf numFmtId="0" fontId="4" fillId="24" borderId="13" xfId="0" applyFont="1" applyFill="1" applyBorder="1" applyAlignment="1" applyProtection="1">
      <alignment horizontal="centerContinuous"/>
      <protection hidden="1"/>
    </xf>
    <xf numFmtId="0" fontId="37" fillId="24" borderId="0" xfId="0" applyFont="1" applyFill="1" applyAlignment="1">
      <alignment horizontal="right"/>
    </xf>
    <xf numFmtId="13" fontId="5" fillId="0" borderId="0" xfId="0" applyNumberFormat="1" applyFont="1" applyFill="1" applyBorder="1" applyAlignment="1" applyProtection="1">
      <alignment horizontal="center"/>
      <protection hidden="1"/>
    </xf>
    <xf numFmtId="13" fontId="5" fillId="24" borderId="0" xfId="0" applyNumberFormat="1" applyFont="1" applyFill="1" applyAlignment="1" applyProtection="1">
      <alignment horizontal="center"/>
      <protection hidden="1"/>
    </xf>
    <xf numFmtId="2" fontId="5" fillId="24" borderId="0" xfId="0" applyNumberFormat="1" applyFont="1" applyFill="1" applyBorder="1" applyAlignment="1" applyProtection="1">
      <alignment horizontal="right"/>
      <protection hidden="1"/>
    </xf>
    <xf numFmtId="0" fontId="5" fillId="24" borderId="0" xfId="0" applyNumberFormat="1" applyFont="1" applyFill="1" applyAlignment="1" applyProtection="1">
      <alignment/>
      <protection hidden="1"/>
    </xf>
    <xf numFmtId="166" fontId="20" fillId="24" borderId="0" xfId="0" applyNumberFormat="1" applyFont="1" applyFill="1" applyAlignment="1" applyProtection="1">
      <alignment horizontal="center"/>
      <protection hidden="1"/>
    </xf>
    <xf numFmtId="166" fontId="18" fillId="24" borderId="0" xfId="0" applyNumberFormat="1" applyFont="1" applyFill="1" applyAlignment="1" applyProtection="1">
      <alignment horizontal="center"/>
      <protection hidden="1"/>
    </xf>
    <xf numFmtId="0" fontId="31" fillId="24" borderId="10" xfId="0" applyFont="1" applyFill="1" applyBorder="1" applyAlignment="1" applyProtection="1">
      <alignment horizontal="centerContinuous"/>
      <protection hidden="1"/>
    </xf>
    <xf numFmtId="0" fontId="31" fillId="24" borderId="19" xfId="0" applyFont="1" applyFill="1" applyBorder="1" applyAlignment="1" applyProtection="1">
      <alignment horizontal="centerContinuous"/>
      <protection hidden="1"/>
    </xf>
    <xf numFmtId="0" fontId="31" fillId="24" borderId="11" xfId="0" applyFont="1" applyFill="1" applyBorder="1" applyAlignment="1" applyProtection="1">
      <alignment horizontal="centerContinuous"/>
      <protection hidden="1"/>
    </xf>
    <xf numFmtId="0" fontId="31" fillId="24" borderId="15" xfId="0" applyFont="1" applyFill="1" applyBorder="1" applyAlignment="1" applyProtection="1">
      <alignment horizontal="center"/>
      <protection hidden="1"/>
    </xf>
    <xf numFmtId="13" fontId="21" fillId="24" borderId="25" xfId="0" applyNumberFormat="1" applyFont="1" applyFill="1" applyBorder="1" applyAlignment="1" applyProtection="1">
      <alignment horizontal="center"/>
      <protection hidden="1"/>
    </xf>
    <xf numFmtId="0" fontId="21" fillId="24" borderId="26" xfId="0" applyFont="1" applyFill="1" applyBorder="1" applyAlignment="1" applyProtection="1">
      <alignment horizontal="center"/>
      <protection hidden="1"/>
    </xf>
    <xf numFmtId="0" fontId="21" fillId="24" borderId="25" xfId="0" applyFont="1" applyFill="1" applyBorder="1" applyAlignment="1" applyProtection="1">
      <alignment horizontal="center"/>
      <protection hidden="1"/>
    </xf>
    <xf numFmtId="0" fontId="21" fillId="24" borderId="27" xfId="0" applyFont="1" applyFill="1" applyBorder="1" applyAlignment="1" applyProtection="1">
      <alignment horizontal="center"/>
      <protection hidden="1"/>
    </xf>
    <xf numFmtId="13" fontId="21" fillId="24" borderId="28" xfId="0" applyNumberFormat="1" applyFont="1" applyFill="1" applyBorder="1" applyAlignment="1" applyProtection="1">
      <alignment horizontal="center"/>
      <protection hidden="1"/>
    </xf>
    <xf numFmtId="0" fontId="21" fillId="24" borderId="29" xfId="0" applyFont="1" applyFill="1" applyBorder="1" applyAlignment="1" applyProtection="1">
      <alignment horizontal="center"/>
      <protection hidden="1"/>
    </xf>
    <xf numFmtId="0" fontId="21" fillId="24" borderId="28" xfId="0" applyFont="1" applyFill="1" applyBorder="1" applyAlignment="1" applyProtection="1">
      <alignment horizontal="center"/>
      <protection hidden="1"/>
    </xf>
    <xf numFmtId="0" fontId="21" fillId="24" borderId="5" xfId="0" applyFont="1" applyFill="1" applyBorder="1" applyAlignment="1" applyProtection="1">
      <alignment horizontal="center"/>
      <protection hidden="1"/>
    </xf>
    <xf numFmtId="13" fontId="21" fillId="24" borderId="30" xfId="0" applyNumberFormat="1" applyFont="1" applyFill="1" applyBorder="1" applyAlignment="1" applyProtection="1">
      <alignment horizontal="center"/>
      <protection hidden="1"/>
    </xf>
    <xf numFmtId="0" fontId="21" fillId="24" borderId="31" xfId="0" applyFont="1" applyFill="1" applyBorder="1" applyAlignment="1" applyProtection="1">
      <alignment horizontal="center"/>
      <protection hidden="1"/>
    </xf>
    <xf numFmtId="0" fontId="21" fillId="24" borderId="30" xfId="0" applyFont="1" applyFill="1" applyBorder="1" applyAlignment="1" applyProtection="1">
      <alignment horizontal="center"/>
      <protection hidden="1"/>
    </xf>
    <xf numFmtId="0" fontId="21" fillId="24" borderId="32" xfId="0" applyFont="1" applyFill="1" applyBorder="1" applyAlignment="1" applyProtection="1">
      <alignment horizontal="center"/>
      <protection hidden="1"/>
    </xf>
    <xf numFmtId="0" fontId="39" fillId="24" borderId="10" xfId="0" applyFont="1" applyFill="1" applyBorder="1" applyAlignment="1" applyProtection="1">
      <alignment horizontal="centerContinuous"/>
      <protection hidden="1"/>
    </xf>
    <xf numFmtId="0" fontId="39" fillId="24" borderId="11" xfId="0" applyFont="1" applyFill="1" applyBorder="1" applyAlignment="1" applyProtection="1">
      <alignment horizontal="centerContinuous"/>
      <protection hidden="1"/>
    </xf>
    <xf numFmtId="0" fontId="39" fillId="24" borderId="19" xfId="0" applyFont="1" applyFill="1" applyBorder="1" applyAlignment="1" applyProtection="1">
      <alignment horizontal="centerContinuous"/>
      <protection hidden="1"/>
    </xf>
    <xf numFmtId="0" fontId="39" fillId="24" borderId="15" xfId="0" applyFont="1" applyFill="1" applyBorder="1" applyAlignment="1" applyProtection="1">
      <alignment horizontal="center"/>
      <protection hidden="1"/>
    </xf>
    <xf numFmtId="13" fontId="21" fillId="24" borderId="18" xfId="0" applyNumberFormat="1" applyFont="1" applyFill="1" applyBorder="1" applyAlignment="1" applyProtection="1">
      <alignment horizontal="center"/>
      <protection hidden="1"/>
    </xf>
    <xf numFmtId="13" fontId="21" fillId="24" borderId="16" xfId="0" applyNumberFormat="1" applyFont="1" applyFill="1" applyBorder="1" applyAlignment="1" applyProtection="1">
      <alignment horizontal="center"/>
      <protection hidden="1"/>
    </xf>
    <xf numFmtId="13" fontId="21" fillId="24" borderId="17" xfId="0" applyNumberFormat="1" applyFont="1" applyFill="1" applyBorder="1" applyAlignment="1" applyProtection="1">
      <alignment horizontal="center"/>
      <protection hidden="1"/>
    </xf>
    <xf numFmtId="0" fontId="21" fillId="24" borderId="17" xfId="0" applyFont="1" applyFill="1" applyBorder="1" applyAlignment="1" applyProtection="1">
      <alignment horizontal="center"/>
      <protection hidden="1"/>
    </xf>
    <xf numFmtId="0" fontId="21" fillId="24" borderId="18" xfId="0" applyNumberFormat="1" applyFont="1" applyFill="1" applyBorder="1" applyAlignment="1">
      <alignment horizontal="center"/>
    </xf>
    <xf numFmtId="164" fontId="21" fillId="24" borderId="33" xfId="0" applyNumberFormat="1" applyFont="1" applyFill="1" applyBorder="1" applyAlignment="1">
      <alignment horizontal="center"/>
    </xf>
    <xf numFmtId="164" fontId="21" fillId="24" borderId="27" xfId="0" applyNumberFormat="1" applyFont="1" applyFill="1" applyBorder="1" applyAlignment="1">
      <alignment horizontal="center"/>
    </xf>
    <xf numFmtId="2" fontId="21" fillId="24" borderId="27" xfId="0" applyNumberFormat="1" applyFont="1" applyFill="1" applyBorder="1" applyAlignment="1">
      <alignment horizontal="center"/>
    </xf>
    <xf numFmtId="2" fontId="21" fillId="24" borderId="26" xfId="0" applyNumberFormat="1" applyFont="1" applyFill="1" applyBorder="1" applyAlignment="1" applyProtection="1">
      <alignment horizontal="center"/>
      <protection locked="0"/>
    </xf>
    <xf numFmtId="0" fontId="21" fillId="24" borderId="16" xfId="0" applyNumberFormat="1" applyFont="1" applyFill="1" applyBorder="1" applyAlignment="1">
      <alignment horizontal="center"/>
    </xf>
    <xf numFmtId="164" fontId="21" fillId="24" borderId="34" xfId="0" applyNumberFormat="1" applyFont="1" applyFill="1" applyBorder="1" applyAlignment="1">
      <alignment horizontal="center"/>
    </xf>
    <xf numFmtId="164" fontId="21" fillId="24" borderId="5" xfId="0" applyNumberFormat="1" applyFont="1" applyFill="1" applyBorder="1" applyAlignment="1">
      <alignment horizontal="center"/>
    </xf>
    <xf numFmtId="166" fontId="21" fillId="24" borderId="5" xfId="0" applyNumberFormat="1" applyFont="1" applyFill="1" applyBorder="1" applyAlignment="1">
      <alignment horizontal="center"/>
    </xf>
    <xf numFmtId="2" fontId="21" fillId="24" borderId="5" xfId="0" applyNumberFormat="1" applyFont="1" applyFill="1" applyBorder="1" applyAlignment="1">
      <alignment horizontal="center"/>
    </xf>
    <xf numFmtId="2" fontId="21" fillId="24" borderId="29" xfId="0" applyNumberFormat="1" applyFont="1" applyFill="1" applyBorder="1" applyAlignment="1" applyProtection="1">
      <alignment horizontal="center"/>
      <protection locked="0"/>
    </xf>
    <xf numFmtId="0" fontId="21" fillId="24" borderId="34" xfId="0" applyNumberFormat="1" applyFont="1" applyFill="1" applyBorder="1" applyAlignment="1">
      <alignment horizontal="center"/>
    </xf>
    <xf numFmtId="166" fontId="21" fillId="24" borderId="29" xfId="0" applyNumberFormat="1" applyFont="1" applyFill="1" applyBorder="1" applyAlignment="1" applyProtection="1">
      <alignment horizontal="center"/>
      <protection locked="0"/>
    </xf>
    <xf numFmtId="2" fontId="21" fillId="24" borderId="34" xfId="0" applyNumberFormat="1" applyFont="1" applyFill="1" applyBorder="1" applyAlignment="1">
      <alignment horizontal="center"/>
    </xf>
    <xf numFmtId="0" fontId="21" fillId="24" borderId="17" xfId="0" applyNumberFormat="1" applyFont="1" applyFill="1" applyBorder="1" applyAlignment="1">
      <alignment horizontal="center"/>
    </xf>
    <xf numFmtId="2" fontId="21" fillId="24" borderId="35" xfId="0" applyNumberFormat="1" applyFont="1" applyFill="1" applyBorder="1" applyAlignment="1">
      <alignment horizontal="center"/>
    </xf>
    <xf numFmtId="2" fontId="21" fillId="24" borderId="32" xfId="0" applyNumberFormat="1" applyFont="1" applyFill="1" applyBorder="1" applyAlignment="1">
      <alignment horizontal="center"/>
    </xf>
    <xf numFmtId="166" fontId="21" fillId="24" borderId="32" xfId="0" applyNumberFormat="1" applyFont="1" applyFill="1" applyBorder="1" applyAlignment="1">
      <alignment horizontal="center"/>
    </xf>
    <xf numFmtId="166" fontId="21" fillId="24" borderId="31" xfId="0" applyNumberFormat="1" applyFont="1" applyFill="1" applyBorder="1" applyAlignment="1" applyProtection="1">
      <alignment horizontal="center"/>
      <protection locked="0"/>
    </xf>
    <xf numFmtId="0" fontId="21" fillId="24" borderId="36" xfId="0" applyNumberFormat="1" applyFont="1" applyFill="1" applyBorder="1" applyAlignment="1">
      <alignment horizontal="center"/>
    </xf>
    <xf numFmtId="2" fontId="21" fillId="24" borderId="37" xfId="0" applyNumberFormat="1" applyFont="1" applyFill="1" applyBorder="1" applyAlignment="1">
      <alignment horizontal="center"/>
    </xf>
    <xf numFmtId="164" fontId="21" fillId="24" borderId="38" xfId="0" applyNumberFormat="1" applyFont="1" applyFill="1" applyBorder="1" applyAlignment="1">
      <alignment horizontal="center"/>
    </xf>
    <xf numFmtId="166" fontId="21" fillId="24" borderId="38" xfId="0" applyNumberFormat="1" applyFont="1" applyFill="1" applyBorder="1" applyAlignment="1">
      <alignment horizontal="center"/>
    </xf>
    <xf numFmtId="2" fontId="21" fillId="24" borderId="38" xfId="0" applyNumberFormat="1" applyFont="1" applyFill="1" applyBorder="1" applyAlignment="1">
      <alignment horizontal="center"/>
    </xf>
    <xf numFmtId="166" fontId="21" fillId="24" borderId="39" xfId="0" applyNumberFormat="1" applyFont="1" applyFill="1" applyBorder="1" applyAlignment="1">
      <alignment horizontal="center"/>
    </xf>
    <xf numFmtId="166" fontId="21" fillId="24" borderId="29" xfId="0" applyNumberFormat="1" applyFont="1" applyFill="1" applyBorder="1" applyAlignment="1">
      <alignment horizontal="center"/>
    </xf>
    <xf numFmtId="165" fontId="21" fillId="24" borderId="5" xfId="0" applyNumberFormat="1" applyFont="1" applyFill="1" applyBorder="1" applyAlignment="1">
      <alignment horizontal="center"/>
    </xf>
    <xf numFmtId="166" fontId="21" fillId="24" borderId="35" xfId="0" applyNumberFormat="1" applyFont="1" applyFill="1" applyBorder="1" applyAlignment="1">
      <alignment horizontal="center"/>
    </xf>
    <xf numFmtId="165" fontId="21" fillId="24" borderId="32" xfId="0" applyNumberFormat="1" applyFont="1" applyFill="1" applyBorder="1" applyAlignment="1">
      <alignment horizontal="center"/>
    </xf>
    <xf numFmtId="166" fontId="21" fillId="24" borderId="31" xfId="0" applyNumberFormat="1" applyFont="1" applyFill="1" applyBorder="1" applyAlignment="1">
      <alignment horizontal="center"/>
    </xf>
    <xf numFmtId="164" fontId="21" fillId="24" borderId="37" xfId="0" applyNumberFormat="1" applyFont="1" applyFill="1" applyBorder="1" applyAlignment="1">
      <alignment horizontal="center"/>
    </xf>
    <xf numFmtId="2" fontId="21" fillId="24" borderId="39" xfId="0" applyNumberFormat="1" applyFont="1" applyFill="1" applyBorder="1" applyAlignment="1">
      <alignment horizontal="center"/>
    </xf>
    <xf numFmtId="2" fontId="21" fillId="24" borderId="29" xfId="0" applyNumberFormat="1" applyFont="1" applyFill="1" applyBorder="1" applyAlignment="1">
      <alignment horizontal="center"/>
    </xf>
    <xf numFmtId="164" fontId="21" fillId="24" borderId="35" xfId="0" applyNumberFormat="1" applyFont="1" applyFill="1" applyBorder="1" applyAlignment="1">
      <alignment horizontal="center"/>
    </xf>
    <xf numFmtId="2" fontId="21" fillId="24" borderId="31" xfId="0" applyNumberFormat="1" applyFont="1" applyFill="1" applyBorder="1" applyAlignment="1">
      <alignment horizontal="center"/>
    </xf>
    <xf numFmtId="0" fontId="29" fillId="24" borderId="8" xfId="0" applyFont="1" applyFill="1" applyBorder="1" applyAlignment="1" applyProtection="1">
      <alignment horizontal="left"/>
      <protection hidden="1"/>
    </xf>
    <xf numFmtId="166" fontId="5" fillId="24" borderId="36" xfId="0" applyNumberFormat="1" applyFont="1" applyFill="1" applyBorder="1" applyAlignment="1" applyProtection="1">
      <alignment horizontal="center"/>
      <protection hidden="1"/>
    </xf>
    <xf numFmtId="166" fontId="5" fillId="24" borderId="17" xfId="0" applyNumberFormat="1" applyFont="1" applyFill="1" applyBorder="1" applyAlignment="1" applyProtection="1">
      <alignment horizontal="center"/>
      <protection hidden="1"/>
    </xf>
    <xf numFmtId="13" fontId="5" fillId="24" borderId="16" xfId="0" applyNumberFormat="1" applyFont="1" applyFill="1" applyBorder="1" applyAlignment="1" applyProtection="1">
      <alignment horizontal="center"/>
      <protection hidden="1"/>
    </xf>
    <xf numFmtId="13" fontId="5" fillId="24" borderId="40" xfId="0" applyNumberFormat="1" applyFont="1" applyFill="1" applyBorder="1" applyAlignment="1" applyProtection="1">
      <alignment horizontal="center"/>
      <protection hidden="1"/>
    </xf>
    <xf numFmtId="2" fontId="0" fillId="24" borderId="8" xfId="0" applyNumberFormat="1" applyFont="1" applyFill="1" applyBorder="1" applyAlignment="1" applyProtection="1">
      <alignment horizontal="right"/>
      <protection hidden="1"/>
    </xf>
    <xf numFmtId="0" fontId="13" fillId="24" borderId="8" xfId="0" applyFont="1" applyFill="1" applyBorder="1" applyAlignment="1" applyProtection="1">
      <alignment horizontal="right"/>
      <protection hidden="1"/>
    </xf>
    <xf numFmtId="0" fontId="0" fillId="24" borderId="8" xfId="0" applyFont="1" applyFill="1" applyBorder="1" applyAlignment="1" applyProtection="1">
      <alignment/>
      <protection hidden="1"/>
    </xf>
    <xf numFmtId="166" fontId="0" fillId="24" borderId="0" xfId="0" applyNumberFormat="1" applyFont="1" applyFill="1" applyBorder="1" applyAlignment="1" applyProtection="1">
      <alignment horizontal="left"/>
      <protection hidden="1"/>
    </xf>
    <xf numFmtId="2" fontId="0" fillId="24" borderId="0" xfId="0" applyNumberFormat="1" applyFont="1" applyFill="1" applyBorder="1" applyAlignment="1" applyProtection="1">
      <alignment horizontal="left"/>
      <protection hidden="1"/>
    </xf>
    <xf numFmtId="0" fontId="0" fillId="24" borderId="8" xfId="0" applyFont="1" applyFill="1" applyBorder="1" applyAlignment="1" applyProtection="1">
      <alignment horizontal="right"/>
      <protection hidden="1"/>
    </xf>
    <xf numFmtId="165" fontId="8" fillId="24" borderId="0" xfId="0" applyNumberFormat="1" applyFont="1" applyFill="1" applyBorder="1" applyAlignment="1" applyProtection="1">
      <alignment/>
      <protection hidden="1"/>
    </xf>
    <xf numFmtId="0" fontId="5" fillId="24" borderId="0"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166" fontId="8" fillId="24" borderId="13" xfId="0" applyNumberFormat="1" applyFont="1" applyFill="1" applyBorder="1" applyAlignment="1" applyProtection="1">
      <alignment horizontal="center"/>
      <protection hidden="1"/>
    </xf>
    <xf numFmtId="0" fontId="8" fillId="24" borderId="13" xfId="0" applyFont="1" applyFill="1" applyBorder="1" applyAlignment="1" applyProtection="1">
      <alignment horizontal="left"/>
      <protection hidden="1"/>
    </xf>
    <xf numFmtId="0" fontId="4" fillId="24" borderId="13" xfId="0" applyFont="1" applyFill="1" applyBorder="1" applyAlignment="1" applyProtection="1">
      <alignment/>
      <protection hidden="1"/>
    </xf>
    <xf numFmtId="0" fontId="5" fillId="24" borderId="14" xfId="0" applyFont="1" applyFill="1" applyBorder="1" applyAlignment="1" applyProtection="1">
      <alignment horizontal="right"/>
      <protection hidden="1"/>
    </xf>
    <xf numFmtId="0" fontId="12" fillId="24" borderId="13" xfId="0" applyFont="1" applyFill="1" applyBorder="1" applyAlignment="1" applyProtection="1">
      <alignment horizontal="left"/>
      <protection hidden="1"/>
    </xf>
    <xf numFmtId="13" fontId="5" fillId="24" borderId="18" xfId="0" applyNumberFormat="1" applyFont="1" applyFill="1" applyBorder="1" applyAlignment="1" applyProtection="1">
      <alignment horizontal="center"/>
      <protection hidden="1"/>
    </xf>
    <xf numFmtId="0" fontId="0" fillId="24" borderId="0" xfId="0" applyFont="1" applyFill="1" applyBorder="1" applyAlignment="1" applyProtection="1">
      <alignment horizontal="left"/>
      <protection hidden="1"/>
    </xf>
    <xf numFmtId="0" fontId="5" fillId="22" borderId="24" xfId="0" applyFont="1" applyFill="1" applyBorder="1" applyAlignment="1" applyProtection="1">
      <alignment horizontal="center"/>
      <protection locked="0"/>
    </xf>
    <xf numFmtId="0" fontId="0" fillId="24" borderId="0" xfId="0" applyFont="1" applyFill="1" applyBorder="1" applyAlignment="1" applyProtection="1">
      <alignment/>
      <protection hidden="1"/>
    </xf>
    <xf numFmtId="0" fontId="9" fillId="24" borderId="10" xfId="0" applyFont="1" applyFill="1" applyBorder="1" applyAlignment="1" applyProtection="1">
      <alignment/>
      <protection hidden="1"/>
    </xf>
    <xf numFmtId="2" fontId="37" fillId="24" borderId="0" xfId="0" applyNumberFormat="1" applyFont="1" applyFill="1" applyBorder="1" applyAlignment="1" applyProtection="1">
      <alignment horizontal="left"/>
      <protection hidden="1"/>
    </xf>
    <xf numFmtId="2" fontId="5" fillId="24" borderId="24" xfId="0" applyNumberFormat="1" applyFont="1" applyFill="1" applyBorder="1" applyAlignment="1" applyProtection="1">
      <alignment horizontal="center"/>
      <protection hidden="1"/>
    </xf>
    <xf numFmtId="0" fontId="21" fillId="24" borderId="0" xfId="0" applyNumberFormat="1" applyFont="1" applyFill="1" applyBorder="1" applyAlignment="1">
      <alignment horizontal="center"/>
    </xf>
    <xf numFmtId="165" fontId="0" fillId="24" borderId="0" xfId="0" applyNumberFormat="1" applyFont="1" applyFill="1" applyBorder="1" applyAlignment="1" applyProtection="1">
      <alignment horizontal="left"/>
      <protection hidden="1"/>
    </xf>
    <xf numFmtId="0" fontId="13" fillId="24" borderId="0" xfId="0" applyFont="1" applyFill="1" applyBorder="1" applyAlignment="1" applyProtection="1">
      <alignment horizontal="left"/>
      <protection hidden="1"/>
    </xf>
    <xf numFmtId="0" fontId="0" fillId="24" borderId="19" xfId="0" applyFill="1" applyBorder="1" applyAlignment="1" applyProtection="1">
      <alignment/>
      <protection hidden="1"/>
    </xf>
    <xf numFmtId="2" fontId="7" fillId="24" borderId="0" xfId="0" applyNumberFormat="1" applyFont="1" applyFill="1" applyBorder="1" applyAlignment="1" applyProtection="1">
      <alignment horizontal="left"/>
      <protection hidden="1"/>
    </xf>
    <xf numFmtId="166" fontId="40" fillId="24" borderId="0" xfId="0" applyNumberFormat="1" applyFont="1" applyFill="1" applyBorder="1" applyAlignment="1" applyProtection="1">
      <alignment horizontal="left"/>
      <protection hidden="1"/>
    </xf>
    <xf numFmtId="0" fontId="11" fillId="24" borderId="0" xfId="0" applyFont="1" applyFill="1" applyBorder="1" applyAlignment="1" applyProtection="1">
      <alignment horizontal="left"/>
      <protection hidden="1"/>
    </xf>
    <xf numFmtId="0" fontId="8" fillId="24" borderId="9" xfId="0" applyFont="1" applyFill="1" applyBorder="1" applyAlignment="1" applyProtection="1">
      <alignment/>
      <protection hidden="1"/>
    </xf>
    <xf numFmtId="166" fontId="27" fillId="24" borderId="8" xfId="0" applyNumberFormat="1" applyFont="1" applyFill="1" applyBorder="1" applyAlignment="1" applyProtection="1">
      <alignment/>
      <protection hidden="1"/>
    </xf>
    <xf numFmtId="0" fontId="5" fillId="24" borderId="0" xfId="0" applyFont="1" applyFill="1" applyBorder="1" applyAlignment="1" applyProtection="1">
      <alignment horizontal="center"/>
      <protection hidden="1"/>
    </xf>
    <xf numFmtId="0" fontId="31" fillId="24" borderId="0" xfId="0" applyFont="1" applyFill="1" applyBorder="1" applyAlignment="1" applyProtection="1">
      <alignment horizontal="centerContinuous"/>
      <protection hidden="1"/>
    </xf>
    <xf numFmtId="2" fontId="7" fillId="24" borderId="0" xfId="0" applyNumberFormat="1" applyFont="1" applyFill="1" applyBorder="1" applyAlignment="1" applyProtection="1">
      <alignment horizontal="centerContinuous"/>
      <protection hidden="1"/>
    </xf>
    <xf numFmtId="0" fontId="31" fillId="24" borderId="0" xfId="0" applyFont="1" applyFill="1" applyBorder="1" applyAlignment="1" applyProtection="1">
      <alignment horizontal="center"/>
      <protection hidden="1"/>
    </xf>
    <xf numFmtId="165" fontId="5" fillId="22" borderId="18" xfId="0" applyNumberFormat="1" applyFont="1" applyFill="1" applyBorder="1" applyAlignment="1" applyProtection="1">
      <alignment horizontal="center"/>
      <protection hidden="1"/>
    </xf>
    <xf numFmtId="13" fontId="5" fillId="22" borderId="16" xfId="0" applyNumberFormat="1" applyFont="1" applyFill="1" applyBorder="1" applyAlignment="1" applyProtection="1">
      <alignment horizontal="center"/>
      <protection hidden="1"/>
    </xf>
    <xf numFmtId="0" fontId="29" fillId="24" borderId="0" xfId="0" applyFont="1" applyFill="1" applyBorder="1" applyAlignment="1" applyProtection="1">
      <alignment horizontal="center"/>
      <protection hidden="1"/>
    </xf>
    <xf numFmtId="0" fontId="21" fillId="24" borderId="0" xfId="0" applyFont="1" applyFill="1" applyBorder="1" applyAlignment="1" applyProtection="1">
      <alignment horizontal="center"/>
      <protection hidden="1"/>
    </xf>
    <xf numFmtId="0" fontId="5" fillId="24" borderId="0" xfId="0" applyFont="1" applyFill="1" applyBorder="1" applyAlignment="1" applyProtection="1">
      <alignment horizontal="centerContinuous"/>
      <protection hidden="1"/>
    </xf>
    <xf numFmtId="0" fontId="31" fillId="24" borderId="0" xfId="0" applyNumberFormat="1" applyFont="1" applyFill="1" applyBorder="1" applyAlignment="1" applyProtection="1">
      <alignment horizontal="center"/>
      <protection hidden="1"/>
    </xf>
    <xf numFmtId="219" fontId="29" fillId="24" borderId="0" xfId="0" applyNumberFormat="1" applyFont="1" applyFill="1" applyBorder="1" applyAlignment="1" applyProtection="1">
      <alignment horizontal="center"/>
      <protection hidden="1"/>
    </xf>
    <xf numFmtId="164" fontId="21" fillId="24" borderId="0" xfId="0" applyNumberFormat="1" applyFont="1" applyFill="1" applyBorder="1" applyAlignment="1" applyProtection="1">
      <alignment horizontal="center"/>
      <protection hidden="1"/>
    </xf>
    <xf numFmtId="2" fontId="39" fillId="24" borderId="0" xfId="0" applyNumberFormat="1" applyFont="1" applyFill="1" applyBorder="1" applyAlignment="1" applyProtection="1">
      <alignment horizontal="center"/>
      <protection hidden="1"/>
    </xf>
    <xf numFmtId="219" fontId="21" fillId="24" borderId="0" xfId="0" applyNumberFormat="1" applyFont="1" applyFill="1" applyBorder="1" applyAlignment="1" applyProtection="1">
      <alignment horizontal="center"/>
      <protection hidden="1"/>
    </xf>
    <xf numFmtId="0" fontId="21" fillId="24" borderId="0" xfId="0" applyNumberFormat="1" applyFont="1" applyFill="1" applyBorder="1" applyAlignment="1" applyProtection="1">
      <alignment horizontal="center"/>
      <protection hidden="1"/>
    </xf>
    <xf numFmtId="166" fontId="21" fillId="24" borderId="0" xfId="0" applyNumberFormat="1" applyFont="1" applyFill="1" applyBorder="1" applyAlignment="1">
      <alignment horizontal="center"/>
    </xf>
    <xf numFmtId="165" fontId="21" fillId="24" borderId="0" xfId="0" applyNumberFormat="1" applyFont="1" applyFill="1" applyBorder="1" applyAlignment="1">
      <alignment horizontal="center"/>
    </xf>
    <xf numFmtId="165" fontId="5" fillId="24" borderId="0" xfId="0" applyNumberFormat="1" applyFont="1" applyFill="1" applyBorder="1" applyAlignment="1" applyProtection="1">
      <alignment horizontal="center"/>
      <protection locked="0"/>
    </xf>
    <xf numFmtId="0" fontId="13" fillId="24" borderId="0" xfId="0" applyFont="1" applyFill="1" applyAlignment="1" applyProtection="1">
      <alignment horizontal="left"/>
      <protection hidden="1"/>
    </xf>
    <xf numFmtId="0" fontId="7" fillId="24" borderId="0" xfId="0" applyFont="1" applyFill="1" applyBorder="1" applyAlignment="1" applyProtection="1">
      <alignment horizontal="right"/>
      <protection hidden="1"/>
    </xf>
    <xf numFmtId="0" fontId="0" fillId="24" borderId="0" xfId="0" applyFont="1" applyFill="1" applyBorder="1" applyAlignment="1" applyProtection="1">
      <alignment/>
      <protection hidden="1"/>
    </xf>
    <xf numFmtId="0" fontId="31" fillId="24" borderId="20" xfId="0" applyFont="1" applyFill="1" applyBorder="1" applyAlignment="1" applyProtection="1">
      <alignment horizontal="centerContinuous"/>
      <protection hidden="1"/>
    </xf>
    <xf numFmtId="0" fontId="31" fillId="24" borderId="22" xfId="0" applyFont="1" applyFill="1" applyBorder="1" applyAlignment="1" applyProtection="1">
      <alignment horizontal="centerContinuous"/>
      <protection hidden="1"/>
    </xf>
    <xf numFmtId="0" fontId="5" fillId="24" borderId="22" xfId="0" applyFont="1" applyFill="1" applyBorder="1" applyAlignment="1" applyProtection="1">
      <alignment horizontal="centerContinuous"/>
      <protection hidden="1"/>
    </xf>
    <xf numFmtId="13" fontId="21" fillId="24" borderId="27" xfId="0" applyNumberFormat="1" applyFont="1" applyFill="1" applyBorder="1" applyAlignment="1" applyProtection="1">
      <alignment horizontal="center"/>
      <protection hidden="1"/>
    </xf>
    <xf numFmtId="13" fontId="21" fillId="24" borderId="26" xfId="0" applyNumberFormat="1" applyFont="1" applyFill="1" applyBorder="1" applyAlignment="1" applyProtection="1">
      <alignment horizontal="center"/>
      <protection hidden="1"/>
    </xf>
    <xf numFmtId="13" fontId="21" fillId="24" borderId="5" xfId="0" applyNumberFormat="1" applyFont="1" applyFill="1" applyBorder="1" applyAlignment="1" applyProtection="1">
      <alignment horizontal="center"/>
      <protection hidden="1"/>
    </xf>
    <xf numFmtId="13" fontId="21" fillId="24" borderId="29" xfId="0" applyNumberFormat="1" applyFont="1" applyFill="1" applyBorder="1" applyAlignment="1" applyProtection="1">
      <alignment horizontal="center"/>
      <protection hidden="1"/>
    </xf>
    <xf numFmtId="13" fontId="21" fillId="24" borderId="32" xfId="0" applyNumberFormat="1" applyFont="1" applyFill="1" applyBorder="1" applyAlignment="1" applyProtection="1">
      <alignment horizontal="center"/>
      <protection hidden="1"/>
    </xf>
    <xf numFmtId="13" fontId="21" fillId="24" borderId="31" xfId="0" applyNumberFormat="1" applyFont="1" applyFill="1" applyBorder="1" applyAlignment="1" applyProtection="1">
      <alignment horizontal="center"/>
      <protection hidden="1"/>
    </xf>
    <xf numFmtId="166" fontId="0" fillId="24" borderId="0" xfId="0" applyNumberFormat="1" applyFill="1" applyAlignment="1" applyProtection="1">
      <alignment/>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7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1"/>
        <xdr:cNvSpPr>
          <a:spLocks/>
        </xdr:cNvSpPr>
      </xdr:nvSpPr>
      <xdr:spPr>
        <a:xfrm>
          <a:off x="407670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2"/>
        <xdr:cNvSpPr>
          <a:spLocks/>
        </xdr:cNvSpPr>
      </xdr:nvSpPr>
      <xdr:spPr>
        <a:xfrm>
          <a:off x="407670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3"/>
        <xdr:cNvSpPr>
          <a:spLocks/>
        </xdr:cNvSpPr>
      </xdr:nvSpPr>
      <xdr:spPr>
        <a:xfrm>
          <a:off x="436245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114300</xdr:rowOff>
    </xdr:from>
    <xdr:to>
      <xdr:col>6</xdr:col>
      <xdr:colOff>257175</xdr:colOff>
      <xdr:row>18</xdr:row>
      <xdr:rowOff>57150</xdr:rowOff>
    </xdr:to>
    <xdr:sp>
      <xdr:nvSpPr>
        <xdr:cNvPr id="4" name="Rectangle 4"/>
        <xdr:cNvSpPr>
          <a:spLocks/>
        </xdr:cNvSpPr>
      </xdr:nvSpPr>
      <xdr:spPr>
        <a:xfrm>
          <a:off x="415290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15</xdr:row>
      <xdr:rowOff>114300</xdr:rowOff>
    </xdr:from>
    <xdr:to>
      <xdr:col>6</xdr:col>
      <xdr:colOff>504825</xdr:colOff>
      <xdr:row>18</xdr:row>
      <xdr:rowOff>57150</xdr:rowOff>
    </xdr:to>
    <xdr:sp>
      <xdr:nvSpPr>
        <xdr:cNvPr id="5" name="Rectangle 6"/>
        <xdr:cNvSpPr>
          <a:spLocks/>
        </xdr:cNvSpPr>
      </xdr:nvSpPr>
      <xdr:spPr>
        <a:xfrm>
          <a:off x="440055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16</xdr:row>
      <xdr:rowOff>0</xdr:rowOff>
    </xdr:from>
    <xdr:to>
      <xdr:col>6</xdr:col>
      <xdr:colOff>457200</xdr:colOff>
      <xdr:row>16</xdr:row>
      <xdr:rowOff>47625</xdr:rowOff>
    </xdr:to>
    <xdr:sp>
      <xdr:nvSpPr>
        <xdr:cNvPr id="6" name="Oval 8"/>
        <xdr:cNvSpPr>
          <a:spLocks/>
        </xdr:cNvSpPr>
      </xdr:nvSpPr>
      <xdr:spPr>
        <a:xfrm>
          <a:off x="4514850"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16</xdr:row>
      <xdr:rowOff>142875</xdr:rowOff>
    </xdr:from>
    <xdr:to>
      <xdr:col>6</xdr:col>
      <xdr:colOff>457200</xdr:colOff>
      <xdr:row>17</xdr:row>
      <xdr:rowOff>28575</xdr:rowOff>
    </xdr:to>
    <xdr:sp>
      <xdr:nvSpPr>
        <xdr:cNvPr id="7" name="Oval 9"/>
        <xdr:cNvSpPr>
          <a:spLocks/>
        </xdr:cNvSpPr>
      </xdr:nvSpPr>
      <xdr:spPr>
        <a:xfrm>
          <a:off x="4514850" y="2771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17</xdr:row>
      <xdr:rowOff>114300</xdr:rowOff>
    </xdr:from>
    <xdr:to>
      <xdr:col>6</xdr:col>
      <xdr:colOff>457200</xdr:colOff>
      <xdr:row>18</xdr:row>
      <xdr:rowOff>0</xdr:rowOff>
    </xdr:to>
    <xdr:sp>
      <xdr:nvSpPr>
        <xdr:cNvPr id="8" name="Oval 10"/>
        <xdr:cNvSpPr>
          <a:spLocks/>
        </xdr:cNvSpPr>
      </xdr:nvSpPr>
      <xdr:spPr>
        <a:xfrm>
          <a:off x="4514850"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16</xdr:row>
      <xdr:rowOff>0</xdr:rowOff>
    </xdr:from>
    <xdr:to>
      <xdr:col>6</xdr:col>
      <xdr:colOff>142875</xdr:colOff>
      <xdr:row>16</xdr:row>
      <xdr:rowOff>47625</xdr:rowOff>
    </xdr:to>
    <xdr:sp>
      <xdr:nvSpPr>
        <xdr:cNvPr id="9" name="Oval 11"/>
        <xdr:cNvSpPr>
          <a:spLocks/>
        </xdr:cNvSpPr>
      </xdr:nvSpPr>
      <xdr:spPr>
        <a:xfrm>
          <a:off x="4200525"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16</xdr:row>
      <xdr:rowOff>142875</xdr:rowOff>
    </xdr:from>
    <xdr:to>
      <xdr:col>6</xdr:col>
      <xdr:colOff>142875</xdr:colOff>
      <xdr:row>17</xdr:row>
      <xdr:rowOff>28575</xdr:rowOff>
    </xdr:to>
    <xdr:sp>
      <xdr:nvSpPr>
        <xdr:cNvPr id="10" name="Oval 12"/>
        <xdr:cNvSpPr>
          <a:spLocks/>
        </xdr:cNvSpPr>
      </xdr:nvSpPr>
      <xdr:spPr>
        <a:xfrm>
          <a:off x="4200525" y="2771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17</xdr:row>
      <xdr:rowOff>114300</xdr:rowOff>
    </xdr:from>
    <xdr:to>
      <xdr:col>6</xdr:col>
      <xdr:colOff>142875</xdr:colOff>
      <xdr:row>18</xdr:row>
      <xdr:rowOff>0</xdr:rowOff>
    </xdr:to>
    <xdr:sp>
      <xdr:nvSpPr>
        <xdr:cNvPr id="11" name="Oval 13"/>
        <xdr:cNvSpPr>
          <a:spLocks/>
        </xdr:cNvSpPr>
      </xdr:nvSpPr>
      <xdr:spPr>
        <a:xfrm>
          <a:off x="4200525"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14</xdr:row>
      <xdr:rowOff>142875</xdr:rowOff>
    </xdr:from>
    <xdr:to>
      <xdr:col>8</xdr:col>
      <xdr:colOff>76200</xdr:colOff>
      <xdr:row>16</xdr:row>
      <xdr:rowOff>142875</xdr:rowOff>
    </xdr:to>
    <xdr:sp>
      <xdr:nvSpPr>
        <xdr:cNvPr id="12" name="Line 14"/>
        <xdr:cNvSpPr>
          <a:spLocks/>
        </xdr:cNvSpPr>
      </xdr:nvSpPr>
      <xdr:spPr>
        <a:xfrm>
          <a:off x="540067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17</xdr:row>
      <xdr:rowOff>85725</xdr:rowOff>
    </xdr:from>
    <xdr:to>
      <xdr:col>8</xdr:col>
      <xdr:colOff>76200</xdr:colOff>
      <xdr:row>19</xdr:row>
      <xdr:rowOff>133350</xdr:rowOff>
    </xdr:to>
    <xdr:sp>
      <xdr:nvSpPr>
        <xdr:cNvPr id="13" name="Line 15"/>
        <xdr:cNvSpPr>
          <a:spLocks/>
        </xdr:cNvSpPr>
      </xdr:nvSpPr>
      <xdr:spPr>
        <a:xfrm>
          <a:off x="5400675" y="28765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16</xdr:row>
      <xdr:rowOff>142875</xdr:rowOff>
    </xdr:from>
    <xdr:to>
      <xdr:col>8</xdr:col>
      <xdr:colOff>76200</xdr:colOff>
      <xdr:row>16</xdr:row>
      <xdr:rowOff>142875</xdr:rowOff>
    </xdr:to>
    <xdr:sp>
      <xdr:nvSpPr>
        <xdr:cNvPr id="14" name="Line 16"/>
        <xdr:cNvSpPr>
          <a:spLocks/>
        </xdr:cNvSpPr>
      </xdr:nvSpPr>
      <xdr:spPr>
        <a:xfrm flipH="1">
          <a:off x="534352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17</xdr:row>
      <xdr:rowOff>85725</xdr:rowOff>
    </xdr:from>
    <xdr:to>
      <xdr:col>8</xdr:col>
      <xdr:colOff>133350</xdr:colOff>
      <xdr:row>17</xdr:row>
      <xdr:rowOff>85725</xdr:rowOff>
    </xdr:to>
    <xdr:sp>
      <xdr:nvSpPr>
        <xdr:cNvPr id="15" name="Line 17"/>
        <xdr:cNvSpPr>
          <a:spLocks/>
        </xdr:cNvSpPr>
      </xdr:nvSpPr>
      <xdr:spPr>
        <a:xfrm>
          <a:off x="540067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16</xdr:row>
      <xdr:rowOff>142875</xdr:rowOff>
    </xdr:from>
    <xdr:to>
      <xdr:col>8</xdr:col>
      <xdr:colOff>133350</xdr:colOff>
      <xdr:row>17</xdr:row>
      <xdr:rowOff>85725</xdr:rowOff>
    </xdr:to>
    <xdr:sp>
      <xdr:nvSpPr>
        <xdr:cNvPr id="16" name="Line 18"/>
        <xdr:cNvSpPr>
          <a:spLocks/>
        </xdr:cNvSpPr>
      </xdr:nvSpPr>
      <xdr:spPr>
        <a:xfrm>
          <a:off x="534352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190500</xdr:colOff>
      <xdr:row>18</xdr:row>
      <xdr:rowOff>57150</xdr:rowOff>
    </xdr:to>
    <xdr:sp>
      <xdr:nvSpPr>
        <xdr:cNvPr id="17" name="Rectangle 20"/>
        <xdr:cNvSpPr>
          <a:spLocks/>
        </xdr:cNvSpPr>
      </xdr:nvSpPr>
      <xdr:spPr>
        <a:xfrm>
          <a:off x="4867275"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15</xdr:row>
      <xdr:rowOff>57150</xdr:rowOff>
    </xdr:from>
    <xdr:to>
      <xdr:col>7</xdr:col>
      <xdr:colOff>190500</xdr:colOff>
      <xdr:row>18</xdr:row>
      <xdr:rowOff>152400</xdr:rowOff>
    </xdr:to>
    <xdr:sp>
      <xdr:nvSpPr>
        <xdr:cNvPr id="18" name="Line 23"/>
        <xdr:cNvSpPr>
          <a:spLocks/>
        </xdr:cNvSpPr>
      </xdr:nvSpPr>
      <xdr:spPr>
        <a:xfrm>
          <a:off x="4905375" y="25241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16</xdr:row>
      <xdr:rowOff>19050</xdr:rowOff>
    </xdr:from>
    <xdr:to>
      <xdr:col>7</xdr:col>
      <xdr:colOff>323850</xdr:colOff>
      <xdr:row>16</xdr:row>
      <xdr:rowOff>19050</xdr:rowOff>
    </xdr:to>
    <xdr:sp>
      <xdr:nvSpPr>
        <xdr:cNvPr id="19" name="Line 24"/>
        <xdr:cNvSpPr>
          <a:spLocks/>
        </xdr:cNvSpPr>
      </xdr:nvSpPr>
      <xdr:spPr>
        <a:xfrm>
          <a:off x="4210050" y="264795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0</xdr:rowOff>
    </xdr:from>
    <xdr:to>
      <xdr:col>7</xdr:col>
      <xdr:colOff>323850</xdr:colOff>
      <xdr:row>17</xdr:row>
      <xdr:rowOff>0</xdr:rowOff>
    </xdr:to>
    <xdr:sp>
      <xdr:nvSpPr>
        <xdr:cNvPr id="20" name="Line 25"/>
        <xdr:cNvSpPr>
          <a:spLocks/>
        </xdr:cNvSpPr>
      </xdr:nvSpPr>
      <xdr:spPr>
        <a:xfrm>
          <a:off x="4210050" y="279082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142875</xdr:rowOff>
    </xdr:from>
    <xdr:to>
      <xdr:col>7</xdr:col>
      <xdr:colOff>323850</xdr:colOff>
      <xdr:row>17</xdr:row>
      <xdr:rowOff>142875</xdr:rowOff>
    </xdr:to>
    <xdr:sp>
      <xdr:nvSpPr>
        <xdr:cNvPr id="21" name="Line 26"/>
        <xdr:cNvSpPr>
          <a:spLocks/>
        </xdr:cNvSpPr>
      </xdr:nvSpPr>
      <xdr:spPr>
        <a:xfrm>
          <a:off x="4210050" y="293370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16</xdr:row>
      <xdr:rowOff>0</xdr:rowOff>
    </xdr:from>
    <xdr:to>
      <xdr:col>7</xdr:col>
      <xdr:colOff>190500</xdr:colOff>
      <xdr:row>16</xdr:row>
      <xdr:rowOff>47625</xdr:rowOff>
    </xdr:to>
    <xdr:sp>
      <xdr:nvSpPr>
        <xdr:cNvPr id="22" name="Rectangle 27"/>
        <xdr:cNvSpPr>
          <a:spLocks/>
        </xdr:cNvSpPr>
      </xdr:nvSpPr>
      <xdr:spPr>
        <a:xfrm>
          <a:off x="4867275" y="26289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16</xdr:row>
      <xdr:rowOff>142875</xdr:rowOff>
    </xdr:from>
    <xdr:to>
      <xdr:col>7</xdr:col>
      <xdr:colOff>190500</xdr:colOff>
      <xdr:row>17</xdr:row>
      <xdr:rowOff>28575</xdr:rowOff>
    </xdr:to>
    <xdr:sp>
      <xdr:nvSpPr>
        <xdr:cNvPr id="23" name="Rectangle 28"/>
        <xdr:cNvSpPr>
          <a:spLocks/>
        </xdr:cNvSpPr>
      </xdr:nvSpPr>
      <xdr:spPr>
        <a:xfrm>
          <a:off x="4867275" y="27717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17</xdr:row>
      <xdr:rowOff>114300</xdr:rowOff>
    </xdr:from>
    <xdr:to>
      <xdr:col>7</xdr:col>
      <xdr:colOff>190500</xdr:colOff>
      <xdr:row>18</xdr:row>
      <xdr:rowOff>0</xdr:rowOff>
    </xdr:to>
    <xdr:sp>
      <xdr:nvSpPr>
        <xdr:cNvPr id="24" name="Rectangle 29"/>
        <xdr:cNvSpPr>
          <a:spLocks/>
        </xdr:cNvSpPr>
      </xdr:nvSpPr>
      <xdr:spPr>
        <a:xfrm>
          <a:off x="4867275" y="2905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25" name="Line 30"/>
        <xdr:cNvSpPr>
          <a:spLocks/>
        </xdr:cNvSpPr>
      </xdr:nvSpPr>
      <xdr:spPr>
        <a:xfrm>
          <a:off x="436245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26" name="Line 31"/>
        <xdr:cNvSpPr>
          <a:spLocks/>
        </xdr:cNvSpPr>
      </xdr:nvSpPr>
      <xdr:spPr>
        <a:xfrm>
          <a:off x="436245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13</xdr:row>
      <xdr:rowOff>142875</xdr:rowOff>
    </xdr:from>
    <xdr:to>
      <xdr:col>6</xdr:col>
      <xdr:colOff>114300</xdr:colOff>
      <xdr:row>15</xdr:row>
      <xdr:rowOff>142875</xdr:rowOff>
    </xdr:to>
    <xdr:sp>
      <xdr:nvSpPr>
        <xdr:cNvPr id="27" name="Line 32"/>
        <xdr:cNvSpPr>
          <a:spLocks/>
        </xdr:cNvSpPr>
      </xdr:nvSpPr>
      <xdr:spPr>
        <a:xfrm flipV="1">
          <a:off x="4219575" y="2286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13</xdr:row>
      <xdr:rowOff>142875</xdr:rowOff>
    </xdr:from>
    <xdr:to>
      <xdr:col>6</xdr:col>
      <xdr:colOff>438150</xdr:colOff>
      <xdr:row>15</xdr:row>
      <xdr:rowOff>142875</xdr:rowOff>
    </xdr:to>
    <xdr:sp>
      <xdr:nvSpPr>
        <xdr:cNvPr id="28" name="Line 33"/>
        <xdr:cNvSpPr>
          <a:spLocks/>
        </xdr:cNvSpPr>
      </xdr:nvSpPr>
      <xdr:spPr>
        <a:xfrm flipV="1">
          <a:off x="4543425" y="2286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14</xdr:row>
      <xdr:rowOff>19050</xdr:rowOff>
    </xdr:from>
    <xdr:to>
      <xdr:col>6</xdr:col>
      <xdr:colOff>438150</xdr:colOff>
      <xdr:row>14</xdr:row>
      <xdr:rowOff>19050</xdr:rowOff>
    </xdr:to>
    <xdr:sp>
      <xdr:nvSpPr>
        <xdr:cNvPr id="29" name="Line 34"/>
        <xdr:cNvSpPr>
          <a:spLocks/>
        </xdr:cNvSpPr>
      </xdr:nvSpPr>
      <xdr:spPr>
        <a:xfrm>
          <a:off x="4219575" y="2324100"/>
          <a:ext cx="323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16</xdr:row>
      <xdr:rowOff>19050</xdr:rowOff>
    </xdr:from>
    <xdr:to>
      <xdr:col>6</xdr:col>
      <xdr:colOff>76200</xdr:colOff>
      <xdr:row>16</xdr:row>
      <xdr:rowOff>19050</xdr:rowOff>
    </xdr:to>
    <xdr:sp>
      <xdr:nvSpPr>
        <xdr:cNvPr id="30" name="Line 35"/>
        <xdr:cNvSpPr>
          <a:spLocks/>
        </xdr:cNvSpPr>
      </xdr:nvSpPr>
      <xdr:spPr>
        <a:xfrm flipH="1">
          <a:off x="3971925" y="26479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17</xdr:row>
      <xdr:rowOff>142875</xdr:rowOff>
    </xdr:from>
    <xdr:to>
      <xdr:col>6</xdr:col>
      <xdr:colOff>76200</xdr:colOff>
      <xdr:row>17</xdr:row>
      <xdr:rowOff>142875</xdr:rowOff>
    </xdr:to>
    <xdr:sp>
      <xdr:nvSpPr>
        <xdr:cNvPr id="31" name="Line 36"/>
        <xdr:cNvSpPr>
          <a:spLocks/>
        </xdr:cNvSpPr>
      </xdr:nvSpPr>
      <xdr:spPr>
        <a:xfrm flipH="1">
          <a:off x="3971925" y="29337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16</xdr:row>
      <xdr:rowOff>19050</xdr:rowOff>
    </xdr:from>
    <xdr:to>
      <xdr:col>5</xdr:col>
      <xdr:colOff>523875</xdr:colOff>
      <xdr:row>17</xdr:row>
      <xdr:rowOff>142875</xdr:rowOff>
    </xdr:to>
    <xdr:sp>
      <xdr:nvSpPr>
        <xdr:cNvPr id="32" name="Line 37"/>
        <xdr:cNvSpPr>
          <a:spLocks/>
        </xdr:cNvSpPr>
      </xdr:nvSpPr>
      <xdr:spPr>
        <a:xfrm>
          <a:off x="4019550" y="2647950"/>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21</xdr:row>
      <xdr:rowOff>0</xdr:rowOff>
    </xdr:from>
    <xdr:to>
      <xdr:col>6</xdr:col>
      <xdr:colOff>504825</xdr:colOff>
      <xdr:row>21</xdr:row>
      <xdr:rowOff>0</xdr:rowOff>
    </xdr:to>
    <xdr:sp>
      <xdr:nvSpPr>
        <xdr:cNvPr id="33" name="Line 40"/>
        <xdr:cNvSpPr>
          <a:spLocks/>
        </xdr:cNvSpPr>
      </xdr:nvSpPr>
      <xdr:spPr>
        <a:xfrm>
          <a:off x="4152900" y="3438525"/>
          <a:ext cx="457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16</xdr:row>
      <xdr:rowOff>19050</xdr:rowOff>
    </xdr:from>
    <xdr:to>
      <xdr:col>6</xdr:col>
      <xdr:colOff>571500</xdr:colOff>
      <xdr:row>17</xdr:row>
      <xdr:rowOff>0</xdr:rowOff>
    </xdr:to>
    <xdr:sp>
      <xdr:nvSpPr>
        <xdr:cNvPr id="34" name="Line 42"/>
        <xdr:cNvSpPr>
          <a:spLocks/>
        </xdr:cNvSpPr>
      </xdr:nvSpPr>
      <xdr:spPr>
        <a:xfrm>
          <a:off x="4676775" y="26479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17</xdr:row>
      <xdr:rowOff>0</xdr:rowOff>
    </xdr:from>
    <xdr:to>
      <xdr:col>6</xdr:col>
      <xdr:colOff>571500</xdr:colOff>
      <xdr:row>17</xdr:row>
      <xdr:rowOff>142875</xdr:rowOff>
    </xdr:to>
    <xdr:sp>
      <xdr:nvSpPr>
        <xdr:cNvPr id="35" name="Line 43"/>
        <xdr:cNvSpPr>
          <a:spLocks/>
        </xdr:cNvSpPr>
      </xdr:nvSpPr>
      <xdr:spPr>
        <a:xfrm>
          <a:off x="4676775" y="279082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133350</xdr:rowOff>
    </xdr:from>
    <xdr:to>
      <xdr:col>7</xdr:col>
      <xdr:colOff>152400</xdr:colOff>
      <xdr:row>11</xdr:row>
      <xdr:rowOff>95250</xdr:rowOff>
    </xdr:to>
    <xdr:sp>
      <xdr:nvSpPr>
        <xdr:cNvPr id="36" name="Line 44"/>
        <xdr:cNvSpPr>
          <a:spLocks/>
        </xdr:cNvSpPr>
      </xdr:nvSpPr>
      <xdr:spPr>
        <a:xfrm flipV="1">
          <a:off x="4867275"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13</xdr:row>
      <xdr:rowOff>142875</xdr:rowOff>
    </xdr:from>
    <xdr:to>
      <xdr:col>7</xdr:col>
      <xdr:colOff>190500</xdr:colOff>
      <xdr:row>14</xdr:row>
      <xdr:rowOff>152400</xdr:rowOff>
    </xdr:to>
    <xdr:sp>
      <xdr:nvSpPr>
        <xdr:cNvPr id="37" name="Line 45"/>
        <xdr:cNvSpPr>
          <a:spLocks/>
        </xdr:cNvSpPr>
      </xdr:nvSpPr>
      <xdr:spPr>
        <a:xfrm flipV="1">
          <a:off x="4905375" y="2286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14</xdr:row>
      <xdr:rowOff>19050</xdr:rowOff>
    </xdr:from>
    <xdr:to>
      <xdr:col>7</xdr:col>
      <xdr:colOff>152400</xdr:colOff>
      <xdr:row>14</xdr:row>
      <xdr:rowOff>19050</xdr:rowOff>
    </xdr:to>
    <xdr:sp>
      <xdr:nvSpPr>
        <xdr:cNvPr id="38" name="Line 46"/>
        <xdr:cNvSpPr>
          <a:spLocks/>
        </xdr:cNvSpPr>
      </xdr:nvSpPr>
      <xdr:spPr>
        <a:xfrm>
          <a:off x="4733925" y="23241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14</xdr:row>
      <xdr:rowOff>19050</xdr:rowOff>
    </xdr:from>
    <xdr:to>
      <xdr:col>7</xdr:col>
      <xdr:colOff>323850</xdr:colOff>
      <xdr:row>14</xdr:row>
      <xdr:rowOff>19050</xdr:rowOff>
    </xdr:to>
    <xdr:sp>
      <xdr:nvSpPr>
        <xdr:cNvPr id="39" name="Line 47"/>
        <xdr:cNvSpPr>
          <a:spLocks/>
        </xdr:cNvSpPr>
      </xdr:nvSpPr>
      <xdr:spPr>
        <a:xfrm flipH="1">
          <a:off x="4905375" y="23241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19050</xdr:rowOff>
    </xdr:from>
    <xdr:to>
      <xdr:col>7</xdr:col>
      <xdr:colOff>190500</xdr:colOff>
      <xdr:row>14</xdr:row>
      <xdr:rowOff>19050</xdr:rowOff>
    </xdr:to>
    <xdr:sp>
      <xdr:nvSpPr>
        <xdr:cNvPr id="40" name="Line 48"/>
        <xdr:cNvSpPr>
          <a:spLocks/>
        </xdr:cNvSpPr>
      </xdr:nvSpPr>
      <xdr:spPr>
        <a:xfrm>
          <a:off x="4867275" y="232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41" name="Line 49"/>
        <xdr:cNvSpPr>
          <a:spLocks/>
        </xdr:cNvSpPr>
      </xdr:nvSpPr>
      <xdr:spPr>
        <a:xfrm flipH="1">
          <a:off x="440055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42" name="Line 50"/>
        <xdr:cNvSpPr>
          <a:spLocks/>
        </xdr:cNvSpPr>
      </xdr:nvSpPr>
      <xdr:spPr>
        <a:xfrm>
          <a:off x="436245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15</xdr:row>
      <xdr:rowOff>19050</xdr:rowOff>
    </xdr:from>
    <xdr:to>
      <xdr:col>8</xdr:col>
      <xdr:colOff>76200</xdr:colOff>
      <xdr:row>15</xdr:row>
      <xdr:rowOff>76200</xdr:rowOff>
    </xdr:to>
    <xdr:sp>
      <xdr:nvSpPr>
        <xdr:cNvPr id="43" name="Rectangle 51"/>
        <xdr:cNvSpPr>
          <a:spLocks/>
        </xdr:cNvSpPr>
      </xdr:nvSpPr>
      <xdr:spPr>
        <a:xfrm>
          <a:off x="490537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18</xdr:row>
      <xdr:rowOff>152400</xdr:rowOff>
    </xdr:from>
    <xdr:to>
      <xdr:col>8</xdr:col>
      <xdr:colOff>76200</xdr:colOff>
      <xdr:row>19</xdr:row>
      <xdr:rowOff>47625</xdr:rowOff>
    </xdr:to>
    <xdr:sp>
      <xdr:nvSpPr>
        <xdr:cNvPr id="44" name="Rectangle 52"/>
        <xdr:cNvSpPr>
          <a:spLocks/>
        </xdr:cNvSpPr>
      </xdr:nvSpPr>
      <xdr:spPr>
        <a:xfrm>
          <a:off x="490537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45" name="Line 53"/>
        <xdr:cNvSpPr>
          <a:spLocks/>
        </xdr:cNvSpPr>
      </xdr:nvSpPr>
      <xdr:spPr>
        <a:xfrm>
          <a:off x="544830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16</xdr:row>
      <xdr:rowOff>76200</xdr:rowOff>
    </xdr:from>
    <xdr:to>
      <xdr:col>7</xdr:col>
      <xdr:colOff>447675</xdr:colOff>
      <xdr:row>18</xdr:row>
      <xdr:rowOff>85725</xdr:rowOff>
    </xdr:to>
    <xdr:sp>
      <xdr:nvSpPr>
        <xdr:cNvPr id="46" name="Line 54"/>
        <xdr:cNvSpPr>
          <a:spLocks/>
        </xdr:cNvSpPr>
      </xdr:nvSpPr>
      <xdr:spPr>
        <a:xfrm>
          <a:off x="5162550" y="27051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16</xdr:row>
      <xdr:rowOff>19050</xdr:rowOff>
    </xdr:from>
    <xdr:to>
      <xdr:col>8</xdr:col>
      <xdr:colOff>257175</xdr:colOff>
      <xdr:row>16</xdr:row>
      <xdr:rowOff>19050</xdr:rowOff>
    </xdr:to>
    <xdr:sp>
      <xdr:nvSpPr>
        <xdr:cNvPr id="47" name="Line 55"/>
        <xdr:cNvSpPr>
          <a:spLocks/>
        </xdr:cNvSpPr>
      </xdr:nvSpPr>
      <xdr:spPr>
        <a:xfrm>
          <a:off x="5114925" y="26479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15</xdr:row>
      <xdr:rowOff>19050</xdr:rowOff>
    </xdr:from>
    <xdr:to>
      <xdr:col>8</xdr:col>
      <xdr:colOff>200025</xdr:colOff>
      <xdr:row>16</xdr:row>
      <xdr:rowOff>19050</xdr:rowOff>
    </xdr:to>
    <xdr:sp>
      <xdr:nvSpPr>
        <xdr:cNvPr id="48" name="Line 56"/>
        <xdr:cNvSpPr>
          <a:spLocks/>
        </xdr:cNvSpPr>
      </xdr:nvSpPr>
      <xdr:spPr>
        <a:xfrm>
          <a:off x="5524500" y="248602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xdr:row>
      <xdr:rowOff>114300</xdr:rowOff>
    </xdr:from>
    <xdr:to>
      <xdr:col>7</xdr:col>
      <xdr:colOff>200025</xdr:colOff>
      <xdr:row>18</xdr:row>
      <xdr:rowOff>66675</xdr:rowOff>
    </xdr:to>
    <xdr:sp>
      <xdr:nvSpPr>
        <xdr:cNvPr id="49" name="Line 59"/>
        <xdr:cNvSpPr>
          <a:spLocks/>
        </xdr:cNvSpPr>
      </xdr:nvSpPr>
      <xdr:spPr>
        <a:xfrm>
          <a:off x="4914900" y="25812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xdr:row>
      <xdr:rowOff>28575</xdr:rowOff>
    </xdr:from>
    <xdr:to>
      <xdr:col>8</xdr:col>
      <xdr:colOff>0</xdr:colOff>
      <xdr:row>16</xdr:row>
      <xdr:rowOff>95250</xdr:rowOff>
    </xdr:to>
    <xdr:sp>
      <xdr:nvSpPr>
        <xdr:cNvPr id="50" name="Line 68"/>
        <xdr:cNvSpPr>
          <a:spLocks/>
        </xdr:cNvSpPr>
      </xdr:nvSpPr>
      <xdr:spPr>
        <a:xfrm flipH="1">
          <a:off x="4924425" y="2333625"/>
          <a:ext cx="4000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28575</xdr:rowOff>
    </xdr:from>
    <xdr:to>
      <xdr:col>8</xdr:col>
      <xdr:colOff>428625</xdr:colOff>
      <xdr:row>14</xdr:row>
      <xdr:rowOff>28575</xdr:rowOff>
    </xdr:to>
    <xdr:sp>
      <xdr:nvSpPr>
        <xdr:cNvPr id="51" name="Line 69"/>
        <xdr:cNvSpPr>
          <a:spLocks/>
        </xdr:cNvSpPr>
      </xdr:nvSpPr>
      <xdr:spPr>
        <a:xfrm>
          <a:off x="5324475" y="2333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14</xdr:row>
      <xdr:rowOff>28575</xdr:rowOff>
    </xdr:from>
    <xdr:to>
      <xdr:col>8</xdr:col>
      <xdr:colOff>247650</xdr:colOff>
      <xdr:row>14</xdr:row>
      <xdr:rowOff>133350</xdr:rowOff>
    </xdr:to>
    <xdr:sp>
      <xdr:nvSpPr>
        <xdr:cNvPr id="52" name="Line 70"/>
        <xdr:cNvSpPr>
          <a:spLocks/>
        </xdr:cNvSpPr>
      </xdr:nvSpPr>
      <xdr:spPr>
        <a:xfrm>
          <a:off x="5572125" y="23336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14</xdr:row>
      <xdr:rowOff>28575</xdr:rowOff>
    </xdr:from>
    <xdr:to>
      <xdr:col>8</xdr:col>
      <xdr:colOff>352425</xdr:colOff>
      <xdr:row>14</xdr:row>
      <xdr:rowOff>133350</xdr:rowOff>
    </xdr:to>
    <xdr:sp>
      <xdr:nvSpPr>
        <xdr:cNvPr id="53" name="Line 71"/>
        <xdr:cNvSpPr>
          <a:spLocks/>
        </xdr:cNvSpPr>
      </xdr:nvSpPr>
      <xdr:spPr>
        <a:xfrm flipV="1">
          <a:off x="5572125" y="2333625"/>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54" name="Line 72"/>
        <xdr:cNvSpPr>
          <a:spLocks/>
        </xdr:cNvSpPr>
      </xdr:nvSpPr>
      <xdr:spPr>
        <a:xfrm>
          <a:off x="544830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55" name="Rectangle 73"/>
        <xdr:cNvSpPr>
          <a:spLocks/>
        </xdr:cNvSpPr>
      </xdr:nvSpPr>
      <xdr:spPr>
        <a:xfrm>
          <a:off x="407670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56" name="Rectangle 74"/>
        <xdr:cNvSpPr>
          <a:spLocks/>
        </xdr:cNvSpPr>
      </xdr:nvSpPr>
      <xdr:spPr>
        <a:xfrm>
          <a:off x="4076700" y="50482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57" name="Rectangle 75"/>
        <xdr:cNvSpPr>
          <a:spLocks/>
        </xdr:cNvSpPr>
      </xdr:nvSpPr>
      <xdr:spPr>
        <a:xfrm>
          <a:off x="4362450" y="44862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27</xdr:row>
      <xdr:rowOff>114300</xdr:rowOff>
    </xdr:from>
    <xdr:to>
      <xdr:col>6</xdr:col>
      <xdr:colOff>257175</xdr:colOff>
      <xdr:row>30</xdr:row>
      <xdr:rowOff>57150</xdr:rowOff>
    </xdr:to>
    <xdr:sp>
      <xdr:nvSpPr>
        <xdr:cNvPr id="58" name="Rectangle 76"/>
        <xdr:cNvSpPr>
          <a:spLocks/>
        </xdr:cNvSpPr>
      </xdr:nvSpPr>
      <xdr:spPr>
        <a:xfrm>
          <a:off x="415290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27</xdr:row>
      <xdr:rowOff>114300</xdr:rowOff>
    </xdr:from>
    <xdr:to>
      <xdr:col>6</xdr:col>
      <xdr:colOff>504825</xdr:colOff>
      <xdr:row>30</xdr:row>
      <xdr:rowOff>57150</xdr:rowOff>
    </xdr:to>
    <xdr:sp>
      <xdr:nvSpPr>
        <xdr:cNvPr id="59" name="Rectangle 78"/>
        <xdr:cNvSpPr>
          <a:spLocks/>
        </xdr:cNvSpPr>
      </xdr:nvSpPr>
      <xdr:spPr>
        <a:xfrm>
          <a:off x="440055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28</xdr:row>
      <xdr:rowOff>0</xdr:rowOff>
    </xdr:from>
    <xdr:to>
      <xdr:col>6</xdr:col>
      <xdr:colOff>457200</xdr:colOff>
      <xdr:row>28</xdr:row>
      <xdr:rowOff>47625</xdr:rowOff>
    </xdr:to>
    <xdr:sp>
      <xdr:nvSpPr>
        <xdr:cNvPr id="60" name="Oval 80"/>
        <xdr:cNvSpPr>
          <a:spLocks/>
        </xdr:cNvSpPr>
      </xdr:nvSpPr>
      <xdr:spPr>
        <a:xfrm>
          <a:off x="4514850" y="4572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28</xdr:row>
      <xdr:rowOff>142875</xdr:rowOff>
    </xdr:from>
    <xdr:to>
      <xdr:col>6</xdr:col>
      <xdr:colOff>457200</xdr:colOff>
      <xdr:row>29</xdr:row>
      <xdr:rowOff>28575</xdr:rowOff>
    </xdr:to>
    <xdr:sp>
      <xdr:nvSpPr>
        <xdr:cNvPr id="61" name="Oval 81"/>
        <xdr:cNvSpPr>
          <a:spLocks/>
        </xdr:cNvSpPr>
      </xdr:nvSpPr>
      <xdr:spPr>
        <a:xfrm>
          <a:off x="4514850" y="4714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29</xdr:row>
      <xdr:rowOff>114300</xdr:rowOff>
    </xdr:from>
    <xdr:to>
      <xdr:col>6</xdr:col>
      <xdr:colOff>457200</xdr:colOff>
      <xdr:row>30</xdr:row>
      <xdr:rowOff>0</xdr:rowOff>
    </xdr:to>
    <xdr:sp>
      <xdr:nvSpPr>
        <xdr:cNvPr id="62" name="Oval 82"/>
        <xdr:cNvSpPr>
          <a:spLocks/>
        </xdr:cNvSpPr>
      </xdr:nvSpPr>
      <xdr:spPr>
        <a:xfrm>
          <a:off x="4514850" y="48482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28</xdr:row>
      <xdr:rowOff>0</xdr:rowOff>
    </xdr:from>
    <xdr:to>
      <xdr:col>6</xdr:col>
      <xdr:colOff>142875</xdr:colOff>
      <xdr:row>28</xdr:row>
      <xdr:rowOff>47625</xdr:rowOff>
    </xdr:to>
    <xdr:sp>
      <xdr:nvSpPr>
        <xdr:cNvPr id="63" name="Oval 83"/>
        <xdr:cNvSpPr>
          <a:spLocks/>
        </xdr:cNvSpPr>
      </xdr:nvSpPr>
      <xdr:spPr>
        <a:xfrm>
          <a:off x="4200525" y="4572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28</xdr:row>
      <xdr:rowOff>142875</xdr:rowOff>
    </xdr:from>
    <xdr:to>
      <xdr:col>6</xdr:col>
      <xdr:colOff>142875</xdr:colOff>
      <xdr:row>29</xdr:row>
      <xdr:rowOff>28575</xdr:rowOff>
    </xdr:to>
    <xdr:sp>
      <xdr:nvSpPr>
        <xdr:cNvPr id="64" name="Oval 84"/>
        <xdr:cNvSpPr>
          <a:spLocks/>
        </xdr:cNvSpPr>
      </xdr:nvSpPr>
      <xdr:spPr>
        <a:xfrm>
          <a:off x="4200525" y="4714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29</xdr:row>
      <xdr:rowOff>114300</xdr:rowOff>
    </xdr:from>
    <xdr:to>
      <xdr:col>6</xdr:col>
      <xdr:colOff>142875</xdr:colOff>
      <xdr:row>30</xdr:row>
      <xdr:rowOff>0</xdr:rowOff>
    </xdr:to>
    <xdr:sp>
      <xdr:nvSpPr>
        <xdr:cNvPr id="65" name="Oval 85"/>
        <xdr:cNvSpPr>
          <a:spLocks/>
        </xdr:cNvSpPr>
      </xdr:nvSpPr>
      <xdr:spPr>
        <a:xfrm>
          <a:off x="4200525" y="48482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66" name="Line 86"/>
        <xdr:cNvSpPr>
          <a:spLocks/>
        </xdr:cNvSpPr>
      </xdr:nvSpPr>
      <xdr:spPr>
        <a:xfrm>
          <a:off x="541972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133350</xdr:rowOff>
    </xdr:to>
    <xdr:sp>
      <xdr:nvSpPr>
        <xdr:cNvPr id="67" name="Line 87"/>
        <xdr:cNvSpPr>
          <a:spLocks/>
        </xdr:cNvSpPr>
      </xdr:nvSpPr>
      <xdr:spPr>
        <a:xfrm>
          <a:off x="5419725" y="48196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68" name="Line 88"/>
        <xdr:cNvSpPr>
          <a:spLocks/>
        </xdr:cNvSpPr>
      </xdr:nvSpPr>
      <xdr:spPr>
        <a:xfrm flipH="1">
          <a:off x="536257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69" name="Line 89"/>
        <xdr:cNvSpPr>
          <a:spLocks/>
        </xdr:cNvSpPr>
      </xdr:nvSpPr>
      <xdr:spPr>
        <a:xfrm>
          <a:off x="541972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70" name="Line 90"/>
        <xdr:cNvSpPr>
          <a:spLocks/>
        </xdr:cNvSpPr>
      </xdr:nvSpPr>
      <xdr:spPr>
        <a:xfrm>
          <a:off x="536257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114300</xdr:rowOff>
    </xdr:from>
    <xdr:to>
      <xdr:col>7</xdr:col>
      <xdr:colOff>209550</xdr:colOff>
      <xdr:row>30</xdr:row>
      <xdr:rowOff>57150</xdr:rowOff>
    </xdr:to>
    <xdr:sp>
      <xdr:nvSpPr>
        <xdr:cNvPr id="71" name="Rectangle 92"/>
        <xdr:cNvSpPr>
          <a:spLocks/>
        </xdr:cNvSpPr>
      </xdr:nvSpPr>
      <xdr:spPr>
        <a:xfrm>
          <a:off x="4886325"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30</xdr:row>
      <xdr:rowOff>123825</xdr:rowOff>
    </xdr:to>
    <xdr:sp>
      <xdr:nvSpPr>
        <xdr:cNvPr id="72" name="Line 95"/>
        <xdr:cNvSpPr>
          <a:spLocks/>
        </xdr:cNvSpPr>
      </xdr:nvSpPr>
      <xdr:spPr>
        <a:xfrm>
          <a:off x="4924425" y="450532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19050</xdr:rowOff>
    </xdr:from>
    <xdr:to>
      <xdr:col>7</xdr:col>
      <xdr:colOff>323850</xdr:colOff>
      <xdr:row>28</xdr:row>
      <xdr:rowOff>19050</xdr:rowOff>
    </xdr:to>
    <xdr:sp>
      <xdr:nvSpPr>
        <xdr:cNvPr id="73" name="Line 96"/>
        <xdr:cNvSpPr>
          <a:spLocks/>
        </xdr:cNvSpPr>
      </xdr:nvSpPr>
      <xdr:spPr>
        <a:xfrm>
          <a:off x="4210050" y="459105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0</xdr:rowOff>
    </xdr:from>
    <xdr:to>
      <xdr:col>7</xdr:col>
      <xdr:colOff>323850</xdr:colOff>
      <xdr:row>29</xdr:row>
      <xdr:rowOff>0</xdr:rowOff>
    </xdr:to>
    <xdr:sp>
      <xdr:nvSpPr>
        <xdr:cNvPr id="74" name="Line 97"/>
        <xdr:cNvSpPr>
          <a:spLocks/>
        </xdr:cNvSpPr>
      </xdr:nvSpPr>
      <xdr:spPr>
        <a:xfrm>
          <a:off x="4210050" y="473392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142875</xdr:rowOff>
    </xdr:from>
    <xdr:to>
      <xdr:col>7</xdr:col>
      <xdr:colOff>323850</xdr:colOff>
      <xdr:row>29</xdr:row>
      <xdr:rowOff>142875</xdr:rowOff>
    </xdr:to>
    <xdr:sp>
      <xdr:nvSpPr>
        <xdr:cNvPr id="75" name="Line 98"/>
        <xdr:cNvSpPr>
          <a:spLocks/>
        </xdr:cNvSpPr>
      </xdr:nvSpPr>
      <xdr:spPr>
        <a:xfrm>
          <a:off x="4210050" y="487680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7</xdr:col>
      <xdr:colOff>209550</xdr:colOff>
      <xdr:row>28</xdr:row>
      <xdr:rowOff>47625</xdr:rowOff>
    </xdr:to>
    <xdr:sp>
      <xdr:nvSpPr>
        <xdr:cNvPr id="76" name="Rectangle 99"/>
        <xdr:cNvSpPr>
          <a:spLocks/>
        </xdr:cNvSpPr>
      </xdr:nvSpPr>
      <xdr:spPr>
        <a:xfrm>
          <a:off x="4886325" y="45720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142875</xdr:rowOff>
    </xdr:from>
    <xdr:to>
      <xdr:col>7</xdr:col>
      <xdr:colOff>209550</xdr:colOff>
      <xdr:row>29</xdr:row>
      <xdr:rowOff>28575</xdr:rowOff>
    </xdr:to>
    <xdr:sp>
      <xdr:nvSpPr>
        <xdr:cNvPr id="77" name="Rectangle 100"/>
        <xdr:cNvSpPr>
          <a:spLocks/>
        </xdr:cNvSpPr>
      </xdr:nvSpPr>
      <xdr:spPr>
        <a:xfrm>
          <a:off x="4886325" y="47148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29</xdr:row>
      <xdr:rowOff>114300</xdr:rowOff>
    </xdr:from>
    <xdr:to>
      <xdr:col>7</xdr:col>
      <xdr:colOff>209550</xdr:colOff>
      <xdr:row>30</xdr:row>
      <xdr:rowOff>0</xdr:rowOff>
    </xdr:to>
    <xdr:sp>
      <xdr:nvSpPr>
        <xdr:cNvPr id="78" name="Rectangle 101"/>
        <xdr:cNvSpPr>
          <a:spLocks/>
        </xdr:cNvSpPr>
      </xdr:nvSpPr>
      <xdr:spPr>
        <a:xfrm>
          <a:off x="4886325" y="48482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79" name="Line 102"/>
        <xdr:cNvSpPr>
          <a:spLocks/>
        </xdr:cNvSpPr>
      </xdr:nvSpPr>
      <xdr:spPr>
        <a:xfrm>
          <a:off x="436245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80" name="Line 103"/>
        <xdr:cNvSpPr>
          <a:spLocks/>
        </xdr:cNvSpPr>
      </xdr:nvSpPr>
      <xdr:spPr>
        <a:xfrm>
          <a:off x="4362450" y="50482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81" name="Line 104"/>
        <xdr:cNvSpPr>
          <a:spLocks/>
        </xdr:cNvSpPr>
      </xdr:nvSpPr>
      <xdr:spPr>
        <a:xfrm>
          <a:off x="513397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82" name="Line 105"/>
        <xdr:cNvSpPr>
          <a:spLocks/>
        </xdr:cNvSpPr>
      </xdr:nvSpPr>
      <xdr:spPr>
        <a:xfrm>
          <a:off x="513397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83" name="Line 106"/>
        <xdr:cNvSpPr>
          <a:spLocks/>
        </xdr:cNvSpPr>
      </xdr:nvSpPr>
      <xdr:spPr>
        <a:xfrm>
          <a:off x="492442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84" name="Line 107"/>
        <xdr:cNvSpPr>
          <a:spLocks/>
        </xdr:cNvSpPr>
      </xdr:nvSpPr>
      <xdr:spPr>
        <a:xfrm flipV="1">
          <a:off x="511492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85" name="Line 108"/>
        <xdr:cNvSpPr>
          <a:spLocks/>
        </xdr:cNvSpPr>
      </xdr:nvSpPr>
      <xdr:spPr>
        <a:xfrm>
          <a:off x="5133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86" name="Line 109"/>
        <xdr:cNvSpPr>
          <a:spLocks/>
        </xdr:cNvSpPr>
      </xdr:nvSpPr>
      <xdr:spPr>
        <a:xfrm>
          <a:off x="4924425" y="50196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87" name="Line 110"/>
        <xdr:cNvSpPr>
          <a:spLocks/>
        </xdr:cNvSpPr>
      </xdr:nvSpPr>
      <xdr:spPr>
        <a:xfrm>
          <a:off x="5114925" y="50196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88" name="Line 111"/>
        <xdr:cNvSpPr>
          <a:spLocks/>
        </xdr:cNvSpPr>
      </xdr:nvSpPr>
      <xdr:spPr>
        <a:xfrm>
          <a:off x="5133975" y="5038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89" name="Line 112"/>
        <xdr:cNvSpPr>
          <a:spLocks/>
        </xdr:cNvSpPr>
      </xdr:nvSpPr>
      <xdr:spPr>
        <a:xfrm>
          <a:off x="5133975" y="5095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90" name="Line 113"/>
        <xdr:cNvSpPr>
          <a:spLocks/>
        </xdr:cNvSpPr>
      </xdr:nvSpPr>
      <xdr:spPr>
        <a:xfrm>
          <a:off x="5133975" y="50387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91" name="Line 114"/>
        <xdr:cNvSpPr>
          <a:spLocks/>
        </xdr:cNvSpPr>
      </xdr:nvSpPr>
      <xdr:spPr>
        <a:xfrm flipV="1">
          <a:off x="492442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92" name="Line 115"/>
        <xdr:cNvSpPr>
          <a:spLocks/>
        </xdr:cNvSpPr>
      </xdr:nvSpPr>
      <xdr:spPr>
        <a:xfrm flipV="1">
          <a:off x="513397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93" name="Line 116"/>
        <xdr:cNvSpPr>
          <a:spLocks/>
        </xdr:cNvSpPr>
      </xdr:nvSpPr>
      <xdr:spPr>
        <a:xfrm>
          <a:off x="516255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94" name="Line 117"/>
        <xdr:cNvSpPr>
          <a:spLocks/>
        </xdr:cNvSpPr>
      </xdr:nvSpPr>
      <xdr:spPr>
        <a:xfrm>
          <a:off x="544830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95" name="Line 118"/>
        <xdr:cNvSpPr>
          <a:spLocks/>
        </xdr:cNvSpPr>
      </xdr:nvSpPr>
      <xdr:spPr>
        <a:xfrm>
          <a:off x="5162550" y="5019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96" name="Line 119"/>
        <xdr:cNvSpPr>
          <a:spLocks/>
        </xdr:cNvSpPr>
      </xdr:nvSpPr>
      <xdr:spPr>
        <a:xfrm>
          <a:off x="5448300" y="50958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97" name="Line 120"/>
        <xdr:cNvSpPr>
          <a:spLocks/>
        </xdr:cNvSpPr>
      </xdr:nvSpPr>
      <xdr:spPr>
        <a:xfrm>
          <a:off x="492442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98" name="Line 121"/>
        <xdr:cNvSpPr>
          <a:spLocks/>
        </xdr:cNvSpPr>
      </xdr:nvSpPr>
      <xdr:spPr>
        <a:xfrm>
          <a:off x="553402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99" name="Line 122"/>
        <xdr:cNvSpPr>
          <a:spLocks/>
        </xdr:cNvSpPr>
      </xdr:nvSpPr>
      <xdr:spPr>
        <a:xfrm>
          <a:off x="5534025" y="48387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100" name="Line 123"/>
        <xdr:cNvSpPr>
          <a:spLocks/>
        </xdr:cNvSpPr>
      </xdr:nvSpPr>
      <xdr:spPr>
        <a:xfrm flipV="1">
          <a:off x="553402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101" name="Line 124"/>
        <xdr:cNvSpPr>
          <a:spLocks/>
        </xdr:cNvSpPr>
      </xdr:nvSpPr>
      <xdr:spPr>
        <a:xfrm flipV="1">
          <a:off x="5534025" y="509587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102" name="Line 125"/>
        <xdr:cNvSpPr>
          <a:spLocks/>
        </xdr:cNvSpPr>
      </xdr:nvSpPr>
      <xdr:spPr>
        <a:xfrm>
          <a:off x="4924425" y="5057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103" name="Line 126"/>
        <xdr:cNvSpPr>
          <a:spLocks/>
        </xdr:cNvSpPr>
      </xdr:nvSpPr>
      <xdr:spPr>
        <a:xfrm>
          <a:off x="5133975" y="51339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104" name="Line 127"/>
        <xdr:cNvSpPr>
          <a:spLocks/>
        </xdr:cNvSpPr>
      </xdr:nvSpPr>
      <xdr:spPr>
        <a:xfrm>
          <a:off x="4924425" y="53816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105" name="Line 128"/>
        <xdr:cNvSpPr>
          <a:spLocks/>
        </xdr:cNvSpPr>
      </xdr:nvSpPr>
      <xdr:spPr>
        <a:xfrm flipH="1">
          <a:off x="384810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106" name="Line 129"/>
        <xdr:cNvSpPr>
          <a:spLocks/>
        </xdr:cNvSpPr>
      </xdr:nvSpPr>
      <xdr:spPr>
        <a:xfrm flipH="1">
          <a:off x="3848100" y="51054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107" name="Line 130"/>
        <xdr:cNvSpPr>
          <a:spLocks/>
        </xdr:cNvSpPr>
      </xdr:nvSpPr>
      <xdr:spPr>
        <a:xfrm>
          <a:off x="3895725" y="4429125"/>
          <a:ext cx="0" cy="676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108" name="Line 131"/>
        <xdr:cNvSpPr>
          <a:spLocks/>
        </xdr:cNvSpPr>
      </xdr:nvSpPr>
      <xdr:spPr>
        <a:xfrm flipV="1">
          <a:off x="553402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109" name="Line 132"/>
        <xdr:cNvSpPr>
          <a:spLocks/>
        </xdr:cNvSpPr>
      </xdr:nvSpPr>
      <xdr:spPr>
        <a:xfrm>
          <a:off x="5534025" y="50196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110" name="Line 133"/>
        <xdr:cNvSpPr>
          <a:spLocks/>
        </xdr:cNvSpPr>
      </xdr:nvSpPr>
      <xdr:spPr>
        <a:xfrm>
          <a:off x="4076700"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111" name="Line 134"/>
        <xdr:cNvSpPr>
          <a:spLocks/>
        </xdr:cNvSpPr>
      </xdr:nvSpPr>
      <xdr:spPr>
        <a:xfrm>
          <a:off x="4676775"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112" name="Line 135"/>
        <xdr:cNvSpPr>
          <a:spLocks/>
        </xdr:cNvSpPr>
      </xdr:nvSpPr>
      <xdr:spPr>
        <a:xfrm>
          <a:off x="4076700" y="538162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113" name="Line 136"/>
        <xdr:cNvSpPr>
          <a:spLocks/>
        </xdr:cNvSpPr>
      </xdr:nvSpPr>
      <xdr:spPr>
        <a:xfrm flipV="1">
          <a:off x="43624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114" name="Line 137"/>
        <xdr:cNvSpPr>
          <a:spLocks/>
        </xdr:cNvSpPr>
      </xdr:nvSpPr>
      <xdr:spPr>
        <a:xfrm flipV="1">
          <a:off x="44005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115" name="Line 138"/>
        <xdr:cNvSpPr>
          <a:spLocks/>
        </xdr:cNvSpPr>
      </xdr:nvSpPr>
      <xdr:spPr>
        <a:xfrm>
          <a:off x="412432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15</xdr:row>
      <xdr:rowOff>114300</xdr:rowOff>
    </xdr:from>
    <xdr:to>
      <xdr:col>6</xdr:col>
      <xdr:colOff>19050</xdr:colOff>
      <xdr:row>15</xdr:row>
      <xdr:rowOff>114300</xdr:rowOff>
    </xdr:to>
    <xdr:sp>
      <xdr:nvSpPr>
        <xdr:cNvPr id="116" name="Line 139"/>
        <xdr:cNvSpPr>
          <a:spLocks/>
        </xdr:cNvSpPr>
      </xdr:nvSpPr>
      <xdr:spPr>
        <a:xfrm flipH="1">
          <a:off x="3971925" y="25812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114300</xdr:rowOff>
    </xdr:from>
    <xdr:to>
      <xdr:col>5</xdr:col>
      <xdr:colOff>523875</xdr:colOff>
      <xdr:row>15</xdr:row>
      <xdr:rowOff>114300</xdr:rowOff>
    </xdr:to>
    <xdr:sp>
      <xdr:nvSpPr>
        <xdr:cNvPr id="117" name="Line 140"/>
        <xdr:cNvSpPr>
          <a:spLocks/>
        </xdr:cNvSpPr>
      </xdr:nvSpPr>
      <xdr:spPr>
        <a:xfrm flipH="1">
          <a:off x="4019550" y="2419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114300</xdr:rowOff>
    </xdr:from>
    <xdr:to>
      <xdr:col>5</xdr:col>
      <xdr:colOff>523875</xdr:colOff>
      <xdr:row>16</xdr:row>
      <xdr:rowOff>19050</xdr:rowOff>
    </xdr:to>
    <xdr:sp>
      <xdr:nvSpPr>
        <xdr:cNvPr id="118" name="Line 141"/>
        <xdr:cNvSpPr>
          <a:spLocks/>
        </xdr:cNvSpPr>
      </xdr:nvSpPr>
      <xdr:spPr>
        <a:xfrm>
          <a:off x="4019550" y="25812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119" name="Line 142"/>
        <xdr:cNvSpPr>
          <a:spLocks/>
        </xdr:cNvSpPr>
      </xdr:nvSpPr>
      <xdr:spPr>
        <a:xfrm flipV="1">
          <a:off x="399097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120" name="Line 143"/>
        <xdr:cNvSpPr>
          <a:spLocks/>
        </xdr:cNvSpPr>
      </xdr:nvSpPr>
      <xdr:spPr>
        <a:xfrm>
          <a:off x="399097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21" name="Line 144"/>
        <xdr:cNvSpPr>
          <a:spLocks/>
        </xdr:cNvSpPr>
      </xdr:nvSpPr>
      <xdr:spPr>
        <a:xfrm>
          <a:off x="395287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22" name="Line 145"/>
        <xdr:cNvSpPr>
          <a:spLocks/>
        </xdr:cNvSpPr>
      </xdr:nvSpPr>
      <xdr:spPr>
        <a:xfrm>
          <a:off x="3990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7</xdr:row>
      <xdr:rowOff>133350</xdr:rowOff>
    </xdr:from>
    <xdr:to>
      <xdr:col>7</xdr:col>
      <xdr:colOff>76200</xdr:colOff>
      <xdr:row>11</xdr:row>
      <xdr:rowOff>95250</xdr:rowOff>
    </xdr:to>
    <xdr:sp>
      <xdr:nvSpPr>
        <xdr:cNvPr id="123" name="Line 199"/>
        <xdr:cNvSpPr>
          <a:spLocks/>
        </xdr:cNvSpPr>
      </xdr:nvSpPr>
      <xdr:spPr>
        <a:xfrm>
          <a:off x="4791075"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7</xdr:row>
      <xdr:rowOff>133350</xdr:rowOff>
    </xdr:from>
    <xdr:to>
      <xdr:col>6</xdr:col>
      <xdr:colOff>28575</xdr:colOff>
      <xdr:row>11</xdr:row>
      <xdr:rowOff>95250</xdr:rowOff>
    </xdr:to>
    <xdr:sp>
      <xdr:nvSpPr>
        <xdr:cNvPr id="124" name="Line 200"/>
        <xdr:cNvSpPr>
          <a:spLocks/>
        </xdr:cNvSpPr>
      </xdr:nvSpPr>
      <xdr:spPr>
        <a:xfrm>
          <a:off x="4133850"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7</xdr:row>
      <xdr:rowOff>133350</xdr:rowOff>
    </xdr:from>
    <xdr:to>
      <xdr:col>6</xdr:col>
      <xdr:colOff>104775</xdr:colOff>
      <xdr:row>11</xdr:row>
      <xdr:rowOff>95250</xdr:rowOff>
    </xdr:to>
    <xdr:sp>
      <xdr:nvSpPr>
        <xdr:cNvPr id="125" name="Line 201"/>
        <xdr:cNvSpPr>
          <a:spLocks/>
        </xdr:cNvSpPr>
      </xdr:nvSpPr>
      <xdr:spPr>
        <a:xfrm>
          <a:off x="4210050"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7</xdr:row>
      <xdr:rowOff>133350</xdr:rowOff>
    </xdr:from>
    <xdr:to>
      <xdr:col>6</xdr:col>
      <xdr:colOff>314325</xdr:colOff>
      <xdr:row>7</xdr:row>
      <xdr:rowOff>133350</xdr:rowOff>
    </xdr:to>
    <xdr:sp>
      <xdr:nvSpPr>
        <xdr:cNvPr id="126" name="Line 202"/>
        <xdr:cNvSpPr>
          <a:spLocks/>
        </xdr:cNvSpPr>
      </xdr:nvSpPr>
      <xdr:spPr>
        <a:xfrm>
          <a:off x="4057650"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133350</xdr:rowOff>
    </xdr:from>
    <xdr:to>
      <xdr:col>7</xdr:col>
      <xdr:colOff>228600</xdr:colOff>
      <xdr:row>7</xdr:row>
      <xdr:rowOff>133350</xdr:rowOff>
    </xdr:to>
    <xdr:sp>
      <xdr:nvSpPr>
        <xdr:cNvPr id="127" name="Line 203"/>
        <xdr:cNvSpPr>
          <a:spLocks/>
        </xdr:cNvSpPr>
      </xdr:nvSpPr>
      <xdr:spPr>
        <a:xfrm>
          <a:off x="4581525"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133350</xdr:rowOff>
    </xdr:from>
    <xdr:to>
      <xdr:col>6</xdr:col>
      <xdr:colOff>314325</xdr:colOff>
      <xdr:row>8</xdr:row>
      <xdr:rowOff>28575</xdr:rowOff>
    </xdr:to>
    <xdr:sp>
      <xdr:nvSpPr>
        <xdr:cNvPr id="128" name="Line 204"/>
        <xdr:cNvSpPr>
          <a:spLocks/>
        </xdr:cNvSpPr>
      </xdr:nvSpPr>
      <xdr:spPr>
        <a:xfrm>
          <a:off x="4419600" y="13049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76200</xdr:rowOff>
    </xdr:from>
    <xdr:to>
      <xdr:col>6</xdr:col>
      <xdr:colOff>476250</xdr:colOff>
      <xdr:row>7</xdr:row>
      <xdr:rowOff>133350</xdr:rowOff>
    </xdr:to>
    <xdr:sp>
      <xdr:nvSpPr>
        <xdr:cNvPr id="129" name="Line 205"/>
        <xdr:cNvSpPr>
          <a:spLocks/>
        </xdr:cNvSpPr>
      </xdr:nvSpPr>
      <xdr:spPr>
        <a:xfrm flipV="1">
          <a:off x="4581525" y="12477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76200</xdr:rowOff>
    </xdr:from>
    <xdr:to>
      <xdr:col>6</xdr:col>
      <xdr:colOff>476250</xdr:colOff>
      <xdr:row>8</xdr:row>
      <xdr:rowOff>28575</xdr:rowOff>
    </xdr:to>
    <xdr:sp>
      <xdr:nvSpPr>
        <xdr:cNvPr id="130" name="Line 206"/>
        <xdr:cNvSpPr>
          <a:spLocks/>
        </xdr:cNvSpPr>
      </xdr:nvSpPr>
      <xdr:spPr>
        <a:xfrm flipV="1">
          <a:off x="4419600" y="124777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11</xdr:row>
      <xdr:rowOff>95250</xdr:rowOff>
    </xdr:from>
    <xdr:to>
      <xdr:col>6</xdr:col>
      <xdr:colOff>314325</xdr:colOff>
      <xdr:row>11</xdr:row>
      <xdr:rowOff>95250</xdr:rowOff>
    </xdr:to>
    <xdr:sp>
      <xdr:nvSpPr>
        <xdr:cNvPr id="131" name="Line 207"/>
        <xdr:cNvSpPr>
          <a:spLocks/>
        </xdr:cNvSpPr>
      </xdr:nvSpPr>
      <xdr:spPr>
        <a:xfrm>
          <a:off x="4057650" y="191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11</xdr:row>
      <xdr:rowOff>95250</xdr:rowOff>
    </xdr:from>
    <xdr:to>
      <xdr:col>7</xdr:col>
      <xdr:colOff>228600</xdr:colOff>
      <xdr:row>11</xdr:row>
      <xdr:rowOff>95250</xdr:rowOff>
    </xdr:to>
    <xdr:sp>
      <xdr:nvSpPr>
        <xdr:cNvPr id="132" name="Line 208"/>
        <xdr:cNvSpPr>
          <a:spLocks/>
        </xdr:cNvSpPr>
      </xdr:nvSpPr>
      <xdr:spPr>
        <a:xfrm>
          <a:off x="4581525" y="191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95250</xdr:rowOff>
    </xdr:from>
    <xdr:to>
      <xdr:col>6</xdr:col>
      <xdr:colOff>314325</xdr:colOff>
      <xdr:row>11</xdr:row>
      <xdr:rowOff>152400</xdr:rowOff>
    </xdr:to>
    <xdr:sp>
      <xdr:nvSpPr>
        <xdr:cNvPr id="133" name="Line 209"/>
        <xdr:cNvSpPr>
          <a:spLocks/>
        </xdr:cNvSpPr>
      </xdr:nvSpPr>
      <xdr:spPr>
        <a:xfrm>
          <a:off x="4419600" y="19145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11</xdr:row>
      <xdr:rowOff>38100</xdr:rowOff>
    </xdr:from>
    <xdr:to>
      <xdr:col>6</xdr:col>
      <xdr:colOff>476250</xdr:colOff>
      <xdr:row>11</xdr:row>
      <xdr:rowOff>95250</xdr:rowOff>
    </xdr:to>
    <xdr:sp>
      <xdr:nvSpPr>
        <xdr:cNvPr id="134" name="Line 210"/>
        <xdr:cNvSpPr>
          <a:spLocks/>
        </xdr:cNvSpPr>
      </xdr:nvSpPr>
      <xdr:spPr>
        <a:xfrm flipV="1">
          <a:off x="4581525" y="18573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38100</xdr:rowOff>
    </xdr:from>
    <xdr:to>
      <xdr:col>6</xdr:col>
      <xdr:colOff>476250</xdr:colOff>
      <xdr:row>11</xdr:row>
      <xdr:rowOff>152400</xdr:rowOff>
    </xdr:to>
    <xdr:sp>
      <xdr:nvSpPr>
        <xdr:cNvPr id="135" name="Line 211"/>
        <xdr:cNvSpPr>
          <a:spLocks/>
        </xdr:cNvSpPr>
      </xdr:nvSpPr>
      <xdr:spPr>
        <a:xfrm flipV="1">
          <a:off x="4419600" y="185737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95250</xdr:rowOff>
    </xdr:from>
    <xdr:to>
      <xdr:col>7</xdr:col>
      <xdr:colOff>152400</xdr:colOff>
      <xdr:row>12</xdr:row>
      <xdr:rowOff>95250</xdr:rowOff>
    </xdr:to>
    <xdr:sp>
      <xdr:nvSpPr>
        <xdr:cNvPr id="136" name="Line 212"/>
        <xdr:cNvSpPr>
          <a:spLocks/>
        </xdr:cNvSpPr>
      </xdr:nvSpPr>
      <xdr:spPr>
        <a:xfrm>
          <a:off x="474345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9525</xdr:rowOff>
    </xdr:from>
    <xdr:to>
      <xdr:col>7</xdr:col>
      <xdr:colOff>152400</xdr:colOff>
      <xdr:row>10</xdr:row>
      <xdr:rowOff>9525</xdr:rowOff>
    </xdr:to>
    <xdr:sp>
      <xdr:nvSpPr>
        <xdr:cNvPr id="137" name="Line 213"/>
        <xdr:cNvSpPr>
          <a:spLocks/>
        </xdr:cNvSpPr>
      </xdr:nvSpPr>
      <xdr:spPr>
        <a:xfrm>
          <a:off x="4133850" y="1666875"/>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8</xdr:row>
      <xdr:rowOff>85725</xdr:rowOff>
    </xdr:from>
    <xdr:to>
      <xdr:col>7</xdr:col>
      <xdr:colOff>76200</xdr:colOff>
      <xdr:row>8</xdr:row>
      <xdr:rowOff>85725</xdr:rowOff>
    </xdr:to>
    <xdr:sp>
      <xdr:nvSpPr>
        <xdr:cNvPr id="138" name="Line 214"/>
        <xdr:cNvSpPr>
          <a:spLocks/>
        </xdr:cNvSpPr>
      </xdr:nvSpPr>
      <xdr:spPr>
        <a:xfrm>
          <a:off x="4667250"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85725</xdr:rowOff>
    </xdr:from>
    <xdr:to>
      <xdr:col>7</xdr:col>
      <xdr:colOff>276225</xdr:colOff>
      <xdr:row>8</xdr:row>
      <xdr:rowOff>85725</xdr:rowOff>
    </xdr:to>
    <xdr:sp>
      <xdr:nvSpPr>
        <xdr:cNvPr id="139" name="Line 215"/>
        <xdr:cNvSpPr>
          <a:spLocks/>
        </xdr:cNvSpPr>
      </xdr:nvSpPr>
      <xdr:spPr>
        <a:xfrm flipH="1">
          <a:off x="4867275"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8</xdr:row>
      <xdr:rowOff>85725</xdr:rowOff>
    </xdr:from>
    <xdr:to>
      <xdr:col>7</xdr:col>
      <xdr:colOff>152400</xdr:colOff>
      <xdr:row>8</xdr:row>
      <xdr:rowOff>85725</xdr:rowOff>
    </xdr:to>
    <xdr:sp>
      <xdr:nvSpPr>
        <xdr:cNvPr id="140" name="Line 216"/>
        <xdr:cNvSpPr>
          <a:spLocks/>
        </xdr:cNvSpPr>
      </xdr:nvSpPr>
      <xdr:spPr>
        <a:xfrm>
          <a:off x="4791075" y="1419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123825</xdr:rowOff>
    </xdr:from>
    <xdr:to>
      <xdr:col>7</xdr:col>
      <xdr:colOff>152400</xdr:colOff>
      <xdr:row>15</xdr:row>
      <xdr:rowOff>85725</xdr:rowOff>
    </xdr:to>
    <xdr:sp>
      <xdr:nvSpPr>
        <xdr:cNvPr id="141" name="Line 217"/>
        <xdr:cNvSpPr>
          <a:spLocks/>
        </xdr:cNvSpPr>
      </xdr:nvSpPr>
      <xdr:spPr>
        <a:xfrm>
          <a:off x="4867275" y="19431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18</xdr:row>
      <xdr:rowOff>85725</xdr:rowOff>
    </xdr:from>
    <xdr:to>
      <xdr:col>6</xdr:col>
      <xdr:colOff>504825</xdr:colOff>
      <xdr:row>21</xdr:row>
      <xdr:rowOff>57150</xdr:rowOff>
    </xdr:to>
    <xdr:sp>
      <xdr:nvSpPr>
        <xdr:cNvPr id="142" name="Line 365"/>
        <xdr:cNvSpPr>
          <a:spLocks/>
        </xdr:cNvSpPr>
      </xdr:nvSpPr>
      <xdr:spPr>
        <a:xfrm>
          <a:off x="4610100" y="30384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13</xdr:row>
      <xdr:rowOff>85725</xdr:rowOff>
    </xdr:from>
    <xdr:to>
      <xdr:col>8</xdr:col>
      <xdr:colOff>247650</xdr:colOff>
      <xdr:row>14</xdr:row>
      <xdr:rowOff>28575</xdr:rowOff>
    </xdr:to>
    <xdr:sp>
      <xdr:nvSpPr>
        <xdr:cNvPr id="143" name="Line 366"/>
        <xdr:cNvSpPr>
          <a:spLocks/>
        </xdr:cNvSpPr>
      </xdr:nvSpPr>
      <xdr:spPr>
        <a:xfrm>
          <a:off x="5572125" y="22288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13</xdr:row>
      <xdr:rowOff>85725</xdr:rowOff>
    </xdr:from>
    <xdr:to>
      <xdr:col>8</xdr:col>
      <xdr:colOff>352425</xdr:colOff>
      <xdr:row>14</xdr:row>
      <xdr:rowOff>28575</xdr:rowOff>
    </xdr:to>
    <xdr:sp>
      <xdr:nvSpPr>
        <xdr:cNvPr id="144" name="Line 367"/>
        <xdr:cNvSpPr>
          <a:spLocks/>
        </xdr:cNvSpPr>
      </xdr:nvSpPr>
      <xdr:spPr>
        <a:xfrm>
          <a:off x="5572125" y="222885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18</xdr:row>
      <xdr:rowOff>85725</xdr:rowOff>
    </xdr:from>
    <xdr:to>
      <xdr:col>6</xdr:col>
      <xdr:colOff>47625</xdr:colOff>
      <xdr:row>21</xdr:row>
      <xdr:rowOff>57150</xdr:rowOff>
    </xdr:to>
    <xdr:sp>
      <xdr:nvSpPr>
        <xdr:cNvPr id="145" name="Line 368"/>
        <xdr:cNvSpPr>
          <a:spLocks/>
        </xdr:cNvSpPr>
      </xdr:nvSpPr>
      <xdr:spPr>
        <a:xfrm>
          <a:off x="4152900" y="30384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15</xdr:row>
      <xdr:rowOff>114300</xdr:rowOff>
    </xdr:from>
    <xdr:to>
      <xdr:col>6</xdr:col>
      <xdr:colOff>304800</xdr:colOff>
      <xdr:row>18</xdr:row>
      <xdr:rowOff>66675</xdr:rowOff>
    </xdr:to>
    <xdr:sp>
      <xdr:nvSpPr>
        <xdr:cNvPr id="146" name="Line 407"/>
        <xdr:cNvSpPr>
          <a:spLocks/>
        </xdr:cNvSpPr>
      </xdr:nvSpPr>
      <xdr:spPr>
        <a:xfrm>
          <a:off x="4410075" y="25812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15</xdr:row>
      <xdr:rowOff>114300</xdr:rowOff>
    </xdr:from>
    <xdr:to>
      <xdr:col>6</xdr:col>
      <xdr:colOff>247650</xdr:colOff>
      <xdr:row>18</xdr:row>
      <xdr:rowOff>66675</xdr:rowOff>
    </xdr:to>
    <xdr:sp>
      <xdr:nvSpPr>
        <xdr:cNvPr id="147" name="Line 408"/>
        <xdr:cNvSpPr>
          <a:spLocks/>
        </xdr:cNvSpPr>
      </xdr:nvSpPr>
      <xdr:spPr>
        <a:xfrm>
          <a:off x="4352925" y="25812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27</xdr:row>
      <xdr:rowOff>114300</xdr:rowOff>
    </xdr:from>
    <xdr:to>
      <xdr:col>7</xdr:col>
      <xdr:colOff>219075</xdr:colOff>
      <xdr:row>30</xdr:row>
      <xdr:rowOff>66675</xdr:rowOff>
    </xdr:to>
    <xdr:sp>
      <xdr:nvSpPr>
        <xdr:cNvPr id="148" name="Line 409"/>
        <xdr:cNvSpPr>
          <a:spLocks/>
        </xdr:cNvSpPr>
      </xdr:nvSpPr>
      <xdr:spPr>
        <a:xfrm>
          <a:off x="4933950" y="45243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27</xdr:row>
      <xdr:rowOff>114300</xdr:rowOff>
    </xdr:from>
    <xdr:to>
      <xdr:col>6</xdr:col>
      <xdr:colOff>304800</xdr:colOff>
      <xdr:row>30</xdr:row>
      <xdr:rowOff>66675</xdr:rowOff>
    </xdr:to>
    <xdr:sp>
      <xdr:nvSpPr>
        <xdr:cNvPr id="149" name="Line 410"/>
        <xdr:cNvSpPr>
          <a:spLocks/>
        </xdr:cNvSpPr>
      </xdr:nvSpPr>
      <xdr:spPr>
        <a:xfrm>
          <a:off x="4410075" y="45243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27</xdr:row>
      <xdr:rowOff>114300</xdr:rowOff>
    </xdr:from>
    <xdr:to>
      <xdr:col>6</xdr:col>
      <xdr:colOff>247650</xdr:colOff>
      <xdr:row>30</xdr:row>
      <xdr:rowOff>66675</xdr:rowOff>
    </xdr:to>
    <xdr:sp>
      <xdr:nvSpPr>
        <xdr:cNvPr id="150" name="Line 411"/>
        <xdr:cNvSpPr>
          <a:spLocks/>
        </xdr:cNvSpPr>
      </xdr:nvSpPr>
      <xdr:spPr>
        <a:xfrm>
          <a:off x="4352925" y="45243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1"/>
        <xdr:cNvSpPr>
          <a:spLocks/>
        </xdr:cNvSpPr>
      </xdr:nvSpPr>
      <xdr:spPr>
        <a:xfrm>
          <a:off x="407670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2"/>
        <xdr:cNvSpPr>
          <a:spLocks/>
        </xdr:cNvSpPr>
      </xdr:nvSpPr>
      <xdr:spPr>
        <a:xfrm>
          <a:off x="407670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3"/>
        <xdr:cNvSpPr>
          <a:spLocks/>
        </xdr:cNvSpPr>
      </xdr:nvSpPr>
      <xdr:spPr>
        <a:xfrm>
          <a:off x="436245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114300</xdr:rowOff>
    </xdr:from>
    <xdr:to>
      <xdr:col>6</xdr:col>
      <xdr:colOff>257175</xdr:colOff>
      <xdr:row>18</xdr:row>
      <xdr:rowOff>57150</xdr:rowOff>
    </xdr:to>
    <xdr:sp>
      <xdr:nvSpPr>
        <xdr:cNvPr id="4" name="Rectangle 4"/>
        <xdr:cNvSpPr>
          <a:spLocks/>
        </xdr:cNvSpPr>
      </xdr:nvSpPr>
      <xdr:spPr>
        <a:xfrm>
          <a:off x="415290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15</xdr:row>
      <xdr:rowOff>114300</xdr:rowOff>
    </xdr:from>
    <xdr:to>
      <xdr:col>6</xdr:col>
      <xdr:colOff>504825</xdr:colOff>
      <xdr:row>18</xdr:row>
      <xdr:rowOff>57150</xdr:rowOff>
    </xdr:to>
    <xdr:sp>
      <xdr:nvSpPr>
        <xdr:cNvPr id="5" name="Rectangle 6"/>
        <xdr:cNvSpPr>
          <a:spLocks/>
        </xdr:cNvSpPr>
      </xdr:nvSpPr>
      <xdr:spPr>
        <a:xfrm>
          <a:off x="440055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16</xdr:row>
      <xdr:rowOff>0</xdr:rowOff>
    </xdr:from>
    <xdr:to>
      <xdr:col>6</xdr:col>
      <xdr:colOff>457200</xdr:colOff>
      <xdr:row>16</xdr:row>
      <xdr:rowOff>47625</xdr:rowOff>
    </xdr:to>
    <xdr:sp>
      <xdr:nvSpPr>
        <xdr:cNvPr id="6" name="Oval 8"/>
        <xdr:cNvSpPr>
          <a:spLocks/>
        </xdr:cNvSpPr>
      </xdr:nvSpPr>
      <xdr:spPr>
        <a:xfrm>
          <a:off x="4514850"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16</xdr:row>
      <xdr:rowOff>142875</xdr:rowOff>
    </xdr:from>
    <xdr:to>
      <xdr:col>6</xdr:col>
      <xdr:colOff>457200</xdr:colOff>
      <xdr:row>17</xdr:row>
      <xdr:rowOff>28575</xdr:rowOff>
    </xdr:to>
    <xdr:sp>
      <xdr:nvSpPr>
        <xdr:cNvPr id="7" name="Oval 9"/>
        <xdr:cNvSpPr>
          <a:spLocks/>
        </xdr:cNvSpPr>
      </xdr:nvSpPr>
      <xdr:spPr>
        <a:xfrm>
          <a:off x="4514850" y="2771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17</xdr:row>
      <xdr:rowOff>114300</xdr:rowOff>
    </xdr:from>
    <xdr:to>
      <xdr:col>6</xdr:col>
      <xdr:colOff>457200</xdr:colOff>
      <xdr:row>18</xdr:row>
      <xdr:rowOff>0</xdr:rowOff>
    </xdr:to>
    <xdr:sp>
      <xdr:nvSpPr>
        <xdr:cNvPr id="8" name="Oval 10"/>
        <xdr:cNvSpPr>
          <a:spLocks/>
        </xdr:cNvSpPr>
      </xdr:nvSpPr>
      <xdr:spPr>
        <a:xfrm>
          <a:off x="4514850"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16</xdr:row>
      <xdr:rowOff>0</xdr:rowOff>
    </xdr:from>
    <xdr:to>
      <xdr:col>6</xdr:col>
      <xdr:colOff>142875</xdr:colOff>
      <xdr:row>16</xdr:row>
      <xdr:rowOff>47625</xdr:rowOff>
    </xdr:to>
    <xdr:sp>
      <xdr:nvSpPr>
        <xdr:cNvPr id="9" name="Oval 11"/>
        <xdr:cNvSpPr>
          <a:spLocks/>
        </xdr:cNvSpPr>
      </xdr:nvSpPr>
      <xdr:spPr>
        <a:xfrm>
          <a:off x="4200525"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16</xdr:row>
      <xdr:rowOff>142875</xdr:rowOff>
    </xdr:from>
    <xdr:to>
      <xdr:col>6</xdr:col>
      <xdr:colOff>142875</xdr:colOff>
      <xdr:row>17</xdr:row>
      <xdr:rowOff>28575</xdr:rowOff>
    </xdr:to>
    <xdr:sp>
      <xdr:nvSpPr>
        <xdr:cNvPr id="10" name="Oval 12"/>
        <xdr:cNvSpPr>
          <a:spLocks/>
        </xdr:cNvSpPr>
      </xdr:nvSpPr>
      <xdr:spPr>
        <a:xfrm>
          <a:off x="4200525" y="2771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17</xdr:row>
      <xdr:rowOff>114300</xdr:rowOff>
    </xdr:from>
    <xdr:to>
      <xdr:col>6</xdr:col>
      <xdr:colOff>142875</xdr:colOff>
      <xdr:row>18</xdr:row>
      <xdr:rowOff>0</xdr:rowOff>
    </xdr:to>
    <xdr:sp>
      <xdr:nvSpPr>
        <xdr:cNvPr id="11" name="Oval 13"/>
        <xdr:cNvSpPr>
          <a:spLocks/>
        </xdr:cNvSpPr>
      </xdr:nvSpPr>
      <xdr:spPr>
        <a:xfrm>
          <a:off x="4200525"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14</xdr:row>
      <xdr:rowOff>142875</xdr:rowOff>
    </xdr:from>
    <xdr:to>
      <xdr:col>8</xdr:col>
      <xdr:colOff>76200</xdr:colOff>
      <xdr:row>16</xdr:row>
      <xdr:rowOff>142875</xdr:rowOff>
    </xdr:to>
    <xdr:sp>
      <xdr:nvSpPr>
        <xdr:cNvPr id="12" name="Line 14"/>
        <xdr:cNvSpPr>
          <a:spLocks/>
        </xdr:cNvSpPr>
      </xdr:nvSpPr>
      <xdr:spPr>
        <a:xfrm>
          <a:off x="540067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17</xdr:row>
      <xdr:rowOff>85725</xdr:rowOff>
    </xdr:from>
    <xdr:to>
      <xdr:col>8</xdr:col>
      <xdr:colOff>76200</xdr:colOff>
      <xdr:row>19</xdr:row>
      <xdr:rowOff>133350</xdr:rowOff>
    </xdr:to>
    <xdr:sp>
      <xdr:nvSpPr>
        <xdr:cNvPr id="13" name="Line 15"/>
        <xdr:cNvSpPr>
          <a:spLocks/>
        </xdr:cNvSpPr>
      </xdr:nvSpPr>
      <xdr:spPr>
        <a:xfrm>
          <a:off x="5400675" y="28765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16</xdr:row>
      <xdr:rowOff>142875</xdr:rowOff>
    </xdr:from>
    <xdr:to>
      <xdr:col>8</xdr:col>
      <xdr:colOff>76200</xdr:colOff>
      <xdr:row>16</xdr:row>
      <xdr:rowOff>142875</xdr:rowOff>
    </xdr:to>
    <xdr:sp>
      <xdr:nvSpPr>
        <xdr:cNvPr id="14" name="Line 16"/>
        <xdr:cNvSpPr>
          <a:spLocks/>
        </xdr:cNvSpPr>
      </xdr:nvSpPr>
      <xdr:spPr>
        <a:xfrm flipH="1">
          <a:off x="534352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17</xdr:row>
      <xdr:rowOff>85725</xdr:rowOff>
    </xdr:from>
    <xdr:to>
      <xdr:col>8</xdr:col>
      <xdr:colOff>133350</xdr:colOff>
      <xdr:row>17</xdr:row>
      <xdr:rowOff>85725</xdr:rowOff>
    </xdr:to>
    <xdr:sp>
      <xdr:nvSpPr>
        <xdr:cNvPr id="15" name="Line 17"/>
        <xdr:cNvSpPr>
          <a:spLocks/>
        </xdr:cNvSpPr>
      </xdr:nvSpPr>
      <xdr:spPr>
        <a:xfrm>
          <a:off x="540067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16</xdr:row>
      <xdr:rowOff>142875</xdr:rowOff>
    </xdr:from>
    <xdr:to>
      <xdr:col>8</xdr:col>
      <xdr:colOff>133350</xdr:colOff>
      <xdr:row>17</xdr:row>
      <xdr:rowOff>85725</xdr:rowOff>
    </xdr:to>
    <xdr:sp>
      <xdr:nvSpPr>
        <xdr:cNvPr id="16" name="Line 18"/>
        <xdr:cNvSpPr>
          <a:spLocks/>
        </xdr:cNvSpPr>
      </xdr:nvSpPr>
      <xdr:spPr>
        <a:xfrm>
          <a:off x="534352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190500</xdr:colOff>
      <xdr:row>18</xdr:row>
      <xdr:rowOff>57150</xdr:rowOff>
    </xdr:to>
    <xdr:sp>
      <xdr:nvSpPr>
        <xdr:cNvPr id="17" name="Rectangle 20"/>
        <xdr:cNvSpPr>
          <a:spLocks/>
        </xdr:cNvSpPr>
      </xdr:nvSpPr>
      <xdr:spPr>
        <a:xfrm>
          <a:off x="4867275"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15</xdr:row>
      <xdr:rowOff>57150</xdr:rowOff>
    </xdr:from>
    <xdr:to>
      <xdr:col>7</xdr:col>
      <xdr:colOff>190500</xdr:colOff>
      <xdr:row>18</xdr:row>
      <xdr:rowOff>152400</xdr:rowOff>
    </xdr:to>
    <xdr:sp>
      <xdr:nvSpPr>
        <xdr:cNvPr id="18" name="Line 23"/>
        <xdr:cNvSpPr>
          <a:spLocks/>
        </xdr:cNvSpPr>
      </xdr:nvSpPr>
      <xdr:spPr>
        <a:xfrm>
          <a:off x="4905375" y="25241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16</xdr:row>
      <xdr:rowOff>19050</xdr:rowOff>
    </xdr:from>
    <xdr:to>
      <xdr:col>7</xdr:col>
      <xdr:colOff>323850</xdr:colOff>
      <xdr:row>16</xdr:row>
      <xdr:rowOff>19050</xdr:rowOff>
    </xdr:to>
    <xdr:sp>
      <xdr:nvSpPr>
        <xdr:cNvPr id="19" name="Line 24"/>
        <xdr:cNvSpPr>
          <a:spLocks/>
        </xdr:cNvSpPr>
      </xdr:nvSpPr>
      <xdr:spPr>
        <a:xfrm>
          <a:off x="4210050" y="264795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0</xdr:rowOff>
    </xdr:from>
    <xdr:to>
      <xdr:col>7</xdr:col>
      <xdr:colOff>323850</xdr:colOff>
      <xdr:row>17</xdr:row>
      <xdr:rowOff>0</xdr:rowOff>
    </xdr:to>
    <xdr:sp>
      <xdr:nvSpPr>
        <xdr:cNvPr id="20" name="Line 25"/>
        <xdr:cNvSpPr>
          <a:spLocks/>
        </xdr:cNvSpPr>
      </xdr:nvSpPr>
      <xdr:spPr>
        <a:xfrm>
          <a:off x="4210050" y="279082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142875</xdr:rowOff>
    </xdr:from>
    <xdr:to>
      <xdr:col>7</xdr:col>
      <xdr:colOff>323850</xdr:colOff>
      <xdr:row>17</xdr:row>
      <xdr:rowOff>142875</xdr:rowOff>
    </xdr:to>
    <xdr:sp>
      <xdr:nvSpPr>
        <xdr:cNvPr id="21" name="Line 26"/>
        <xdr:cNvSpPr>
          <a:spLocks/>
        </xdr:cNvSpPr>
      </xdr:nvSpPr>
      <xdr:spPr>
        <a:xfrm>
          <a:off x="4210050" y="293370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16</xdr:row>
      <xdr:rowOff>0</xdr:rowOff>
    </xdr:from>
    <xdr:to>
      <xdr:col>7</xdr:col>
      <xdr:colOff>190500</xdr:colOff>
      <xdr:row>16</xdr:row>
      <xdr:rowOff>47625</xdr:rowOff>
    </xdr:to>
    <xdr:sp>
      <xdr:nvSpPr>
        <xdr:cNvPr id="22" name="Rectangle 27"/>
        <xdr:cNvSpPr>
          <a:spLocks/>
        </xdr:cNvSpPr>
      </xdr:nvSpPr>
      <xdr:spPr>
        <a:xfrm>
          <a:off x="4867275" y="26289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16</xdr:row>
      <xdr:rowOff>142875</xdr:rowOff>
    </xdr:from>
    <xdr:to>
      <xdr:col>7</xdr:col>
      <xdr:colOff>190500</xdr:colOff>
      <xdr:row>17</xdr:row>
      <xdr:rowOff>28575</xdr:rowOff>
    </xdr:to>
    <xdr:sp>
      <xdr:nvSpPr>
        <xdr:cNvPr id="23" name="Rectangle 28"/>
        <xdr:cNvSpPr>
          <a:spLocks/>
        </xdr:cNvSpPr>
      </xdr:nvSpPr>
      <xdr:spPr>
        <a:xfrm>
          <a:off x="4867275" y="27717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17</xdr:row>
      <xdr:rowOff>114300</xdr:rowOff>
    </xdr:from>
    <xdr:to>
      <xdr:col>7</xdr:col>
      <xdr:colOff>190500</xdr:colOff>
      <xdr:row>18</xdr:row>
      <xdr:rowOff>0</xdr:rowOff>
    </xdr:to>
    <xdr:sp>
      <xdr:nvSpPr>
        <xdr:cNvPr id="24" name="Rectangle 29"/>
        <xdr:cNvSpPr>
          <a:spLocks/>
        </xdr:cNvSpPr>
      </xdr:nvSpPr>
      <xdr:spPr>
        <a:xfrm>
          <a:off x="4867275" y="2905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25" name="Line 30"/>
        <xdr:cNvSpPr>
          <a:spLocks/>
        </xdr:cNvSpPr>
      </xdr:nvSpPr>
      <xdr:spPr>
        <a:xfrm>
          <a:off x="436245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26" name="Line 31"/>
        <xdr:cNvSpPr>
          <a:spLocks/>
        </xdr:cNvSpPr>
      </xdr:nvSpPr>
      <xdr:spPr>
        <a:xfrm>
          <a:off x="436245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13</xdr:row>
      <xdr:rowOff>142875</xdr:rowOff>
    </xdr:from>
    <xdr:to>
      <xdr:col>6</xdr:col>
      <xdr:colOff>114300</xdr:colOff>
      <xdr:row>15</xdr:row>
      <xdr:rowOff>142875</xdr:rowOff>
    </xdr:to>
    <xdr:sp>
      <xdr:nvSpPr>
        <xdr:cNvPr id="27" name="Line 32"/>
        <xdr:cNvSpPr>
          <a:spLocks/>
        </xdr:cNvSpPr>
      </xdr:nvSpPr>
      <xdr:spPr>
        <a:xfrm flipV="1">
          <a:off x="4219575" y="2286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13</xdr:row>
      <xdr:rowOff>142875</xdr:rowOff>
    </xdr:from>
    <xdr:to>
      <xdr:col>6</xdr:col>
      <xdr:colOff>438150</xdr:colOff>
      <xdr:row>15</xdr:row>
      <xdr:rowOff>142875</xdr:rowOff>
    </xdr:to>
    <xdr:sp>
      <xdr:nvSpPr>
        <xdr:cNvPr id="28" name="Line 33"/>
        <xdr:cNvSpPr>
          <a:spLocks/>
        </xdr:cNvSpPr>
      </xdr:nvSpPr>
      <xdr:spPr>
        <a:xfrm flipV="1">
          <a:off x="4543425" y="2286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14</xdr:row>
      <xdr:rowOff>19050</xdr:rowOff>
    </xdr:from>
    <xdr:to>
      <xdr:col>6</xdr:col>
      <xdr:colOff>438150</xdr:colOff>
      <xdr:row>14</xdr:row>
      <xdr:rowOff>19050</xdr:rowOff>
    </xdr:to>
    <xdr:sp>
      <xdr:nvSpPr>
        <xdr:cNvPr id="29" name="Line 34"/>
        <xdr:cNvSpPr>
          <a:spLocks/>
        </xdr:cNvSpPr>
      </xdr:nvSpPr>
      <xdr:spPr>
        <a:xfrm>
          <a:off x="4219575" y="2324100"/>
          <a:ext cx="323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16</xdr:row>
      <xdr:rowOff>19050</xdr:rowOff>
    </xdr:from>
    <xdr:to>
      <xdr:col>6</xdr:col>
      <xdr:colOff>76200</xdr:colOff>
      <xdr:row>16</xdr:row>
      <xdr:rowOff>19050</xdr:rowOff>
    </xdr:to>
    <xdr:sp>
      <xdr:nvSpPr>
        <xdr:cNvPr id="30" name="Line 35"/>
        <xdr:cNvSpPr>
          <a:spLocks/>
        </xdr:cNvSpPr>
      </xdr:nvSpPr>
      <xdr:spPr>
        <a:xfrm flipH="1">
          <a:off x="3971925" y="26479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17</xdr:row>
      <xdr:rowOff>142875</xdr:rowOff>
    </xdr:from>
    <xdr:to>
      <xdr:col>6</xdr:col>
      <xdr:colOff>76200</xdr:colOff>
      <xdr:row>17</xdr:row>
      <xdr:rowOff>142875</xdr:rowOff>
    </xdr:to>
    <xdr:sp>
      <xdr:nvSpPr>
        <xdr:cNvPr id="31" name="Line 36"/>
        <xdr:cNvSpPr>
          <a:spLocks/>
        </xdr:cNvSpPr>
      </xdr:nvSpPr>
      <xdr:spPr>
        <a:xfrm flipH="1">
          <a:off x="3971925" y="29337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16</xdr:row>
      <xdr:rowOff>19050</xdr:rowOff>
    </xdr:from>
    <xdr:to>
      <xdr:col>5</xdr:col>
      <xdr:colOff>523875</xdr:colOff>
      <xdr:row>17</xdr:row>
      <xdr:rowOff>142875</xdr:rowOff>
    </xdr:to>
    <xdr:sp>
      <xdr:nvSpPr>
        <xdr:cNvPr id="32" name="Line 37"/>
        <xdr:cNvSpPr>
          <a:spLocks/>
        </xdr:cNvSpPr>
      </xdr:nvSpPr>
      <xdr:spPr>
        <a:xfrm>
          <a:off x="4019550" y="2647950"/>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18</xdr:row>
      <xdr:rowOff>85725</xdr:rowOff>
    </xdr:from>
    <xdr:to>
      <xdr:col>6</xdr:col>
      <xdr:colOff>47625</xdr:colOff>
      <xdr:row>21</xdr:row>
      <xdr:rowOff>57150</xdr:rowOff>
    </xdr:to>
    <xdr:sp>
      <xdr:nvSpPr>
        <xdr:cNvPr id="33" name="Line 38"/>
        <xdr:cNvSpPr>
          <a:spLocks/>
        </xdr:cNvSpPr>
      </xdr:nvSpPr>
      <xdr:spPr>
        <a:xfrm>
          <a:off x="4152900" y="30384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21</xdr:row>
      <xdr:rowOff>0</xdr:rowOff>
    </xdr:from>
    <xdr:to>
      <xdr:col>6</xdr:col>
      <xdr:colOff>504825</xdr:colOff>
      <xdr:row>21</xdr:row>
      <xdr:rowOff>0</xdr:rowOff>
    </xdr:to>
    <xdr:sp>
      <xdr:nvSpPr>
        <xdr:cNvPr id="34" name="Line 40"/>
        <xdr:cNvSpPr>
          <a:spLocks/>
        </xdr:cNvSpPr>
      </xdr:nvSpPr>
      <xdr:spPr>
        <a:xfrm>
          <a:off x="4152900" y="3438525"/>
          <a:ext cx="457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16</xdr:row>
      <xdr:rowOff>19050</xdr:rowOff>
    </xdr:from>
    <xdr:to>
      <xdr:col>6</xdr:col>
      <xdr:colOff>571500</xdr:colOff>
      <xdr:row>17</xdr:row>
      <xdr:rowOff>0</xdr:rowOff>
    </xdr:to>
    <xdr:sp>
      <xdr:nvSpPr>
        <xdr:cNvPr id="35" name="Line 42"/>
        <xdr:cNvSpPr>
          <a:spLocks/>
        </xdr:cNvSpPr>
      </xdr:nvSpPr>
      <xdr:spPr>
        <a:xfrm>
          <a:off x="4676775" y="26479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17</xdr:row>
      <xdr:rowOff>0</xdr:rowOff>
    </xdr:from>
    <xdr:to>
      <xdr:col>6</xdr:col>
      <xdr:colOff>571500</xdr:colOff>
      <xdr:row>17</xdr:row>
      <xdr:rowOff>142875</xdr:rowOff>
    </xdr:to>
    <xdr:sp>
      <xdr:nvSpPr>
        <xdr:cNvPr id="36" name="Line 43"/>
        <xdr:cNvSpPr>
          <a:spLocks/>
        </xdr:cNvSpPr>
      </xdr:nvSpPr>
      <xdr:spPr>
        <a:xfrm>
          <a:off x="4676775" y="279082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85725</xdr:rowOff>
    </xdr:from>
    <xdr:to>
      <xdr:col>7</xdr:col>
      <xdr:colOff>152400</xdr:colOff>
      <xdr:row>15</xdr:row>
      <xdr:rowOff>76200</xdr:rowOff>
    </xdr:to>
    <xdr:sp>
      <xdr:nvSpPr>
        <xdr:cNvPr id="37" name="Line 44"/>
        <xdr:cNvSpPr>
          <a:spLocks/>
        </xdr:cNvSpPr>
      </xdr:nvSpPr>
      <xdr:spPr>
        <a:xfrm flipV="1">
          <a:off x="4867275" y="190500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14</xdr:row>
      <xdr:rowOff>19050</xdr:rowOff>
    </xdr:from>
    <xdr:to>
      <xdr:col>7</xdr:col>
      <xdr:colOff>152400</xdr:colOff>
      <xdr:row>14</xdr:row>
      <xdr:rowOff>19050</xdr:rowOff>
    </xdr:to>
    <xdr:sp>
      <xdr:nvSpPr>
        <xdr:cNvPr id="38" name="Line 45"/>
        <xdr:cNvSpPr>
          <a:spLocks/>
        </xdr:cNvSpPr>
      </xdr:nvSpPr>
      <xdr:spPr>
        <a:xfrm>
          <a:off x="4733925" y="23241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14</xdr:row>
      <xdr:rowOff>19050</xdr:rowOff>
    </xdr:from>
    <xdr:to>
      <xdr:col>7</xdr:col>
      <xdr:colOff>323850</xdr:colOff>
      <xdr:row>14</xdr:row>
      <xdr:rowOff>19050</xdr:rowOff>
    </xdr:to>
    <xdr:sp>
      <xdr:nvSpPr>
        <xdr:cNvPr id="39" name="Line 46"/>
        <xdr:cNvSpPr>
          <a:spLocks/>
        </xdr:cNvSpPr>
      </xdr:nvSpPr>
      <xdr:spPr>
        <a:xfrm flipH="1">
          <a:off x="4905375" y="23241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19050</xdr:rowOff>
    </xdr:from>
    <xdr:to>
      <xdr:col>7</xdr:col>
      <xdr:colOff>190500</xdr:colOff>
      <xdr:row>14</xdr:row>
      <xdr:rowOff>19050</xdr:rowOff>
    </xdr:to>
    <xdr:sp>
      <xdr:nvSpPr>
        <xdr:cNvPr id="40" name="Line 47"/>
        <xdr:cNvSpPr>
          <a:spLocks/>
        </xdr:cNvSpPr>
      </xdr:nvSpPr>
      <xdr:spPr>
        <a:xfrm>
          <a:off x="4867275" y="232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41" name="Line 48"/>
        <xdr:cNvSpPr>
          <a:spLocks/>
        </xdr:cNvSpPr>
      </xdr:nvSpPr>
      <xdr:spPr>
        <a:xfrm flipH="1">
          <a:off x="440055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42" name="Line 49"/>
        <xdr:cNvSpPr>
          <a:spLocks/>
        </xdr:cNvSpPr>
      </xdr:nvSpPr>
      <xdr:spPr>
        <a:xfrm>
          <a:off x="436245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15</xdr:row>
      <xdr:rowOff>19050</xdr:rowOff>
    </xdr:from>
    <xdr:to>
      <xdr:col>8</xdr:col>
      <xdr:colOff>76200</xdr:colOff>
      <xdr:row>15</xdr:row>
      <xdr:rowOff>76200</xdr:rowOff>
    </xdr:to>
    <xdr:sp>
      <xdr:nvSpPr>
        <xdr:cNvPr id="43" name="Rectangle 50"/>
        <xdr:cNvSpPr>
          <a:spLocks/>
        </xdr:cNvSpPr>
      </xdr:nvSpPr>
      <xdr:spPr>
        <a:xfrm>
          <a:off x="490537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18</xdr:row>
      <xdr:rowOff>152400</xdr:rowOff>
    </xdr:from>
    <xdr:to>
      <xdr:col>8</xdr:col>
      <xdr:colOff>76200</xdr:colOff>
      <xdr:row>19</xdr:row>
      <xdr:rowOff>47625</xdr:rowOff>
    </xdr:to>
    <xdr:sp>
      <xdr:nvSpPr>
        <xdr:cNvPr id="44" name="Rectangle 51"/>
        <xdr:cNvSpPr>
          <a:spLocks/>
        </xdr:cNvSpPr>
      </xdr:nvSpPr>
      <xdr:spPr>
        <a:xfrm>
          <a:off x="490537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45" name="Line 52"/>
        <xdr:cNvSpPr>
          <a:spLocks/>
        </xdr:cNvSpPr>
      </xdr:nvSpPr>
      <xdr:spPr>
        <a:xfrm>
          <a:off x="544830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16</xdr:row>
      <xdr:rowOff>76200</xdr:rowOff>
    </xdr:from>
    <xdr:to>
      <xdr:col>7</xdr:col>
      <xdr:colOff>447675</xdr:colOff>
      <xdr:row>18</xdr:row>
      <xdr:rowOff>85725</xdr:rowOff>
    </xdr:to>
    <xdr:sp>
      <xdr:nvSpPr>
        <xdr:cNvPr id="46" name="Line 53"/>
        <xdr:cNvSpPr>
          <a:spLocks/>
        </xdr:cNvSpPr>
      </xdr:nvSpPr>
      <xdr:spPr>
        <a:xfrm>
          <a:off x="5162550" y="27051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16</xdr:row>
      <xdr:rowOff>19050</xdr:rowOff>
    </xdr:from>
    <xdr:to>
      <xdr:col>8</xdr:col>
      <xdr:colOff>257175</xdr:colOff>
      <xdr:row>16</xdr:row>
      <xdr:rowOff>19050</xdr:rowOff>
    </xdr:to>
    <xdr:sp>
      <xdr:nvSpPr>
        <xdr:cNvPr id="47" name="Line 54"/>
        <xdr:cNvSpPr>
          <a:spLocks/>
        </xdr:cNvSpPr>
      </xdr:nvSpPr>
      <xdr:spPr>
        <a:xfrm>
          <a:off x="5114925" y="26479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15</xdr:row>
      <xdr:rowOff>19050</xdr:rowOff>
    </xdr:from>
    <xdr:to>
      <xdr:col>8</xdr:col>
      <xdr:colOff>200025</xdr:colOff>
      <xdr:row>16</xdr:row>
      <xdr:rowOff>19050</xdr:rowOff>
    </xdr:to>
    <xdr:sp>
      <xdr:nvSpPr>
        <xdr:cNvPr id="48" name="Line 55"/>
        <xdr:cNvSpPr>
          <a:spLocks/>
        </xdr:cNvSpPr>
      </xdr:nvSpPr>
      <xdr:spPr>
        <a:xfrm>
          <a:off x="5524500" y="248602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xdr:row>
      <xdr:rowOff>104775</xdr:rowOff>
    </xdr:from>
    <xdr:to>
      <xdr:col>7</xdr:col>
      <xdr:colOff>200025</xdr:colOff>
      <xdr:row>18</xdr:row>
      <xdr:rowOff>57150</xdr:rowOff>
    </xdr:to>
    <xdr:sp>
      <xdr:nvSpPr>
        <xdr:cNvPr id="49" name="Line 58"/>
        <xdr:cNvSpPr>
          <a:spLocks/>
        </xdr:cNvSpPr>
      </xdr:nvSpPr>
      <xdr:spPr>
        <a:xfrm>
          <a:off x="4914900" y="2571750"/>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xdr:row>
      <xdr:rowOff>28575</xdr:rowOff>
    </xdr:from>
    <xdr:to>
      <xdr:col>8</xdr:col>
      <xdr:colOff>0</xdr:colOff>
      <xdr:row>16</xdr:row>
      <xdr:rowOff>95250</xdr:rowOff>
    </xdr:to>
    <xdr:sp>
      <xdr:nvSpPr>
        <xdr:cNvPr id="50" name="Line 67"/>
        <xdr:cNvSpPr>
          <a:spLocks/>
        </xdr:cNvSpPr>
      </xdr:nvSpPr>
      <xdr:spPr>
        <a:xfrm flipH="1">
          <a:off x="4924425" y="2333625"/>
          <a:ext cx="4000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28575</xdr:rowOff>
    </xdr:from>
    <xdr:to>
      <xdr:col>8</xdr:col>
      <xdr:colOff>428625</xdr:colOff>
      <xdr:row>14</xdr:row>
      <xdr:rowOff>28575</xdr:rowOff>
    </xdr:to>
    <xdr:sp>
      <xdr:nvSpPr>
        <xdr:cNvPr id="51" name="Line 68"/>
        <xdr:cNvSpPr>
          <a:spLocks/>
        </xdr:cNvSpPr>
      </xdr:nvSpPr>
      <xdr:spPr>
        <a:xfrm>
          <a:off x="5324475" y="2333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14</xdr:row>
      <xdr:rowOff>28575</xdr:rowOff>
    </xdr:from>
    <xdr:to>
      <xdr:col>8</xdr:col>
      <xdr:colOff>247650</xdr:colOff>
      <xdr:row>14</xdr:row>
      <xdr:rowOff>133350</xdr:rowOff>
    </xdr:to>
    <xdr:sp>
      <xdr:nvSpPr>
        <xdr:cNvPr id="52" name="Line 69"/>
        <xdr:cNvSpPr>
          <a:spLocks/>
        </xdr:cNvSpPr>
      </xdr:nvSpPr>
      <xdr:spPr>
        <a:xfrm>
          <a:off x="5572125" y="23336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14</xdr:row>
      <xdr:rowOff>28575</xdr:rowOff>
    </xdr:from>
    <xdr:to>
      <xdr:col>8</xdr:col>
      <xdr:colOff>352425</xdr:colOff>
      <xdr:row>14</xdr:row>
      <xdr:rowOff>133350</xdr:rowOff>
    </xdr:to>
    <xdr:sp>
      <xdr:nvSpPr>
        <xdr:cNvPr id="53" name="Line 70"/>
        <xdr:cNvSpPr>
          <a:spLocks/>
        </xdr:cNvSpPr>
      </xdr:nvSpPr>
      <xdr:spPr>
        <a:xfrm flipV="1">
          <a:off x="5572125" y="2333625"/>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54" name="Line 71"/>
        <xdr:cNvSpPr>
          <a:spLocks/>
        </xdr:cNvSpPr>
      </xdr:nvSpPr>
      <xdr:spPr>
        <a:xfrm>
          <a:off x="544830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55" name="Rectangle 72"/>
        <xdr:cNvSpPr>
          <a:spLocks/>
        </xdr:cNvSpPr>
      </xdr:nvSpPr>
      <xdr:spPr>
        <a:xfrm>
          <a:off x="407670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56" name="Rectangle 73"/>
        <xdr:cNvSpPr>
          <a:spLocks/>
        </xdr:cNvSpPr>
      </xdr:nvSpPr>
      <xdr:spPr>
        <a:xfrm>
          <a:off x="4076700" y="50482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57" name="Rectangle 74"/>
        <xdr:cNvSpPr>
          <a:spLocks/>
        </xdr:cNvSpPr>
      </xdr:nvSpPr>
      <xdr:spPr>
        <a:xfrm>
          <a:off x="4362450" y="44862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27</xdr:row>
      <xdr:rowOff>114300</xdr:rowOff>
    </xdr:from>
    <xdr:to>
      <xdr:col>6</xdr:col>
      <xdr:colOff>257175</xdr:colOff>
      <xdr:row>30</xdr:row>
      <xdr:rowOff>57150</xdr:rowOff>
    </xdr:to>
    <xdr:sp>
      <xdr:nvSpPr>
        <xdr:cNvPr id="58" name="Rectangle 75"/>
        <xdr:cNvSpPr>
          <a:spLocks/>
        </xdr:cNvSpPr>
      </xdr:nvSpPr>
      <xdr:spPr>
        <a:xfrm>
          <a:off x="415290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27</xdr:row>
      <xdr:rowOff>114300</xdr:rowOff>
    </xdr:from>
    <xdr:to>
      <xdr:col>6</xdr:col>
      <xdr:colOff>504825</xdr:colOff>
      <xdr:row>30</xdr:row>
      <xdr:rowOff>57150</xdr:rowOff>
    </xdr:to>
    <xdr:sp>
      <xdr:nvSpPr>
        <xdr:cNvPr id="59" name="Rectangle 77"/>
        <xdr:cNvSpPr>
          <a:spLocks/>
        </xdr:cNvSpPr>
      </xdr:nvSpPr>
      <xdr:spPr>
        <a:xfrm>
          <a:off x="440055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28</xdr:row>
      <xdr:rowOff>0</xdr:rowOff>
    </xdr:from>
    <xdr:to>
      <xdr:col>6</xdr:col>
      <xdr:colOff>457200</xdr:colOff>
      <xdr:row>28</xdr:row>
      <xdr:rowOff>47625</xdr:rowOff>
    </xdr:to>
    <xdr:sp>
      <xdr:nvSpPr>
        <xdr:cNvPr id="60" name="Oval 79"/>
        <xdr:cNvSpPr>
          <a:spLocks/>
        </xdr:cNvSpPr>
      </xdr:nvSpPr>
      <xdr:spPr>
        <a:xfrm>
          <a:off x="4514850" y="4572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28</xdr:row>
      <xdr:rowOff>142875</xdr:rowOff>
    </xdr:from>
    <xdr:to>
      <xdr:col>6</xdr:col>
      <xdr:colOff>457200</xdr:colOff>
      <xdr:row>29</xdr:row>
      <xdr:rowOff>28575</xdr:rowOff>
    </xdr:to>
    <xdr:sp>
      <xdr:nvSpPr>
        <xdr:cNvPr id="61" name="Oval 80"/>
        <xdr:cNvSpPr>
          <a:spLocks/>
        </xdr:cNvSpPr>
      </xdr:nvSpPr>
      <xdr:spPr>
        <a:xfrm>
          <a:off x="4514850" y="4714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29</xdr:row>
      <xdr:rowOff>114300</xdr:rowOff>
    </xdr:from>
    <xdr:to>
      <xdr:col>6</xdr:col>
      <xdr:colOff>457200</xdr:colOff>
      <xdr:row>30</xdr:row>
      <xdr:rowOff>0</xdr:rowOff>
    </xdr:to>
    <xdr:sp>
      <xdr:nvSpPr>
        <xdr:cNvPr id="62" name="Oval 81"/>
        <xdr:cNvSpPr>
          <a:spLocks/>
        </xdr:cNvSpPr>
      </xdr:nvSpPr>
      <xdr:spPr>
        <a:xfrm>
          <a:off x="4514850" y="48482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28</xdr:row>
      <xdr:rowOff>0</xdr:rowOff>
    </xdr:from>
    <xdr:to>
      <xdr:col>6</xdr:col>
      <xdr:colOff>142875</xdr:colOff>
      <xdr:row>28</xdr:row>
      <xdr:rowOff>47625</xdr:rowOff>
    </xdr:to>
    <xdr:sp>
      <xdr:nvSpPr>
        <xdr:cNvPr id="63" name="Oval 82"/>
        <xdr:cNvSpPr>
          <a:spLocks/>
        </xdr:cNvSpPr>
      </xdr:nvSpPr>
      <xdr:spPr>
        <a:xfrm>
          <a:off x="4200525" y="4572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28</xdr:row>
      <xdr:rowOff>142875</xdr:rowOff>
    </xdr:from>
    <xdr:to>
      <xdr:col>6</xdr:col>
      <xdr:colOff>142875</xdr:colOff>
      <xdr:row>29</xdr:row>
      <xdr:rowOff>28575</xdr:rowOff>
    </xdr:to>
    <xdr:sp>
      <xdr:nvSpPr>
        <xdr:cNvPr id="64" name="Oval 83"/>
        <xdr:cNvSpPr>
          <a:spLocks/>
        </xdr:cNvSpPr>
      </xdr:nvSpPr>
      <xdr:spPr>
        <a:xfrm>
          <a:off x="4200525" y="4714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29</xdr:row>
      <xdr:rowOff>114300</xdr:rowOff>
    </xdr:from>
    <xdr:to>
      <xdr:col>6</xdr:col>
      <xdr:colOff>142875</xdr:colOff>
      <xdr:row>30</xdr:row>
      <xdr:rowOff>0</xdr:rowOff>
    </xdr:to>
    <xdr:sp>
      <xdr:nvSpPr>
        <xdr:cNvPr id="65" name="Oval 84"/>
        <xdr:cNvSpPr>
          <a:spLocks/>
        </xdr:cNvSpPr>
      </xdr:nvSpPr>
      <xdr:spPr>
        <a:xfrm>
          <a:off x="4200525" y="48482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66" name="Line 85"/>
        <xdr:cNvSpPr>
          <a:spLocks/>
        </xdr:cNvSpPr>
      </xdr:nvSpPr>
      <xdr:spPr>
        <a:xfrm>
          <a:off x="541972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133350</xdr:rowOff>
    </xdr:to>
    <xdr:sp>
      <xdr:nvSpPr>
        <xdr:cNvPr id="67" name="Line 86"/>
        <xdr:cNvSpPr>
          <a:spLocks/>
        </xdr:cNvSpPr>
      </xdr:nvSpPr>
      <xdr:spPr>
        <a:xfrm>
          <a:off x="5419725" y="48196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68" name="Line 87"/>
        <xdr:cNvSpPr>
          <a:spLocks/>
        </xdr:cNvSpPr>
      </xdr:nvSpPr>
      <xdr:spPr>
        <a:xfrm flipH="1">
          <a:off x="536257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69" name="Line 88"/>
        <xdr:cNvSpPr>
          <a:spLocks/>
        </xdr:cNvSpPr>
      </xdr:nvSpPr>
      <xdr:spPr>
        <a:xfrm>
          <a:off x="541972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70" name="Line 89"/>
        <xdr:cNvSpPr>
          <a:spLocks/>
        </xdr:cNvSpPr>
      </xdr:nvSpPr>
      <xdr:spPr>
        <a:xfrm>
          <a:off x="536257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114300</xdr:rowOff>
    </xdr:from>
    <xdr:to>
      <xdr:col>7</xdr:col>
      <xdr:colOff>209550</xdr:colOff>
      <xdr:row>30</xdr:row>
      <xdr:rowOff>57150</xdr:rowOff>
    </xdr:to>
    <xdr:sp>
      <xdr:nvSpPr>
        <xdr:cNvPr id="71" name="Rectangle 91"/>
        <xdr:cNvSpPr>
          <a:spLocks/>
        </xdr:cNvSpPr>
      </xdr:nvSpPr>
      <xdr:spPr>
        <a:xfrm>
          <a:off x="4886325"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30</xdr:row>
      <xdr:rowOff>123825</xdr:rowOff>
    </xdr:to>
    <xdr:sp>
      <xdr:nvSpPr>
        <xdr:cNvPr id="72" name="Line 94"/>
        <xdr:cNvSpPr>
          <a:spLocks/>
        </xdr:cNvSpPr>
      </xdr:nvSpPr>
      <xdr:spPr>
        <a:xfrm>
          <a:off x="4924425" y="450532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19050</xdr:rowOff>
    </xdr:from>
    <xdr:to>
      <xdr:col>7</xdr:col>
      <xdr:colOff>323850</xdr:colOff>
      <xdr:row>28</xdr:row>
      <xdr:rowOff>19050</xdr:rowOff>
    </xdr:to>
    <xdr:sp>
      <xdr:nvSpPr>
        <xdr:cNvPr id="73" name="Line 95"/>
        <xdr:cNvSpPr>
          <a:spLocks/>
        </xdr:cNvSpPr>
      </xdr:nvSpPr>
      <xdr:spPr>
        <a:xfrm>
          <a:off x="4210050" y="459105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0</xdr:rowOff>
    </xdr:from>
    <xdr:to>
      <xdr:col>7</xdr:col>
      <xdr:colOff>323850</xdr:colOff>
      <xdr:row>29</xdr:row>
      <xdr:rowOff>0</xdr:rowOff>
    </xdr:to>
    <xdr:sp>
      <xdr:nvSpPr>
        <xdr:cNvPr id="74" name="Line 96"/>
        <xdr:cNvSpPr>
          <a:spLocks/>
        </xdr:cNvSpPr>
      </xdr:nvSpPr>
      <xdr:spPr>
        <a:xfrm>
          <a:off x="4210050" y="473392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142875</xdr:rowOff>
    </xdr:from>
    <xdr:to>
      <xdr:col>7</xdr:col>
      <xdr:colOff>323850</xdr:colOff>
      <xdr:row>29</xdr:row>
      <xdr:rowOff>142875</xdr:rowOff>
    </xdr:to>
    <xdr:sp>
      <xdr:nvSpPr>
        <xdr:cNvPr id="75" name="Line 97"/>
        <xdr:cNvSpPr>
          <a:spLocks/>
        </xdr:cNvSpPr>
      </xdr:nvSpPr>
      <xdr:spPr>
        <a:xfrm>
          <a:off x="4210050" y="487680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7</xdr:col>
      <xdr:colOff>209550</xdr:colOff>
      <xdr:row>28</xdr:row>
      <xdr:rowOff>47625</xdr:rowOff>
    </xdr:to>
    <xdr:sp>
      <xdr:nvSpPr>
        <xdr:cNvPr id="76" name="Rectangle 98"/>
        <xdr:cNvSpPr>
          <a:spLocks/>
        </xdr:cNvSpPr>
      </xdr:nvSpPr>
      <xdr:spPr>
        <a:xfrm>
          <a:off x="4886325" y="45720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142875</xdr:rowOff>
    </xdr:from>
    <xdr:to>
      <xdr:col>7</xdr:col>
      <xdr:colOff>209550</xdr:colOff>
      <xdr:row>29</xdr:row>
      <xdr:rowOff>28575</xdr:rowOff>
    </xdr:to>
    <xdr:sp>
      <xdr:nvSpPr>
        <xdr:cNvPr id="77" name="Rectangle 99"/>
        <xdr:cNvSpPr>
          <a:spLocks/>
        </xdr:cNvSpPr>
      </xdr:nvSpPr>
      <xdr:spPr>
        <a:xfrm>
          <a:off x="4886325" y="47148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29</xdr:row>
      <xdr:rowOff>114300</xdr:rowOff>
    </xdr:from>
    <xdr:to>
      <xdr:col>7</xdr:col>
      <xdr:colOff>209550</xdr:colOff>
      <xdr:row>30</xdr:row>
      <xdr:rowOff>0</xdr:rowOff>
    </xdr:to>
    <xdr:sp>
      <xdr:nvSpPr>
        <xdr:cNvPr id="78" name="Rectangle 100"/>
        <xdr:cNvSpPr>
          <a:spLocks/>
        </xdr:cNvSpPr>
      </xdr:nvSpPr>
      <xdr:spPr>
        <a:xfrm>
          <a:off x="4886325" y="48482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79" name="Line 101"/>
        <xdr:cNvSpPr>
          <a:spLocks/>
        </xdr:cNvSpPr>
      </xdr:nvSpPr>
      <xdr:spPr>
        <a:xfrm>
          <a:off x="436245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80" name="Line 102"/>
        <xdr:cNvSpPr>
          <a:spLocks/>
        </xdr:cNvSpPr>
      </xdr:nvSpPr>
      <xdr:spPr>
        <a:xfrm>
          <a:off x="4362450" y="50482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81" name="Line 103"/>
        <xdr:cNvSpPr>
          <a:spLocks/>
        </xdr:cNvSpPr>
      </xdr:nvSpPr>
      <xdr:spPr>
        <a:xfrm>
          <a:off x="513397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82" name="Line 104"/>
        <xdr:cNvSpPr>
          <a:spLocks/>
        </xdr:cNvSpPr>
      </xdr:nvSpPr>
      <xdr:spPr>
        <a:xfrm>
          <a:off x="513397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83" name="Line 105"/>
        <xdr:cNvSpPr>
          <a:spLocks/>
        </xdr:cNvSpPr>
      </xdr:nvSpPr>
      <xdr:spPr>
        <a:xfrm>
          <a:off x="492442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84" name="Line 106"/>
        <xdr:cNvSpPr>
          <a:spLocks/>
        </xdr:cNvSpPr>
      </xdr:nvSpPr>
      <xdr:spPr>
        <a:xfrm flipV="1">
          <a:off x="511492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85" name="Line 107"/>
        <xdr:cNvSpPr>
          <a:spLocks/>
        </xdr:cNvSpPr>
      </xdr:nvSpPr>
      <xdr:spPr>
        <a:xfrm>
          <a:off x="5133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86" name="Line 108"/>
        <xdr:cNvSpPr>
          <a:spLocks/>
        </xdr:cNvSpPr>
      </xdr:nvSpPr>
      <xdr:spPr>
        <a:xfrm>
          <a:off x="4924425" y="50196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87" name="Line 109"/>
        <xdr:cNvSpPr>
          <a:spLocks/>
        </xdr:cNvSpPr>
      </xdr:nvSpPr>
      <xdr:spPr>
        <a:xfrm>
          <a:off x="5114925" y="50196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88" name="Line 110"/>
        <xdr:cNvSpPr>
          <a:spLocks/>
        </xdr:cNvSpPr>
      </xdr:nvSpPr>
      <xdr:spPr>
        <a:xfrm>
          <a:off x="5133975" y="5038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89" name="Line 111"/>
        <xdr:cNvSpPr>
          <a:spLocks/>
        </xdr:cNvSpPr>
      </xdr:nvSpPr>
      <xdr:spPr>
        <a:xfrm>
          <a:off x="5133975" y="5095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90" name="Line 112"/>
        <xdr:cNvSpPr>
          <a:spLocks/>
        </xdr:cNvSpPr>
      </xdr:nvSpPr>
      <xdr:spPr>
        <a:xfrm>
          <a:off x="5133975" y="50387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91" name="Line 113"/>
        <xdr:cNvSpPr>
          <a:spLocks/>
        </xdr:cNvSpPr>
      </xdr:nvSpPr>
      <xdr:spPr>
        <a:xfrm flipV="1">
          <a:off x="492442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92" name="Line 114"/>
        <xdr:cNvSpPr>
          <a:spLocks/>
        </xdr:cNvSpPr>
      </xdr:nvSpPr>
      <xdr:spPr>
        <a:xfrm flipV="1">
          <a:off x="513397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93" name="Line 115"/>
        <xdr:cNvSpPr>
          <a:spLocks/>
        </xdr:cNvSpPr>
      </xdr:nvSpPr>
      <xdr:spPr>
        <a:xfrm>
          <a:off x="516255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94" name="Line 116"/>
        <xdr:cNvSpPr>
          <a:spLocks/>
        </xdr:cNvSpPr>
      </xdr:nvSpPr>
      <xdr:spPr>
        <a:xfrm>
          <a:off x="544830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95" name="Line 117"/>
        <xdr:cNvSpPr>
          <a:spLocks/>
        </xdr:cNvSpPr>
      </xdr:nvSpPr>
      <xdr:spPr>
        <a:xfrm>
          <a:off x="5162550" y="5019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96" name="Line 118"/>
        <xdr:cNvSpPr>
          <a:spLocks/>
        </xdr:cNvSpPr>
      </xdr:nvSpPr>
      <xdr:spPr>
        <a:xfrm>
          <a:off x="5448300" y="50958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97" name="Line 119"/>
        <xdr:cNvSpPr>
          <a:spLocks/>
        </xdr:cNvSpPr>
      </xdr:nvSpPr>
      <xdr:spPr>
        <a:xfrm>
          <a:off x="492442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98" name="Line 120"/>
        <xdr:cNvSpPr>
          <a:spLocks/>
        </xdr:cNvSpPr>
      </xdr:nvSpPr>
      <xdr:spPr>
        <a:xfrm>
          <a:off x="553402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99" name="Line 121"/>
        <xdr:cNvSpPr>
          <a:spLocks/>
        </xdr:cNvSpPr>
      </xdr:nvSpPr>
      <xdr:spPr>
        <a:xfrm>
          <a:off x="5534025" y="48387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100" name="Line 122"/>
        <xdr:cNvSpPr>
          <a:spLocks/>
        </xdr:cNvSpPr>
      </xdr:nvSpPr>
      <xdr:spPr>
        <a:xfrm flipV="1">
          <a:off x="553402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101" name="Line 123"/>
        <xdr:cNvSpPr>
          <a:spLocks/>
        </xdr:cNvSpPr>
      </xdr:nvSpPr>
      <xdr:spPr>
        <a:xfrm flipV="1">
          <a:off x="5534025" y="509587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102" name="Line 124"/>
        <xdr:cNvSpPr>
          <a:spLocks/>
        </xdr:cNvSpPr>
      </xdr:nvSpPr>
      <xdr:spPr>
        <a:xfrm>
          <a:off x="4924425" y="5057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103" name="Line 125"/>
        <xdr:cNvSpPr>
          <a:spLocks/>
        </xdr:cNvSpPr>
      </xdr:nvSpPr>
      <xdr:spPr>
        <a:xfrm>
          <a:off x="5133975" y="51339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104" name="Line 126"/>
        <xdr:cNvSpPr>
          <a:spLocks/>
        </xdr:cNvSpPr>
      </xdr:nvSpPr>
      <xdr:spPr>
        <a:xfrm>
          <a:off x="4924425" y="53816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105" name="Line 127"/>
        <xdr:cNvSpPr>
          <a:spLocks/>
        </xdr:cNvSpPr>
      </xdr:nvSpPr>
      <xdr:spPr>
        <a:xfrm flipH="1">
          <a:off x="384810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106" name="Line 128"/>
        <xdr:cNvSpPr>
          <a:spLocks/>
        </xdr:cNvSpPr>
      </xdr:nvSpPr>
      <xdr:spPr>
        <a:xfrm flipH="1">
          <a:off x="3848100" y="51054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107" name="Line 129"/>
        <xdr:cNvSpPr>
          <a:spLocks/>
        </xdr:cNvSpPr>
      </xdr:nvSpPr>
      <xdr:spPr>
        <a:xfrm>
          <a:off x="3895725" y="4429125"/>
          <a:ext cx="0" cy="676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108" name="Line 130"/>
        <xdr:cNvSpPr>
          <a:spLocks/>
        </xdr:cNvSpPr>
      </xdr:nvSpPr>
      <xdr:spPr>
        <a:xfrm flipV="1">
          <a:off x="553402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109" name="Line 131"/>
        <xdr:cNvSpPr>
          <a:spLocks/>
        </xdr:cNvSpPr>
      </xdr:nvSpPr>
      <xdr:spPr>
        <a:xfrm>
          <a:off x="5534025" y="50196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110" name="Line 132"/>
        <xdr:cNvSpPr>
          <a:spLocks/>
        </xdr:cNvSpPr>
      </xdr:nvSpPr>
      <xdr:spPr>
        <a:xfrm>
          <a:off x="4076700"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111" name="Line 133"/>
        <xdr:cNvSpPr>
          <a:spLocks/>
        </xdr:cNvSpPr>
      </xdr:nvSpPr>
      <xdr:spPr>
        <a:xfrm>
          <a:off x="4676775"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112" name="Line 134"/>
        <xdr:cNvSpPr>
          <a:spLocks/>
        </xdr:cNvSpPr>
      </xdr:nvSpPr>
      <xdr:spPr>
        <a:xfrm>
          <a:off x="4076700" y="538162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113" name="Line 135"/>
        <xdr:cNvSpPr>
          <a:spLocks/>
        </xdr:cNvSpPr>
      </xdr:nvSpPr>
      <xdr:spPr>
        <a:xfrm flipV="1">
          <a:off x="43624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114" name="Line 136"/>
        <xdr:cNvSpPr>
          <a:spLocks/>
        </xdr:cNvSpPr>
      </xdr:nvSpPr>
      <xdr:spPr>
        <a:xfrm flipV="1">
          <a:off x="44005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115" name="Line 137"/>
        <xdr:cNvSpPr>
          <a:spLocks/>
        </xdr:cNvSpPr>
      </xdr:nvSpPr>
      <xdr:spPr>
        <a:xfrm>
          <a:off x="412432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15</xdr:row>
      <xdr:rowOff>114300</xdr:rowOff>
    </xdr:from>
    <xdr:to>
      <xdr:col>6</xdr:col>
      <xdr:colOff>19050</xdr:colOff>
      <xdr:row>15</xdr:row>
      <xdr:rowOff>114300</xdr:rowOff>
    </xdr:to>
    <xdr:sp>
      <xdr:nvSpPr>
        <xdr:cNvPr id="116" name="Line 138"/>
        <xdr:cNvSpPr>
          <a:spLocks/>
        </xdr:cNvSpPr>
      </xdr:nvSpPr>
      <xdr:spPr>
        <a:xfrm flipH="1">
          <a:off x="3971925" y="25812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114300</xdr:rowOff>
    </xdr:from>
    <xdr:to>
      <xdr:col>5</xdr:col>
      <xdr:colOff>523875</xdr:colOff>
      <xdr:row>15</xdr:row>
      <xdr:rowOff>114300</xdr:rowOff>
    </xdr:to>
    <xdr:sp>
      <xdr:nvSpPr>
        <xdr:cNvPr id="117" name="Line 139"/>
        <xdr:cNvSpPr>
          <a:spLocks/>
        </xdr:cNvSpPr>
      </xdr:nvSpPr>
      <xdr:spPr>
        <a:xfrm flipH="1">
          <a:off x="4019550" y="2419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114300</xdr:rowOff>
    </xdr:from>
    <xdr:to>
      <xdr:col>5</xdr:col>
      <xdr:colOff>523875</xdr:colOff>
      <xdr:row>16</xdr:row>
      <xdr:rowOff>19050</xdr:rowOff>
    </xdr:to>
    <xdr:sp>
      <xdr:nvSpPr>
        <xdr:cNvPr id="118" name="Line 140"/>
        <xdr:cNvSpPr>
          <a:spLocks/>
        </xdr:cNvSpPr>
      </xdr:nvSpPr>
      <xdr:spPr>
        <a:xfrm>
          <a:off x="4019550" y="25812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119" name="Line 141"/>
        <xdr:cNvSpPr>
          <a:spLocks/>
        </xdr:cNvSpPr>
      </xdr:nvSpPr>
      <xdr:spPr>
        <a:xfrm flipV="1">
          <a:off x="399097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120" name="Line 142"/>
        <xdr:cNvSpPr>
          <a:spLocks/>
        </xdr:cNvSpPr>
      </xdr:nvSpPr>
      <xdr:spPr>
        <a:xfrm>
          <a:off x="399097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21" name="Line 143"/>
        <xdr:cNvSpPr>
          <a:spLocks/>
        </xdr:cNvSpPr>
      </xdr:nvSpPr>
      <xdr:spPr>
        <a:xfrm>
          <a:off x="395287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22" name="Line 144"/>
        <xdr:cNvSpPr>
          <a:spLocks/>
        </xdr:cNvSpPr>
      </xdr:nvSpPr>
      <xdr:spPr>
        <a:xfrm>
          <a:off x="3990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95250</xdr:rowOff>
    </xdr:from>
    <xdr:to>
      <xdr:col>7</xdr:col>
      <xdr:colOff>152400</xdr:colOff>
      <xdr:row>12</xdr:row>
      <xdr:rowOff>95250</xdr:rowOff>
    </xdr:to>
    <xdr:sp>
      <xdr:nvSpPr>
        <xdr:cNvPr id="123" name="Line 195"/>
        <xdr:cNvSpPr>
          <a:spLocks/>
        </xdr:cNvSpPr>
      </xdr:nvSpPr>
      <xdr:spPr>
        <a:xfrm>
          <a:off x="474345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7</xdr:row>
      <xdr:rowOff>66675</xdr:rowOff>
    </xdr:from>
    <xdr:to>
      <xdr:col>6</xdr:col>
      <xdr:colOff>514350</xdr:colOff>
      <xdr:row>11</xdr:row>
      <xdr:rowOff>66675</xdr:rowOff>
    </xdr:to>
    <xdr:sp>
      <xdr:nvSpPr>
        <xdr:cNvPr id="124" name="Line 196"/>
        <xdr:cNvSpPr>
          <a:spLocks/>
        </xdr:cNvSpPr>
      </xdr:nvSpPr>
      <xdr:spPr>
        <a:xfrm flipV="1">
          <a:off x="4619625" y="1238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7</xdr:row>
      <xdr:rowOff>66675</xdr:rowOff>
    </xdr:from>
    <xdr:to>
      <xdr:col>7</xdr:col>
      <xdr:colOff>381000</xdr:colOff>
      <xdr:row>11</xdr:row>
      <xdr:rowOff>66675</xdr:rowOff>
    </xdr:to>
    <xdr:sp>
      <xdr:nvSpPr>
        <xdr:cNvPr id="125" name="Line 197"/>
        <xdr:cNvSpPr>
          <a:spLocks/>
        </xdr:cNvSpPr>
      </xdr:nvSpPr>
      <xdr:spPr>
        <a:xfrm>
          <a:off x="5095875" y="1238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57150</xdr:rowOff>
    </xdr:from>
    <xdr:to>
      <xdr:col>7</xdr:col>
      <xdr:colOff>152400</xdr:colOff>
      <xdr:row>11</xdr:row>
      <xdr:rowOff>57150</xdr:rowOff>
    </xdr:to>
    <xdr:sp>
      <xdr:nvSpPr>
        <xdr:cNvPr id="126" name="Line 198"/>
        <xdr:cNvSpPr>
          <a:spLocks/>
        </xdr:cNvSpPr>
      </xdr:nvSpPr>
      <xdr:spPr>
        <a:xfrm flipV="1">
          <a:off x="4867275" y="1228725"/>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xdr:row>
      <xdr:rowOff>76200</xdr:rowOff>
    </xdr:from>
    <xdr:to>
      <xdr:col>7</xdr:col>
      <xdr:colOff>123825</xdr:colOff>
      <xdr:row>11</xdr:row>
      <xdr:rowOff>76200</xdr:rowOff>
    </xdr:to>
    <xdr:sp>
      <xdr:nvSpPr>
        <xdr:cNvPr id="127" name="Line 199"/>
        <xdr:cNvSpPr>
          <a:spLocks/>
        </xdr:cNvSpPr>
      </xdr:nvSpPr>
      <xdr:spPr>
        <a:xfrm>
          <a:off x="4838700" y="1247775"/>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7</xdr:row>
      <xdr:rowOff>66675</xdr:rowOff>
    </xdr:from>
    <xdr:to>
      <xdr:col>7</xdr:col>
      <xdr:colOff>57150</xdr:colOff>
      <xdr:row>7</xdr:row>
      <xdr:rowOff>66675</xdr:rowOff>
    </xdr:to>
    <xdr:sp>
      <xdr:nvSpPr>
        <xdr:cNvPr id="128" name="Line 200"/>
        <xdr:cNvSpPr>
          <a:spLocks/>
        </xdr:cNvSpPr>
      </xdr:nvSpPr>
      <xdr:spPr>
        <a:xfrm>
          <a:off x="4524375"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66675</xdr:rowOff>
    </xdr:from>
    <xdr:to>
      <xdr:col>7</xdr:col>
      <xdr:colOff>466725</xdr:colOff>
      <xdr:row>7</xdr:row>
      <xdr:rowOff>66675</xdr:rowOff>
    </xdr:to>
    <xdr:sp>
      <xdr:nvSpPr>
        <xdr:cNvPr id="129" name="Line 201"/>
        <xdr:cNvSpPr>
          <a:spLocks/>
        </xdr:cNvSpPr>
      </xdr:nvSpPr>
      <xdr:spPr>
        <a:xfrm>
          <a:off x="4933950"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66675</xdr:rowOff>
    </xdr:from>
    <xdr:to>
      <xdr:col>7</xdr:col>
      <xdr:colOff>57150</xdr:colOff>
      <xdr:row>7</xdr:row>
      <xdr:rowOff>123825</xdr:rowOff>
    </xdr:to>
    <xdr:sp>
      <xdr:nvSpPr>
        <xdr:cNvPr id="130" name="Line 202"/>
        <xdr:cNvSpPr>
          <a:spLocks/>
        </xdr:cNvSpPr>
      </xdr:nvSpPr>
      <xdr:spPr>
        <a:xfrm>
          <a:off x="4772025" y="12382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9525</xdr:rowOff>
    </xdr:from>
    <xdr:to>
      <xdr:col>7</xdr:col>
      <xdr:colOff>219075</xdr:colOff>
      <xdr:row>7</xdr:row>
      <xdr:rowOff>66675</xdr:rowOff>
    </xdr:to>
    <xdr:sp>
      <xdr:nvSpPr>
        <xdr:cNvPr id="131" name="Line 203"/>
        <xdr:cNvSpPr>
          <a:spLocks/>
        </xdr:cNvSpPr>
      </xdr:nvSpPr>
      <xdr:spPr>
        <a:xfrm flipV="1">
          <a:off x="4933950" y="11811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9525</xdr:rowOff>
    </xdr:from>
    <xdr:to>
      <xdr:col>7</xdr:col>
      <xdr:colOff>219075</xdr:colOff>
      <xdr:row>7</xdr:row>
      <xdr:rowOff>123825</xdr:rowOff>
    </xdr:to>
    <xdr:sp>
      <xdr:nvSpPr>
        <xdr:cNvPr id="132" name="Line 204"/>
        <xdr:cNvSpPr>
          <a:spLocks/>
        </xdr:cNvSpPr>
      </xdr:nvSpPr>
      <xdr:spPr>
        <a:xfrm flipV="1">
          <a:off x="4772025" y="1181100"/>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66675</xdr:rowOff>
    </xdr:from>
    <xdr:to>
      <xdr:col>7</xdr:col>
      <xdr:colOff>57150</xdr:colOff>
      <xdr:row>11</xdr:row>
      <xdr:rowOff>66675</xdr:rowOff>
    </xdr:to>
    <xdr:sp>
      <xdr:nvSpPr>
        <xdr:cNvPr id="133" name="Line 205"/>
        <xdr:cNvSpPr>
          <a:spLocks/>
        </xdr:cNvSpPr>
      </xdr:nvSpPr>
      <xdr:spPr>
        <a:xfrm>
          <a:off x="4524375" y="18859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66675</xdr:rowOff>
    </xdr:from>
    <xdr:to>
      <xdr:col>7</xdr:col>
      <xdr:colOff>466725</xdr:colOff>
      <xdr:row>11</xdr:row>
      <xdr:rowOff>66675</xdr:rowOff>
    </xdr:to>
    <xdr:sp>
      <xdr:nvSpPr>
        <xdr:cNvPr id="134" name="Line 206"/>
        <xdr:cNvSpPr>
          <a:spLocks/>
        </xdr:cNvSpPr>
      </xdr:nvSpPr>
      <xdr:spPr>
        <a:xfrm>
          <a:off x="4933950" y="18859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xdr:row>
      <xdr:rowOff>66675</xdr:rowOff>
    </xdr:from>
    <xdr:to>
      <xdr:col>7</xdr:col>
      <xdr:colOff>57150</xdr:colOff>
      <xdr:row>11</xdr:row>
      <xdr:rowOff>123825</xdr:rowOff>
    </xdr:to>
    <xdr:sp>
      <xdr:nvSpPr>
        <xdr:cNvPr id="135" name="Line 207"/>
        <xdr:cNvSpPr>
          <a:spLocks/>
        </xdr:cNvSpPr>
      </xdr:nvSpPr>
      <xdr:spPr>
        <a:xfrm>
          <a:off x="4772025" y="18859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9525</xdr:rowOff>
    </xdr:from>
    <xdr:to>
      <xdr:col>7</xdr:col>
      <xdr:colOff>219075</xdr:colOff>
      <xdr:row>11</xdr:row>
      <xdr:rowOff>66675</xdr:rowOff>
    </xdr:to>
    <xdr:sp>
      <xdr:nvSpPr>
        <xdr:cNvPr id="136" name="Line 208"/>
        <xdr:cNvSpPr>
          <a:spLocks/>
        </xdr:cNvSpPr>
      </xdr:nvSpPr>
      <xdr:spPr>
        <a:xfrm flipV="1">
          <a:off x="4933950" y="18288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xdr:row>
      <xdr:rowOff>9525</xdr:rowOff>
    </xdr:from>
    <xdr:to>
      <xdr:col>7</xdr:col>
      <xdr:colOff>219075</xdr:colOff>
      <xdr:row>11</xdr:row>
      <xdr:rowOff>123825</xdr:rowOff>
    </xdr:to>
    <xdr:sp>
      <xdr:nvSpPr>
        <xdr:cNvPr id="137" name="Line 209"/>
        <xdr:cNvSpPr>
          <a:spLocks/>
        </xdr:cNvSpPr>
      </xdr:nvSpPr>
      <xdr:spPr>
        <a:xfrm flipV="1">
          <a:off x="4772025" y="1828800"/>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9</xdr:row>
      <xdr:rowOff>95250</xdr:rowOff>
    </xdr:from>
    <xdr:to>
      <xdr:col>7</xdr:col>
      <xdr:colOff>381000</xdr:colOff>
      <xdr:row>9</xdr:row>
      <xdr:rowOff>95250</xdr:rowOff>
    </xdr:to>
    <xdr:sp>
      <xdr:nvSpPr>
        <xdr:cNvPr id="138" name="Line 210"/>
        <xdr:cNvSpPr>
          <a:spLocks/>
        </xdr:cNvSpPr>
      </xdr:nvSpPr>
      <xdr:spPr>
        <a:xfrm>
          <a:off x="4619625" y="1590675"/>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9</xdr:row>
      <xdr:rowOff>95250</xdr:rowOff>
    </xdr:from>
    <xdr:to>
      <xdr:col>7</xdr:col>
      <xdr:colOff>590550</xdr:colOff>
      <xdr:row>9</xdr:row>
      <xdr:rowOff>95250</xdr:rowOff>
    </xdr:to>
    <xdr:sp>
      <xdr:nvSpPr>
        <xdr:cNvPr id="139" name="Line 211"/>
        <xdr:cNvSpPr>
          <a:spLocks/>
        </xdr:cNvSpPr>
      </xdr:nvSpPr>
      <xdr:spPr>
        <a:xfrm>
          <a:off x="5095875" y="15906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95250</xdr:rowOff>
    </xdr:from>
    <xdr:to>
      <xdr:col>7</xdr:col>
      <xdr:colOff>123825</xdr:colOff>
      <xdr:row>8</xdr:row>
      <xdr:rowOff>95250</xdr:rowOff>
    </xdr:to>
    <xdr:sp>
      <xdr:nvSpPr>
        <xdr:cNvPr id="140" name="Line 212"/>
        <xdr:cNvSpPr>
          <a:spLocks/>
        </xdr:cNvSpPr>
      </xdr:nvSpPr>
      <xdr:spPr>
        <a:xfrm>
          <a:off x="4714875" y="14287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95250</xdr:rowOff>
    </xdr:from>
    <xdr:to>
      <xdr:col>7</xdr:col>
      <xdr:colOff>590550</xdr:colOff>
      <xdr:row>8</xdr:row>
      <xdr:rowOff>95250</xdr:rowOff>
    </xdr:to>
    <xdr:sp>
      <xdr:nvSpPr>
        <xdr:cNvPr id="141" name="Line 213"/>
        <xdr:cNvSpPr>
          <a:spLocks/>
        </xdr:cNvSpPr>
      </xdr:nvSpPr>
      <xdr:spPr>
        <a:xfrm flipH="1">
          <a:off x="4867275" y="1428750"/>
          <a:ext cx="4381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13</xdr:row>
      <xdr:rowOff>133350</xdr:rowOff>
    </xdr:from>
    <xdr:to>
      <xdr:col>7</xdr:col>
      <xdr:colOff>190500</xdr:colOff>
      <xdr:row>14</xdr:row>
      <xdr:rowOff>152400</xdr:rowOff>
    </xdr:to>
    <xdr:sp>
      <xdr:nvSpPr>
        <xdr:cNvPr id="142" name="Line 214"/>
        <xdr:cNvSpPr>
          <a:spLocks/>
        </xdr:cNvSpPr>
      </xdr:nvSpPr>
      <xdr:spPr>
        <a:xfrm>
          <a:off x="4905375" y="22764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xdr:row>
      <xdr:rowOff>95250</xdr:rowOff>
    </xdr:from>
    <xdr:to>
      <xdr:col>7</xdr:col>
      <xdr:colOff>152400</xdr:colOff>
      <xdr:row>8</xdr:row>
      <xdr:rowOff>95250</xdr:rowOff>
    </xdr:to>
    <xdr:sp>
      <xdr:nvSpPr>
        <xdr:cNvPr id="143" name="Line 215"/>
        <xdr:cNvSpPr>
          <a:spLocks/>
        </xdr:cNvSpPr>
      </xdr:nvSpPr>
      <xdr:spPr>
        <a:xfrm>
          <a:off x="4838700" y="14287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18</xdr:row>
      <xdr:rowOff>85725</xdr:rowOff>
    </xdr:from>
    <xdr:to>
      <xdr:col>6</xdr:col>
      <xdr:colOff>504825</xdr:colOff>
      <xdr:row>21</xdr:row>
      <xdr:rowOff>57150</xdr:rowOff>
    </xdr:to>
    <xdr:sp>
      <xdr:nvSpPr>
        <xdr:cNvPr id="144" name="Line 347"/>
        <xdr:cNvSpPr>
          <a:spLocks/>
        </xdr:cNvSpPr>
      </xdr:nvSpPr>
      <xdr:spPr>
        <a:xfrm>
          <a:off x="4610100" y="30384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27</xdr:row>
      <xdr:rowOff>114300</xdr:rowOff>
    </xdr:from>
    <xdr:to>
      <xdr:col>7</xdr:col>
      <xdr:colOff>219075</xdr:colOff>
      <xdr:row>30</xdr:row>
      <xdr:rowOff>66675</xdr:rowOff>
    </xdr:to>
    <xdr:sp>
      <xdr:nvSpPr>
        <xdr:cNvPr id="145" name="Line 376"/>
        <xdr:cNvSpPr>
          <a:spLocks/>
        </xdr:cNvSpPr>
      </xdr:nvSpPr>
      <xdr:spPr>
        <a:xfrm>
          <a:off x="4933950" y="45243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27</xdr:row>
      <xdr:rowOff>114300</xdr:rowOff>
    </xdr:from>
    <xdr:to>
      <xdr:col>6</xdr:col>
      <xdr:colOff>304800</xdr:colOff>
      <xdr:row>30</xdr:row>
      <xdr:rowOff>66675</xdr:rowOff>
    </xdr:to>
    <xdr:sp>
      <xdr:nvSpPr>
        <xdr:cNvPr id="146" name="Line 377"/>
        <xdr:cNvSpPr>
          <a:spLocks/>
        </xdr:cNvSpPr>
      </xdr:nvSpPr>
      <xdr:spPr>
        <a:xfrm>
          <a:off x="4410075" y="45243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27</xdr:row>
      <xdr:rowOff>114300</xdr:rowOff>
    </xdr:from>
    <xdr:to>
      <xdr:col>6</xdr:col>
      <xdr:colOff>247650</xdr:colOff>
      <xdr:row>30</xdr:row>
      <xdr:rowOff>66675</xdr:rowOff>
    </xdr:to>
    <xdr:sp>
      <xdr:nvSpPr>
        <xdr:cNvPr id="147" name="Line 378"/>
        <xdr:cNvSpPr>
          <a:spLocks/>
        </xdr:cNvSpPr>
      </xdr:nvSpPr>
      <xdr:spPr>
        <a:xfrm>
          <a:off x="4352925" y="45243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15</xdr:row>
      <xdr:rowOff>114300</xdr:rowOff>
    </xdr:from>
    <xdr:to>
      <xdr:col>6</xdr:col>
      <xdr:colOff>304800</xdr:colOff>
      <xdr:row>18</xdr:row>
      <xdr:rowOff>66675</xdr:rowOff>
    </xdr:to>
    <xdr:sp>
      <xdr:nvSpPr>
        <xdr:cNvPr id="148" name="Line 379"/>
        <xdr:cNvSpPr>
          <a:spLocks/>
        </xdr:cNvSpPr>
      </xdr:nvSpPr>
      <xdr:spPr>
        <a:xfrm>
          <a:off x="4410075" y="25812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15</xdr:row>
      <xdr:rowOff>114300</xdr:rowOff>
    </xdr:from>
    <xdr:to>
      <xdr:col>6</xdr:col>
      <xdr:colOff>247650</xdr:colOff>
      <xdr:row>18</xdr:row>
      <xdr:rowOff>66675</xdr:rowOff>
    </xdr:to>
    <xdr:sp>
      <xdr:nvSpPr>
        <xdr:cNvPr id="149" name="Line 380"/>
        <xdr:cNvSpPr>
          <a:spLocks/>
        </xdr:cNvSpPr>
      </xdr:nvSpPr>
      <xdr:spPr>
        <a:xfrm>
          <a:off x="4352925" y="258127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10</xdr:row>
      <xdr:rowOff>19050</xdr:rowOff>
    </xdr:from>
    <xdr:to>
      <xdr:col>6</xdr:col>
      <xdr:colOff>571500</xdr:colOff>
      <xdr:row>10</xdr:row>
      <xdr:rowOff>76200</xdr:rowOff>
    </xdr:to>
    <xdr:sp>
      <xdr:nvSpPr>
        <xdr:cNvPr id="1" name="Rectangle 1"/>
        <xdr:cNvSpPr>
          <a:spLocks/>
        </xdr:cNvSpPr>
      </xdr:nvSpPr>
      <xdr:spPr>
        <a:xfrm>
          <a:off x="4076700" y="16764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13</xdr:row>
      <xdr:rowOff>152400</xdr:rowOff>
    </xdr:from>
    <xdr:to>
      <xdr:col>6</xdr:col>
      <xdr:colOff>571500</xdr:colOff>
      <xdr:row>14</xdr:row>
      <xdr:rowOff>47625</xdr:rowOff>
    </xdr:to>
    <xdr:sp>
      <xdr:nvSpPr>
        <xdr:cNvPr id="2" name="Rectangle 2"/>
        <xdr:cNvSpPr>
          <a:spLocks/>
        </xdr:cNvSpPr>
      </xdr:nvSpPr>
      <xdr:spPr>
        <a:xfrm>
          <a:off x="4076700" y="22955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76200</xdr:rowOff>
    </xdr:from>
    <xdr:to>
      <xdr:col>6</xdr:col>
      <xdr:colOff>295275</xdr:colOff>
      <xdr:row>13</xdr:row>
      <xdr:rowOff>152400</xdr:rowOff>
    </xdr:to>
    <xdr:sp>
      <xdr:nvSpPr>
        <xdr:cNvPr id="3" name="Rectangle 3"/>
        <xdr:cNvSpPr>
          <a:spLocks/>
        </xdr:cNvSpPr>
      </xdr:nvSpPr>
      <xdr:spPr>
        <a:xfrm>
          <a:off x="4362450" y="1733550"/>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10</xdr:row>
      <xdr:rowOff>114300</xdr:rowOff>
    </xdr:from>
    <xdr:to>
      <xdr:col>6</xdr:col>
      <xdr:colOff>257175</xdr:colOff>
      <xdr:row>13</xdr:row>
      <xdr:rowOff>57150</xdr:rowOff>
    </xdr:to>
    <xdr:sp>
      <xdr:nvSpPr>
        <xdr:cNvPr id="4" name="Rectangle 4"/>
        <xdr:cNvSpPr>
          <a:spLocks/>
        </xdr:cNvSpPr>
      </xdr:nvSpPr>
      <xdr:spPr>
        <a:xfrm>
          <a:off x="4152900" y="17716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10</xdr:row>
      <xdr:rowOff>114300</xdr:rowOff>
    </xdr:from>
    <xdr:to>
      <xdr:col>6</xdr:col>
      <xdr:colOff>504825</xdr:colOff>
      <xdr:row>13</xdr:row>
      <xdr:rowOff>57150</xdr:rowOff>
    </xdr:to>
    <xdr:sp>
      <xdr:nvSpPr>
        <xdr:cNvPr id="5" name="Rectangle 6"/>
        <xdr:cNvSpPr>
          <a:spLocks/>
        </xdr:cNvSpPr>
      </xdr:nvSpPr>
      <xdr:spPr>
        <a:xfrm>
          <a:off x="4400550" y="17716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xdr:row>
      <xdr:rowOff>0</xdr:rowOff>
    </xdr:from>
    <xdr:to>
      <xdr:col>6</xdr:col>
      <xdr:colOff>457200</xdr:colOff>
      <xdr:row>11</xdr:row>
      <xdr:rowOff>47625</xdr:rowOff>
    </xdr:to>
    <xdr:sp>
      <xdr:nvSpPr>
        <xdr:cNvPr id="6" name="Oval 8"/>
        <xdr:cNvSpPr>
          <a:spLocks/>
        </xdr:cNvSpPr>
      </xdr:nvSpPr>
      <xdr:spPr>
        <a:xfrm>
          <a:off x="4514850" y="1819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xdr:row>
      <xdr:rowOff>142875</xdr:rowOff>
    </xdr:from>
    <xdr:to>
      <xdr:col>6</xdr:col>
      <xdr:colOff>457200</xdr:colOff>
      <xdr:row>12</xdr:row>
      <xdr:rowOff>28575</xdr:rowOff>
    </xdr:to>
    <xdr:sp>
      <xdr:nvSpPr>
        <xdr:cNvPr id="7" name="Oval 9"/>
        <xdr:cNvSpPr>
          <a:spLocks/>
        </xdr:cNvSpPr>
      </xdr:nvSpPr>
      <xdr:spPr>
        <a:xfrm>
          <a:off x="4514850" y="19621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12</xdr:row>
      <xdr:rowOff>114300</xdr:rowOff>
    </xdr:from>
    <xdr:to>
      <xdr:col>6</xdr:col>
      <xdr:colOff>457200</xdr:colOff>
      <xdr:row>13</xdr:row>
      <xdr:rowOff>0</xdr:rowOff>
    </xdr:to>
    <xdr:sp>
      <xdr:nvSpPr>
        <xdr:cNvPr id="8" name="Oval 10"/>
        <xdr:cNvSpPr>
          <a:spLocks/>
        </xdr:cNvSpPr>
      </xdr:nvSpPr>
      <xdr:spPr>
        <a:xfrm>
          <a:off x="4514850" y="20955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11</xdr:row>
      <xdr:rowOff>0</xdr:rowOff>
    </xdr:from>
    <xdr:to>
      <xdr:col>6</xdr:col>
      <xdr:colOff>142875</xdr:colOff>
      <xdr:row>11</xdr:row>
      <xdr:rowOff>47625</xdr:rowOff>
    </xdr:to>
    <xdr:sp>
      <xdr:nvSpPr>
        <xdr:cNvPr id="9" name="Oval 11"/>
        <xdr:cNvSpPr>
          <a:spLocks/>
        </xdr:cNvSpPr>
      </xdr:nvSpPr>
      <xdr:spPr>
        <a:xfrm>
          <a:off x="4200525" y="1819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11</xdr:row>
      <xdr:rowOff>142875</xdr:rowOff>
    </xdr:from>
    <xdr:to>
      <xdr:col>6</xdr:col>
      <xdr:colOff>142875</xdr:colOff>
      <xdr:row>12</xdr:row>
      <xdr:rowOff>28575</xdr:rowOff>
    </xdr:to>
    <xdr:sp>
      <xdr:nvSpPr>
        <xdr:cNvPr id="10" name="Oval 12"/>
        <xdr:cNvSpPr>
          <a:spLocks/>
        </xdr:cNvSpPr>
      </xdr:nvSpPr>
      <xdr:spPr>
        <a:xfrm>
          <a:off x="4200525" y="19621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12</xdr:row>
      <xdr:rowOff>114300</xdr:rowOff>
    </xdr:from>
    <xdr:to>
      <xdr:col>6</xdr:col>
      <xdr:colOff>142875</xdr:colOff>
      <xdr:row>13</xdr:row>
      <xdr:rowOff>0</xdr:rowOff>
    </xdr:to>
    <xdr:sp>
      <xdr:nvSpPr>
        <xdr:cNvPr id="11" name="Oval 13"/>
        <xdr:cNvSpPr>
          <a:spLocks/>
        </xdr:cNvSpPr>
      </xdr:nvSpPr>
      <xdr:spPr>
        <a:xfrm>
          <a:off x="4200525" y="20955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9</xdr:row>
      <xdr:rowOff>142875</xdr:rowOff>
    </xdr:from>
    <xdr:to>
      <xdr:col>8</xdr:col>
      <xdr:colOff>76200</xdr:colOff>
      <xdr:row>11</xdr:row>
      <xdr:rowOff>142875</xdr:rowOff>
    </xdr:to>
    <xdr:sp>
      <xdr:nvSpPr>
        <xdr:cNvPr id="12" name="Line 14"/>
        <xdr:cNvSpPr>
          <a:spLocks/>
        </xdr:cNvSpPr>
      </xdr:nvSpPr>
      <xdr:spPr>
        <a:xfrm>
          <a:off x="5400675" y="16383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12</xdr:row>
      <xdr:rowOff>85725</xdr:rowOff>
    </xdr:from>
    <xdr:to>
      <xdr:col>8</xdr:col>
      <xdr:colOff>76200</xdr:colOff>
      <xdr:row>14</xdr:row>
      <xdr:rowOff>133350</xdr:rowOff>
    </xdr:to>
    <xdr:sp>
      <xdr:nvSpPr>
        <xdr:cNvPr id="13" name="Line 15"/>
        <xdr:cNvSpPr>
          <a:spLocks/>
        </xdr:cNvSpPr>
      </xdr:nvSpPr>
      <xdr:spPr>
        <a:xfrm>
          <a:off x="5400675" y="20669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11</xdr:row>
      <xdr:rowOff>142875</xdr:rowOff>
    </xdr:from>
    <xdr:to>
      <xdr:col>8</xdr:col>
      <xdr:colOff>76200</xdr:colOff>
      <xdr:row>11</xdr:row>
      <xdr:rowOff>142875</xdr:rowOff>
    </xdr:to>
    <xdr:sp>
      <xdr:nvSpPr>
        <xdr:cNvPr id="14" name="Line 16"/>
        <xdr:cNvSpPr>
          <a:spLocks/>
        </xdr:cNvSpPr>
      </xdr:nvSpPr>
      <xdr:spPr>
        <a:xfrm flipH="1">
          <a:off x="5343525" y="19621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12</xdr:row>
      <xdr:rowOff>85725</xdr:rowOff>
    </xdr:from>
    <xdr:to>
      <xdr:col>8</xdr:col>
      <xdr:colOff>133350</xdr:colOff>
      <xdr:row>12</xdr:row>
      <xdr:rowOff>85725</xdr:rowOff>
    </xdr:to>
    <xdr:sp>
      <xdr:nvSpPr>
        <xdr:cNvPr id="15" name="Line 17"/>
        <xdr:cNvSpPr>
          <a:spLocks/>
        </xdr:cNvSpPr>
      </xdr:nvSpPr>
      <xdr:spPr>
        <a:xfrm>
          <a:off x="5400675" y="20669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11</xdr:row>
      <xdr:rowOff>142875</xdr:rowOff>
    </xdr:from>
    <xdr:to>
      <xdr:col>8</xdr:col>
      <xdr:colOff>133350</xdr:colOff>
      <xdr:row>12</xdr:row>
      <xdr:rowOff>85725</xdr:rowOff>
    </xdr:to>
    <xdr:sp>
      <xdr:nvSpPr>
        <xdr:cNvPr id="16" name="Line 18"/>
        <xdr:cNvSpPr>
          <a:spLocks/>
        </xdr:cNvSpPr>
      </xdr:nvSpPr>
      <xdr:spPr>
        <a:xfrm>
          <a:off x="5343525" y="1962150"/>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114300</xdr:rowOff>
    </xdr:from>
    <xdr:to>
      <xdr:col>7</xdr:col>
      <xdr:colOff>190500</xdr:colOff>
      <xdr:row>13</xdr:row>
      <xdr:rowOff>57150</xdr:rowOff>
    </xdr:to>
    <xdr:sp>
      <xdr:nvSpPr>
        <xdr:cNvPr id="17" name="Rectangle 20"/>
        <xdr:cNvSpPr>
          <a:spLocks/>
        </xdr:cNvSpPr>
      </xdr:nvSpPr>
      <xdr:spPr>
        <a:xfrm>
          <a:off x="4867275" y="17716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10</xdr:row>
      <xdr:rowOff>76200</xdr:rowOff>
    </xdr:from>
    <xdr:to>
      <xdr:col>7</xdr:col>
      <xdr:colOff>190500</xdr:colOff>
      <xdr:row>13</xdr:row>
      <xdr:rowOff>152400</xdr:rowOff>
    </xdr:to>
    <xdr:sp>
      <xdr:nvSpPr>
        <xdr:cNvPr id="18" name="Line 23"/>
        <xdr:cNvSpPr>
          <a:spLocks/>
        </xdr:cNvSpPr>
      </xdr:nvSpPr>
      <xdr:spPr>
        <a:xfrm>
          <a:off x="4905375" y="17335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11</xdr:row>
      <xdr:rowOff>19050</xdr:rowOff>
    </xdr:from>
    <xdr:to>
      <xdr:col>7</xdr:col>
      <xdr:colOff>323850</xdr:colOff>
      <xdr:row>11</xdr:row>
      <xdr:rowOff>19050</xdr:rowOff>
    </xdr:to>
    <xdr:sp>
      <xdr:nvSpPr>
        <xdr:cNvPr id="19" name="Line 24"/>
        <xdr:cNvSpPr>
          <a:spLocks/>
        </xdr:cNvSpPr>
      </xdr:nvSpPr>
      <xdr:spPr>
        <a:xfrm>
          <a:off x="4210050" y="183832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12</xdr:row>
      <xdr:rowOff>0</xdr:rowOff>
    </xdr:from>
    <xdr:to>
      <xdr:col>7</xdr:col>
      <xdr:colOff>323850</xdr:colOff>
      <xdr:row>12</xdr:row>
      <xdr:rowOff>0</xdr:rowOff>
    </xdr:to>
    <xdr:sp>
      <xdr:nvSpPr>
        <xdr:cNvPr id="20" name="Line 25"/>
        <xdr:cNvSpPr>
          <a:spLocks/>
        </xdr:cNvSpPr>
      </xdr:nvSpPr>
      <xdr:spPr>
        <a:xfrm>
          <a:off x="4210050" y="198120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12</xdr:row>
      <xdr:rowOff>142875</xdr:rowOff>
    </xdr:from>
    <xdr:to>
      <xdr:col>7</xdr:col>
      <xdr:colOff>323850</xdr:colOff>
      <xdr:row>12</xdr:row>
      <xdr:rowOff>142875</xdr:rowOff>
    </xdr:to>
    <xdr:sp>
      <xdr:nvSpPr>
        <xdr:cNvPr id="21" name="Line 26"/>
        <xdr:cNvSpPr>
          <a:spLocks/>
        </xdr:cNvSpPr>
      </xdr:nvSpPr>
      <xdr:spPr>
        <a:xfrm>
          <a:off x="4210050" y="212407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0</xdr:rowOff>
    </xdr:from>
    <xdr:to>
      <xdr:col>7</xdr:col>
      <xdr:colOff>190500</xdr:colOff>
      <xdr:row>11</xdr:row>
      <xdr:rowOff>47625</xdr:rowOff>
    </xdr:to>
    <xdr:sp>
      <xdr:nvSpPr>
        <xdr:cNvPr id="22" name="Rectangle 27"/>
        <xdr:cNvSpPr>
          <a:spLocks/>
        </xdr:cNvSpPr>
      </xdr:nvSpPr>
      <xdr:spPr>
        <a:xfrm>
          <a:off x="4867275" y="18192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142875</xdr:rowOff>
    </xdr:from>
    <xdr:to>
      <xdr:col>7</xdr:col>
      <xdr:colOff>190500</xdr:colOff>
      <xdr:row>12</xdr:row>
      <xdr:rowOff>28575</xdr:rowOff>
    </xdr:to>
    <xdr:sp>
      <xdr:nvSpPr>
        <xdr:cNvPr id="23" name="Rectangle 28"/>
        <xdr:cNvSpPr>
          <a:spLocks/>
        </xdr:cNvSpPr>
      </xdr:nvSpPr>
      <xdr:spPr>
        <a:xfrm>
          <a:off x="4867275" y="19621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12</xdr:row>
      <xdr:rowOff>114300</xdr:rowOff>
    </xdr:from>
    <xdr:to>
      <xdr:col>7</xdr:col>
      <xdr:colOff>190500</xdr:colOff>
      <xdr:row>13</xdr:row>
      <xdr:rowOff>0</xdr:rowOff>
    </xdr:to>
    <xdr:sp>
      <xdr:nvSpPr>
        <xdr:cNvPr id="24" name="Rectangle 29"/>
        <xdr:cNvSpPr>
          <a:spLocks/>
        </xdr:cNvSpPr>
      </xdr:nvSpPr>
      <xdr:spPr>
        <a:xfrm>
          <a:off x="4867275" y="20955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76200</xdr:rowOff>
    </xdr:from>
    <xdr:to>
      <xdr:col>6</xdr:col>
      <xdr:colOff>295275</xdr:colOff>
      <xdr:row>10</xdr:row>
      <xdr:rowOff>76200</xdr:rowOff>
    </xdr:to>
    <xdr:sp>
      <xdr:nvSpPr>
        <xdr:cNvPr id="25" name="Line 30"/>
        <xdr:cNvSpPr>
          <a:spLocks/>
        </xdr:cNvSpPr>
      </xdr:nvSpPr>
      <xdr:spPr>
        <a:xfrm>
          <a:off x="4362450" y="17335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152400</xdr:rowOff>
    </xdr:from>
    <xdr:to>
      <xdr:col>6</xdr:col>
      <xdr:colOff>295275</xdr:colOff>
      <xdr:row>13</xdr:row>
      <xdr:rowOff>152400</xdr:rowOff>
    </xdr:to>
    <xdr:sp>
      <xdr:nvSpPr>
        <xdr:cNvPr id="26" name="Line 31"/>
        <xdr:cNvSpPr>
          <a:spLocks/>
        </xdr:cNvSpPr>
      </xdr:nvSpPr>
      <xdr:spPr>
        <a:xfrm>
          <a:off x="4362450" y="22955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8</xdr:row>
      <xdr:rowOff>142875</xdr:rowOff>
    </xdr:from>
    <xdr:to>
      <xdr:col>6</xdr:col>
      <xdr:colOff>114300</xdr:colOff>
      <xdr:row>10</xdr:row>
      <xdr:rowOff>142875</xdr:rowOff>
    </xdr:to>
    <xdr:sp>
      <xdr:nvSpPr>
        <xdr:cNvPr id="27" name="Line 32"/>
        <xdr:cNvSpPr>
          <a:spLocks/>
        </xdr:cNvSpPr>
      </xdr:nvSpPr>
      <xdr:spPr>
        <a:xfrm flipV="1">
          <a:off x="4219575" y="14763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xdr:row>
      <xdr:rowOff>142875</xdr:rowOff>
    </xdr:from>
    <xdr:to>
      <xdr:col>6</xdr:col>
      <xdr:colOff>438150</xdr:colOff>
      <xdr:row>10</xdr:row>
      <xdr:rowOff>142875</xdr:rowOff>
    </xdr:to>
    <xdr:sp>
      <xdr:nvSpPr>
        <xdr:cNvPr id="28" name="Line 33"/>
        <xdr:cNvSpPr>
          <a:spLocks/>
        </xdr:cNvSpPr>
      </xdr:nvSpPr>
      <xdr:spPr>
        <a:xfrm flipV="1">
          <a:off x="4543425" y="14763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9</xdr:row>
      <xdr:rowOff>19050</xdr:rowOff>
    </xdr:from>
    <xdr:to>
      <xdr:col>6</xdr:col>
      <xdr:colOff>438150</xdr:colOff>
      <xdr:row>9</xdr:row>
      <xdr:rowOff>19050</xdr:rowOff>
    </xdr:to>
    <xdr:sp>
      <xdr:nvSpPr>
        <xdr:cNvPr id="29" name="Line 34"/>
        <xdr:cNvSpPr>
          <a:spLocks/>
        </xdr:cNvSpPr>
      </xdr:nvSpPr>
      <xdr:spPr>
        <a:xfrm>
          <a:off x="4219575" y="1514475"/>
          <a:ext cx="323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11</xdr:row>
      <xdr:rowOff>19050</xdr:rowOff>
    </xdr:from>
    <xdr:to>
      <xdr:col>6</xdr:col>
      <xdr:colOff>76200</xdr:colOff>
      <xdr:row>11</xdr:row>
      <xdr:rowOff>19050</xdr:rowOff>
    </xdr:to>
    <xdr:sp>
      <xdr:nvSpPr>
        <xdr:cNvPr id="30" name="Line 35"/>
        <xdr:cNvSpPr>
          <a:spLocks/>
        </xdr:cNvSpPr>
      </xdr:nvSpPr>
      <xdr:spPr>
        <a:xfrm flipH="1">
          <a:off x="3971925" y="18383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12</xdr:row>
      <xdr:rowOff>142875</xdr:rowOff>
    </xdr:from>
    <xdr:to>
      <xdr:col>6</xdr:col>
      <xdr:colOff>76200</xdr:colOff>
      <xdr:row>12</xdr:row>
      <xdr:rowOff>142875</xdr:rowOff>
    </xdr:to>
    <xdr:sp>
      <xdr:nvSpPr>
        <xdr:cNvPr id="31" name="Line 36"/>
        <xdr:cNvSpPr>
          <a:spLocks/>
        </xdr:cNvSpPr>
      </xdr:nvSpPr>
      <xdr:spPr>
        <a:xfrm flipH="1">
          <a:off x="3971925" y="21240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11</xdr:row>
      <xdr:rowOff>19050</xdr:rowOff>
    </xdr:from>
    <xdr:to>
      <xdr:col>5</xdr:col>
      <xdr:colOff>523875</xdr:colOff>
      <xdr:row>12</xdr:row>
      <xdr:rowOff>142875</xdr:rowOff>
    </xdr:to>
    <xdr:sp>
      <xdr:nvSpPr>
        <xdr:cNvPr id="32" name="Line 37"/>
        <xdr:cNvSpPr>
          <a:spLocks/>
        </xdr:cNvSpPr>
      </xdr:nvSpPr>
      <xdr:spPr>
        <a:xfrm>
          <a:off x="4019550" y="1838325"/>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13</xdr:row>
      <xdr:rowOff>85725</xdr:rowOff>
    </xdr:from>
    <xdr:to>
      <xdr:col>6</xdr:col>
      <xdr:colOff>47625</xdr:colOff>
      <xdr:row>16</xdr:row>
      <xdr:rowOff>66675</xdr:rowOff>
    </xdr:to>
    <xdr:sp>
      <xdr:nvSpPr>
        <xdr:cNvPr id="33" name="Line 38"/>
        <xdr:cNvSpPr>
          <a:spLocks/>
        </xdr:cNvSpPr>
      </xdr:nvSpPr>
      <xdr:spPr>
        <a:xfrm>
          <a:off x="4152900" y="22288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16</xdr:row>
      <xdr:rowOff>0</xdr:rowOff>
    </xdr:from>
    <xdr:to>
      <xdr:col>6</xdr:col>
      <xdr:colOff>514350</xdr:colOff>
      <xdr:row>16</xdr:row>
      <xdr:rowOff>0</xdr:rowOff>
    </xdr:to>
    <xdr:sp>
      <xdr:nvSpPr>
        <xdr:cNvPr id="34" name="Line 40"/>
        <xdr:cNvSpPr>
          <a:spLocks/>
        </xdr:cNvSpPr>
      </xdr:nvSpPr>
      <xdr:spPr>
        <a:xfrm>
          <a:off x="4152900" y="262890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xdr:row>
      <xdr:rowOff>19050</xdr:rowOff>
    </xdr:from>
    <xdr:to>
      <xdr:col>6</xdr:col>
      <xdr:colOff>571500</xdr:colOff>
      <xdr:row>12</xdr:row>
      <xdr:rowOff>0</xdr:rowOff>
    </xdr:to>
    <xdr:sp>
      <xdr:nvSpPr>
        <xdr:cNvPr id="35" name="Line 42"/>
        <xdr:cNvSpPr>
          <a:spLocks/>
        </xdr:cNvSpPr>
      </xdr:nvSpPr>
      <xdr:spPr>
        <a:xfrm>
          <a:off x="4676775" y="183832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12</xdr:row>
      <xdr:rowOff>0</xdr:rowOff>
    </xdr:from>
    <xdr:to>
      <xdr:col>6</xdr:col>
      <xdr:colOff>571500</xdr:colOff>
      <xdr:row>12</xdr:row>
      <xdr:rowOff>142875</xdr:rowOff>
    </xdr:to>
    <xdr:sp>
      <xdr:nvSpPr>
        <xdr:cNvPr id="36" name="Line 43"/>
        <xdr:cNvSpPr>
          <a:spLocks/>
        </xdr:cNvSpPr>
      </xdr:nvSpPr>
      <xdr:spPr>
        <a:xfrm>
          <a:off x="4676775" y="198120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28575</xdr:rowOff>
    </xdr:from>
    <xdr:to>
      <xdr:col>7</xdr:col>
      <xdr:colOff>152400</xdr:colOff>
      <xdr:row>10</xdr:row>
      <xdr:rowOff>85725</xdr:rowOff>
    </xdr:to>
    <xdr:sp>
      <xdr:nvSpPr>
        <xdr:cNvPr id="37" name="Line 44"/>
        <xdr:cNvSpPr>
          <a:spLocks/>
        </xdr:cNvSpPr>
      </xdr:nvSpPr>
      <xdr:spPr>
        <a:xfrm flipV="1">
          <a:off x="4867275" y="12001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8</xdr:row>
      <xdr:rowOff>142875</xdr:rowOff>
    </xdr:from>
    <xdr:to>
      <xdr:col>7</xdr:col>
      <xdr:colOff>190500</xdr:colOff>
      <xdr:row>9</xdr:row>
      <xdr:rowOff>142875</xdr:rowOff>
    </xdr:to>
    <xdr:sp>
      <xdr:nvSpPr>
        <xdr:cNvPr id="38" name="Line 45"/>
        <xdr:cNvSpPr>
          <a:spLocks/>
        </xdr:cNvSpPr>
      </xdr:nvSpPr>
      <xdr:spPr>
        <a:xfrm flipV="1">
          <a:off x="4905375" y="14763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9</xdr:row>
      <xdr:rowOff>19050</xdr:rowOff>
    </xdr:from>
    <xdr:to>
      <xdr:col>7</xdr:col>
      <xdr:colOff>152400</xdr:colOff>
      <xdr:row>9</xdr:row>
      <xdr:rowOff>19050</xdr:rowOff>
    </xdr:to>
    <xdr:sp>
      <xdr:nvSpPr>
        <xdr:cNvPr id="39" name="Line 46"/>
        <xdr:cNvSpPr>
          <a:spLocks/>
        </xdr:cNvSpPr>
      </xdr:nvSpPr>
      <xdr:spPr>
        <a:xfrm>
          <a:off x="4733925" y="15144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9</xdr:row>
      <xdr:rowOff>19050</xdr:rowOff>
    </xdr:from>
    <xdr:to>
      <xdr:col>7</xdr:col>
      <xdr:colOff>323850</xdr:colOff>
      <xdr:row>9</xdr:row>
      <xdr:rowOff>19050</xdr:rowOff>
    </xdr:to>
    <xdr:sp>
      <xdr:nvSpPr>
        <xdr:cNvPr id="40" name="Line 47"/>
        <xdr:cNvSpPr>
          <a:spLocks/>
        </xdr:cNvSpPr>
      </xdr:nvSpPr>
      <xdr:spPr>
        <a:xfrm flipH="1">
          <a:off x="4905375" y="15144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9</xdr:row>
      <xdr:rowOff>19050</xdr:rowOff>
    </xdr:from>
    <xdr:to>
      <xdr:col>7</xdr:col>
      <xdr:colOff>190500</xdr:colOff>
      <xdr:row>9</xdr:row>
      <xdr:rowOff>19050</xdr:rowOff>
    </xdr:to>
    <xdr:sp>
      <xdr:nvSpPr>
        <xdr:cNvPr id="41" name="Line 48"/>
        <xdr:cNvSpPr>
          <a:spLocks/>
        </xdr:cNvSpPr>
      </xdr:nvSpPr>
      <xdr:spPr>
        <a:xfrm>
          <a:off x="4867275" y="151447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21</xdr:row>
      <xdr:rowOff>38100</xdr:rowOff>
    </xdr:from>
    <xdr:to>
      <xdr:col>6</xdr:col>
      <xdr:colOff>533400</xdr:colOff>
      <xdr:row>21</xdr:row>
      <xdr:rowOff>38100</xdr:rowOff>
    </xdr:to>
    <xdr:sp>
      <xdr:nvSpPr>
        <xdr:cNvPr id="42" name="Line 49"/>
        <xdr:cNvSpPr>
          <a:spLocks/>
        </xdr:cNvSpPr>
      </xdr:nvSpPr>
      <xdr:spPr>
        <a:xfrm flipH="1">
          <a:off x="4400550" y="34766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21</xdr:row>
      <xdr:rowOff>38100</xdr:rowOff>
    </xdr:from>
    <xdr:to>
      <xdr:col>6</xdr:col>
      <xdr:colOff>295275</xdr:colOff>
      <xdr:row>21</xdr:row>
      <xdr:rowOff>38100</xdr:rowOff>
    </xdr:to>
    <xdr:sp>
      <xdr:nvSpPr>
        <xdr:cNvPr id="43" name="Line 50"/>
        <xdr:cNvSpPr>
          <a:spLocks/>
        </xdr:cNvSpPr>
      </xdr:nvSpPr>
      <xdr:spPr>
        <a:xfrm>
          <a:off x="4362450" y="34766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10</xdr:row>
      <xdr:rowOff>19050</xdr:rowOff>
    </xdr:from>
    <xdr:to>
      <xdr:col>8</xdr:col>
      <xdr:colOff>76200</xdr:colOff>
      <xdr:row>10</xdr:row>
      <xdr:rowOff>76200</xdr:rowOff>
    </xdr:to>
    <xdr:sp>
      <xdr:nvSpPr>
        <xdr:cNvPr id="44" name="Rectangle 51"/>
        <xdr:cNvSpPr>
          <a:spLocks/>
        </xdr:cNvSpPr>
      </xdr:nvSpPr>
      <xdr:spPr>
        <a:xfrm>
          <a:off x="4905375" y="167640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13</xdr:row>
      <xdr:rowOff>152400</xdr:rowOff>
    </xdr:from>
    <xdr:to>
      <xdr:col>8</xdr:col>
      <xdr:colOff>76200</xdr:colOff>
      <xdr:row>14</xdr:row>
      <xdr:rowOff>47625</xdr:rowOff>
    </xdr:to>
    <xdr:sp>
      <xdr:nvSpPr>
        <xdr:cNvPr id="45" name="Rectangle 52"/>
        <xdr:cNvSpPr>
          <a:spLocks/>
        </xdr:cNvSpPr>
      </xdr:nvSpPr>
      <xdr:spPr>
        <a:xfrm>
          <a:off x="4905375" y="22955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10</xdr:row>
      <xdr:rowOff>19050</xdr:rowOff>
    </xdr:from>
    <xdr:to>
      <xdr:col>8</xdr:col>
      <xdr:colOff>247650</xdr:colOff>
      <xdr:row>10</xdr:row>
      <xdr:rowOff>19050</xdr:rowOff>
    </xdr:to>
    <xdr:sp>
      <xdr:nvSpPr>
        <xdr:cNvPr id="46" name="Line 53"/>
        <xdr:cNvSpPr>
          <a:spLocks/>
        </xdr:cNvSpPr>
      </xdr:nvSpPr>
      <xdr:spPr>
        <a:xfrm>
          <a:off x="5448300" y="16764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11</xdr:row>
      <xdr:rowOff>76200</xdr:rowOff>
    </xdr:from>
    <xdr:to>
      <xdr:col>7</xdr:col>
      <xdr:colOff>447675</xdr:colOff>
      <xdr:row>13</xdr:row>
      <xdr:rowOff>85725</xdr:rowOff>
    </xdr:to>
    <xdr:sp>
      <xdr:nvSpPr>
        <xdr:cNvPr id="47" name="Line 54"/>
        <xdr:cNvSpPr>
          <a:spLocks/>
        </xdr:cNvSpPr>
      </xdr:nvSpPr>
      <xdr:spPr>
        <a:xfrm>
          <a:off x="5162550" y="18954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19050</xdr:rowOff>
    </xdr:from>
    <xdr:to>
      <xdr:col>8</xdr:col>
      <xdr:colOff>257175</xdr:colOff>
      <xdr:row>11</xdr:row>
      <xdr:rowOff>19050</xdr:rowOff>
    </xdr:to>
    <xdr:sp>
      <xdr:nvSpPr>
        <xdr:cNvPr id="48" name="Line 55"/>
        <xdr:cNvSpPr>
          <a:spLocks/>
        </xdr:cNvSpPr>
      </xdr:nvSpPr>
      <xdr:spPr>
        <a:xfrm>
          <a:off x="5114925" y="18383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10</xdr:row>
      <xdr:rowOff>19050</xdr:rowOff>
    </xdr:from>
    <xdr:to>
      <xdr:col>8</xdr:col>
      <xdr:colOff>200025</xdr:colOff>
      <xdr:row>11</xdr:row>
      <xdr:rowOff>19050</xdr:rowOff>
    </xdr:to>
    <xdr:sp>
      <xdr:nvSpPr>
        <xdr:cNvPr id="49" name="Line 56"/>
        <xdr:cNvSpPr>
          <a:spLocks/>
        </xdr:cNvSpPr>
      </xdr:nvSpPr>
      <xdr:spPr>
        <a:xfrm>
          <a:off x="5524500" y="1676400"/>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114300</xdr:rowOff>
    </xdr:from>
    <xdr:to>
      <xdr:col>7</xdr:col>
      <xdr:colOff>200025</xdr:colOff>
      <xdr:row>13</xdr:row>
      <xdr:rowOff>66675</xdr:rowOff>
    </xdr:to>
    <xdr:sp>
      <xdr:nvSpPr>
        <xdr:cNvPr id="50" name="Line 59"/>
        <xdr:cNvSpPr>
          <a:spLocks/>
        </xdr:cNvSpPr>
      </xdr:nvSpPr>
      <xdr:spPr>
        <a:xfrm>
          <a:off x="4914900" y="1771650"/>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9</xdr:row>
      <xdr:rowOff>28575</xdr:rowOff>
    </xdr:from>
    <xdr:to>
      <xdr:col>8</xdr:col>
      <xdr:colOff>0</xdr:colOff>
      <xdr:row>11</xdr:row>
      <xdr:rowOff>114300</xdr:rowOff>
    </xdr:to>
    <xdr:sp>
      <xdr:nvSpPr>
        <xdr:cNvPr id="51" name="Line 68"/>
        <xdr:cNvSpPr>
          <a:spLocks/>
        </xdr:cNvSpPr>
      </xdr:nvSpPr>
      <xdr:spPr>
        <a:xfrm flipH="1">
          <a:off x="4933950" y="1524000"/>
          <a:ext cx="3905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28575</xdr:rowOff>
    </xdr:from>
    <xdr:to>
      <xdr:col>8</xdr:col>
      <xdr:colOff>428625</xdr:colOff>
      <xdr:row>9</xdr:row>
      <xdr:rowOff>28575</xdr:rowOff>
    </xdr:to>
    <xdr:sp>
      <xdr:nvSpPr>
        <xdr:cNvPr id="52" name="Line 69"/>
        <xdr:cNvSpPr>
          <a:spLocks/>
        </xdr:cNvSpPr>
      </xdr:nvSpPr>
      <xdr:spPr>
        <a:xfrm>
          <a:off x="5324475" y="1524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9</xdr:row>
      <xdr:rowOff>28575</xdr:rowOff>
    </xdr:from>
    <xdr:to>
      <xdr:col>8</xdr:col>
      <xdr:colOff>247650</xdr:colOff>
      <xdr:row>9</xdr:row>
      <xdr:rowOff>133350</xdr:rowOff>
    </xdr:to>
    <xdr:sp>
      <xdr:nvSpPr>
        <xdr:cNvPr id="53" name="Line 70"/>
        <xdr:cNvSpPr>
          <a:spLocks/>
        </xdr:cNvSpPr>
      </xdr:nvSpPr>
      <xdr:spPr>
        <a:xfrm>
          <a:off x="5572125" y="15240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9</xdr:row>
      <xdr:rowOff>28575</xdr:rowOff>
    </xdr:from>
    <xdr:to>
      <xdr:col>8</xdr:col>
      <xdr:colOff>352425</xdr:colOff>
      <xdr:row>9</xdr:row>
      <xdr:rowOff>133350</xdr:rowOff>
    </xdr:to>
    <xdr:sp>
      <xdr:nvSpPr>
        <xdr:cNvPr id="54" name="Line 71"/>
        <xdr:cNvSpPr>
          <a:spLocks/>
        </xdr:cNvSpPr>
      </xdr:nvSpPr>
      <xdr:spPr>
        <a:xfrm flipV="1">
          <a:off x="5572125" y="152400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12</xdr:row>
      <xdr:rowOff>0</xdr:rowOff>
    </xdr:from>
    <xdr:to>
      <xdr:col>8</xdr:col>
      <xdr:colOff>371475</xdr:colOff>
      <xdr:row>12</xdr:row>
      <xdr:rowOff>0</xdr:rowOff>
    </xdr:to>
    <xdr:sp>
      <xdr:nvSpPr>
        <xdr:cNvPr id="55" name="Line 72"/>
        <xdr:cNvSpPr>
          <a:spLocks/>
        </xdr:cNvSpPr>
      </xdr:nvSpPr>
      <xdr:spPr>
        <a:xfrm>
          <a:off x="5448300" y="1981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22</xdr:row>
      <xdr:rowOff>19050</xdr:rowOff>
    </xdr:from>
    <xdr:to>
      <xdr:col>6</xdr:col>
      <xdr:colOff>571500</xdr:colOff>
      <xdr:row>22</xdr:row>
      <xdr:rowOff>76200</xdr:rowOff>
    </xdr:to>
    <xdr:sp>
      <xdr:nvSpPr>
        <xdr:cNvPr id="56" name="Rectangle 73"/>
        <xdr:cNvSpPr>
          <a:spLocks/>
        </xdr:cNvSpPr>
      </xdr:nvSpPr>
      <xdr:spPr>
        <a:xfrm>
          <a:off x="4076700" y="36195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25</xdr:row>
      <xdr:rowOff>152400</xdr:rowOff>
    </xdr:from>
    <xdr:to>
      <xdr:col>6</xdr:col>
      <xdr:colOff>571500</xdr:colOff>
      <xdr:row>26</xdr:row>
      <xdr:rowOff>47625</xdr:rowOff>
    </xdr:to>
    <xdr:sp>
      <xdr:nvSpPr>
        <xdr:cNvPr id="57" name="Rectangle 74"/>
        <xdr:cNvSpPr>
          <a:spLocks/>
        </xdr:cNvSpPr>
      </xdr:nvSpPr>
      <xdr:spPr>
        <a:xfrm>
          <a:off x="4076700" y="42386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22</xdr:row>
      <xdr:rowOff>76200</xdr:rowOff>
    </xdr:from>
    <xdr:to>
      <xdr:col>6</xdr:col>
      <xdr:colOff>295275</xdr:colOff>
      <xdr:row>25</xdr:row>
      <xdr:rowOff>152400</xdr:rowOff>
    </xdr:to>
    <xdr:sp>
      <xdr:nvSpPr>
        <xdr:cNvPr id="58" name="Rectangle 75"/>
        <xdr:cNvSpPr>
          <a:spLocks/>
        </xdr:cNvSpPr>
      </xdr:nvSpPr>
      <xdr:spPr>
        <a:xfrm>
          <a:off x="4362450" y="3676650"/>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22</xdr:row>
      <xdr:rowOff>114300</xdr:rowOff>
    </xdr:from>
    <xdr:to>
      <xdr:col>6</xdr:col>
      <xdr:colOff>257175</xdr:colOff>
      <xdr:row>25</xdr:row>
      <xdr:rowOff>57150</xdr:rowOff>
    </xdr:to>
    <xdr:sp>
      <xdr:nvSpPr>
        <xdr:cNvPr id="59" name="Rectangle 76"/>
        <xdr:cNvSpPr>
          <a:spLocks/>
        </xdr:cNvSpPr>
      </xdr:nvSpPr>
      <xdr:spPr>
        <a:xfrm>
          <a:off x="4152900" y="37147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22</xdr:row>
      <xdr:rowOff>114300</xdr:rowOff>
    </xdr:from>
    <xdr:to>
      <xdr:col>6</xdr:col>
      <xdr:colOff>504825</xdr:colOff>
      <xdr:row>25</xdr:row>
      <xdr:rowOff>57150</xdr:rowOff>
    </xdr:to>
    <xdr:sp>
      <xdr:nvSpPr>
        <xdr:cNvPr id="60" name="Rectangle 78"/>
        <xdr:cNvSpPr>
          <a:spLocks/>
        </xdr:cNvSpPr>
      </xdr:nvSpPr>
      <xdr:spPr>
        <a:xfrm>
          <a:off x="4400550" y="37147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23</xdr:row>
      <xdr:rowOff>0</xdr:rowOff>
    </xdr:from>
    <xdr:to>
      <xdr:col>6</xdr:col>
      <xdr:colOff>457200</xdr:colOff>
      <xdr:row>23</xdr:row>
      <xdr:rowOff>47625</xdr:rowOff>
    </xdr:to>
    <xdr:sp>
      <xdr:nvSpPr>
        <xdr:cNvPr id="61" name="Oval 80"/>
        <xdr:cNvSpPr>
          <a:spLocks/>
        </xdr:cNvSpPr>
      </xdr:nvSpPr>
      <xdr:spPr>
        <a:xfrm>
          <a:off x="4514850" y="3762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23</xdr:row>
      <xdr:rowOff>142875</xdr:rowOff>
    </xdr:from>
    <xdr:to>
      <xdr:col>6</xdr:col>
      <xdr:colOff>457200</xdr:colOff>
      <xdr:row>24</xdr:row>
      <xdr:rowOff>28575</xdr:rowOff>
    </xdr:to>
    <xdr:sp>
      <xdr:nvSpPr>
        <xdr:cNvPr id="62" name="Oval 81"/>
        <xdr:cNvSpPr>
          <a:spLocks/>
        </xdr:cNvSpPr>
      </xdr:nvSpPr>
      <xdr:spPr>
        <a:xfrm>
          <a:off x="4514850" y="39052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24</xdr:row>
      <xdr:rowOff>114300</xdr:rowOff>
    </xdr:from>
    <xdr:to>
      <xdr:col>6</xdr:col>
      <xdr:colOff>457200</xdr:colOff>
      <xdr:row>25</xdr:row>
      <xdr:rowOff>0</xdr:rowOff>
    </xdr:to>
    <xdr:sp>
      <xdr:nvSpPr>
        <xdr:cNvPr id="63" name="Oval 82"/>
        <xdr:cNvSpPr>
          <a:spLocks/>
        </xdr:cNvSpPr>
      </xdr:nvSpPr>
      <xdr:spPr>
        <a:xfrm>
          <a:off x="4514850" y="40386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23</xdr:row>
      <xdr:rowOff>0</xdr:rowOff>
    </xdr:from>
    <xdr:to>
      <xdr:col>6</xdr:col>
      <xdr:colOff>142875</xdr:colOff>
      <xdr:row>23</xdr:row>
      <xdr:rowOff>47625</xdr:rowOff>
    </xdr:to>
    <xdr:sp>
      <xdr:nvSpPr>
        <xdr:cNvPr id="64" name="Oval 83"/>
        <xdr:cNvSpPr>
          <a:spLocks/>
        </xdr:cNvSpPr>
      </xdr:nvSpPr>
      <xdr:spPr>
        <a:xfrm>
          <a:off x="4200525" y="3762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23</xdr:row>
      <xdr:rowOff>142875</xdr:rowOff>
    </xdr:from>
    <xdr:to>
      <xdr:col>6</xdr:col>
      <xdr:colOff>142875</xdr:colOff>
      <xdr:row>24</xdr:row>
      <xdr:rowOff>28575</xdr:rowOff>
    </xdr:to>
    <xdr:sp>
      <xdr:nvSpPr>
        <xdr:cNvPr id="65" name="Oval 84"/>
        <xdr:cNvSpPr>
          <a:spLocks/>
        </xdr:cNvSpPr>
      </xdr:nvSpPr>
      <xdr:spPr>
        <a:xfrm>
          <a:off x="4200525" y="39052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24</xdr:row>
      <xdr:rowOff>114300</xdr:rowOff>
    </xdr:from>
    <xdr:to>
      <xdr:col>6</xdr:col>
      <xdr:colOff>142875</xdr:colOff>
      <xdr:row>25</xdr:row>
      <xdr:rowOff>0</xdr:rowOff>
    </xdr:to>
    <xdr:sp>
      <xdr:nvSpPr>
        <xdr:cNvPr id="66" name="Oval 85"/>
        <xdr:cNvSpPr>
          <a:spLocks/>
        </xdr:cNvSpPr>
      </xdr:nvSpPr>
      <xdr:spPr>
        <a:xfrm>
          <a:off x="4200525" y="40386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21</xdr:row>
      <xdr:rowOff>142875</xdr:rowOff>
    </xdr:from>
    <xdr:to>
      <xdr:col>8</xdr:col>
      <xdr:colOff>95250</xdr:colOff>
      <xdr:row>23</xdr:row>
      <xdr:rowOff>142875</xdr:rowOff>
    </xdr:to>
    <xdr:sp>
      <xdr:nvSpPr>
        <xdr:cNvPr id="67" name="Line 86"/>
        <xdr:cNvSpPr>
          <a:spLocks/>
        </xdr:cNvSpPr>
      </xdr:nvSpPr>
      <xdr:spPr>
        <a:xfrm>
          <a:off x="5419725" y="3581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24</xdr:row>
      <xdr:rowOff>85725</xdr:rowOff>
    </xdr:from>
    <xdr:to>
      <xdr:col>8</xdr:col>
      <xdr:colOff>95250</xdr:colOff>
      <xdr:row>26</xdr:row>
      <xdr:rowOff>133350</xdr:rowOff>
    </xdr:to>
    <xdr:sp>
      <xdr:nvSpPr>
        <xdr:cNvPr id="68" name="Line 87"/>
        <xdr:cNvSpPr>
          <a:spLocks/>
        </xdr:cNvSpPr>
      </xdr:nvSpPr>
      <xdr:spPr>
        <a:xfrm>
          <a:off x="5419725" y="40100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142875</xdr:rowOff>
    </xdr:from>
    <xdr:to>
      <xdr:col>8</xdr:col>
      <xdr:colOff>95250</xdr:colOff>
      <xdr:row>23</xdr:row>
      <xdr:rowOff>142875</xdr:rowOff>
    </xdr:to>
    <xdr:sp>
      <xdr:nvSpPr>
        <xdr:cNvPr id="69" name="Line 88"/>
        <xdr:cNvSpPr>
          <a:spLocks/>
        </xdr:cNvSpPr>
      </xdr:nvSpPr>
      <xdr:spPr>
        <a:xfrm flipH="1">
          <a:off x="5362575" y="39052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24</xdr:row>
      <xdr:rowOff>85725</xdr:rowOff>
    </xdr:from>
    <xdr:to>
      <xdr:col>8</xdr:col>
      <xdr:colOff>152400</xdr:colOff>
      <xdr:row>24</xdr:row>
      <xdr:rowOff>85725</xdr:rowOff>
    </xdr:to>
    <xdr:sp>
      <xdr:nvSpPr>
        <xdr:cNvPr id="70" name="Line 89"/>
        <xdr:cNvSpPr>
          <a:spLocks/>
        </xdr:cNvSpPr>
      </xdr:nvSpPr>
      <xdr:spPr>
        <a:xfrm>
          <a:off x="5419725" y="40100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142875</xdr:rowOff>
    </xdr:from>
    <xdr:to>
      <xdr:col>8</xdr:col>
      <xdr:colOff>152400</xdr:colOff>
      <xdr:row>24</xdr:row>
      <xdr:rowOff>85725</xdr:rowOff>
    </xdr:to>
    <xdr:sp>
      <xdr:nvSpPr>
        <xdr:cNvPr id="71" name="Line 90"/>
        <xdr:cNvSpPr>
          <a:spLocks/>
        </xdr:cNvSpPr>
      </xdr:nvSpPr>
      <xdr:spPr>
        <a:xfrm>
          <a:off x="5362575" y="3905250"/>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22</xdr:row>
      <xdr:rowOff>114300</xdr:rowOff>
    </xdr:from>
    <xdr:to>
      <xdr:col>7</xdr:col>
      <xdr:colOff>209550</xdr:colOff>
      <xdr:row>25</xdr:row>
      <xdr:rowOff>57150</xdr:rowOff>
    </xdr:to>
    <xdr:sp>
      <xdr:nvSpPr>
        <xdr:cNvPr id="72" name="Rectangle 92"/>
        <xdr:cNvSpPr>
          <a:spLocks/>
        </xdr:cNvSpPr>
      </xdr:nvSpPr>
      <xdr:spPr>
        <a:xfrm>
          <a:off x="4886325" y="37147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22</xdr:row>
      <xdr:rowOff>104775</xdr:rowOff>
    </xdr:from>
    <xdr:to>
      <xdr:col>7</xdr:col>
      <xdr:colOff>209550</xdr:colOff>
      <xdr:row>25</xdr:row>
      <xdr:rowOff>123825</xdr:rowOff>
    </xdr:to>
    <xdr:sp>
      <xdr:nvSpPr>
        <xdr:cNvPr id="73" name="Line 95"/>
        <xdr:cNvSpPr>
          <a:spLocks/>
        </xdr:cNvSpPr>
      </xdr:nvSpPr>
      <xdr:spPr>
        <a:xfrm>
          <a:off x="4924425" y="37052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23</xdr:row>
      <xdr:rowOff>19050</xdr:rowOff>
    </xdr:from>
    <xdr:to>
      <xdr:col>7</xdr:col>
      <xdr:colOff>323850</xdr:colOff>
      <xdr:row>23</xdr:row>
      <xdr:rowOff>19050</xdr:rowOff>
    </xdr:to>
    <xdr:sp>
      <xdr:nvSpPr>
        <xdr:cNvPr id="74" name="Line 96"/>
        <xdr:cNvSpPr>
          <a:spLocks/>
        </xdr:cNvSpPr>
      </xdr:nvSpPr>
      <xdr:spPr>
        <a:xfrm>
          <a:off x="4210050" y="378142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24</xdr:row>
      <xdr:rowOff>0</xdr:rowOff>
    </xdr:from>
    <xdr:to>
      <xdr:col>7</xdr:col>
      <xdr:colOff>323850</xdr:colOff>
      <xdr:row>24</xdr:row>
      <xdr:rowOff>0</xdr:rowOff>
    </xdr:to>
    <xdr:sp>
      <xdr:nvSpPr>
        <xdr:cNvPr id="75" name="Line 97"/>
        <xdr:cNvSpPr>
          <a:spLocks/>
        </xdr:cNvSpPr>
      </xdr:nvSpPr>
      <xdr:spPr>
        <a:xfrm>
          <a:off x="4210050" y="3924300"/>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24</xdr:row>
      <xdr:rowOff>142875</xdr:rowOff>
    </xdr:from>
    <xdr:to>
      <xdr:col>7</xdr:col>
      <xdr:colOff>323850</xdr:colOff>
      <xdr:row>24</xdr:row>
      <xdr:rowOff>142875</xdr:rowOff>
    </xdr:to>
    <xdr:sp>
      <xdr:nvSpPr>
        <xdr:cNvPr id="76" name="Line 98"/>
        <xdr:cNvSpPr>
          <a:spLocks/>
        </xdr:cNvSpPr>
      </xdr:nvSpPr>
      <xdr:spPr>
        <a:xfrm>
          <a:off x="4210050" y="4067175"/>
          <a:ext cx="8286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23</xdr:row>
      <xdr:rowOff>0</xdr:rowOff>
    </xdr:from>
    <xdr:to>
      <xdr:col>7</xdr:col>
      <xdr:colOff>209550</xdr:colOff>
      <xdr:row>23</xdr:row>
      <xdr:rowOff>47625</xdr:rowOff>
    </xdr:to>
    <xdr:sp>
      <xdr:nvSpPr>
        <xdr:cNvPr id="77" name="Rectangle 99"/>
        <xdr:cNvSpPr>
          <a:spLocks/>
        </xdr:cNvSpPr>
      </xdr:nvSpPr>
      <xdr:spPr>
        <a:xfrm>
          <a:off x="4886325" y="37623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23</xdr:row>
      <xdr:rowOff>142875</xdr:rowOff>
    </xdr:from>
    <xdr:to>
      <xdr:col>7</xdr:col>
      <xdr:colOff>209550</xdr:colOff>
      <xdr:row>24</xdr:row>
      <xdr:rowOff>28575</xdr:rowOff>
    </xdr:to>
    <xdr:sp>
      <xdr:nvSpPr>
        <xdr:cNvPr id="78" name="Rectangle 100"/>
        <xdr:cNvSpPr>
          <a:spLocks/>
        </xdr:cNvSpPr>
      </xdr:nvSpPr>
      <xdr:spPr>
        <a:xfrm>
          <a:off x="4886325" y="39052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24</xdr:row>
      <xdr:rowOff>114300</xdr:rowOff>
    </xdr:from>
    <xdr:to>
      <xdr:col>7</xdr:col>
      <xdr:colOff>209550</xdr:colOff>
      <xdr:row>25</xdr:row>
      <xdr:rowOff>0</xdr:rowOff>
    </xdr:to>
    <xdr:sp>
      <xdr:nvSpPr>
        <xdr:cNvPr id="79" name="Rectangle 101"/>
        <xdr:cNvSpPr>
          <a:spLocks/>
        </xdr:cNvSpPr>
      </xdr:nvSpPr>
      <xdr:spPr>
        <a:xfrm>
          <a:off x="4886325" y="40386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22</xdr:row>
      <xdr:rowOff>76200</xdr:rowOff>
    </xdr:from>
    <xdr:to>
      <xdr:col>6</xdr:col>
      <xdr:colOff>295275</xdr:colOff>
      <xdr:row>22</xdr:row>
      <xdr:rowOff>76200</xdr:rowOff>
    </xdr:to>
    <xdr:sp>
      <xdr:nvSpPr>
        <xdr:cNvPr id="80" name="Line 102"/>
        <xdr:cNvSpPr>
          <a:spLocks/>
        </xdr:cNvSpPr>
      </xdr:nvSpPr>
      <xdr:spPr>
        <a:xfrm>
          <a:off x="4362450" y="36766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295275</xdr:colOff>
      <xdr:row>25</xdr:row>
      <xdr:rowOff>152400</xdr:rowOff>
    </xdr:to>
    <xdr:sp>
      <xdr:nvSpPr>
        <xdr:cNvPr id="81" name="Line 103"/>
        <xdr:cNvSpPr>
          <a:spLocks/>
        </xdr:cNvSpPr>
      </xdr:nvSpPr>
      <xdr:spPr>
        <a:xfrm>
          <a:off x="4362450" y="42386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22</xdr:row>
      <xdr:rowOff>76200</xdr:rowOff>
    </xdr:from>
    <xdr:to>
      <xdr:col>8</xdr:col>
      <xdr:colOff>95250</xdr:colOff>
      <xdr:row>22</xdr:row>
      <xdr:rowOff>76200</xdr:rowOff>
    </xdr:to>
    <xdr:sp>
      <xdr:nvSpPr>
        <xdr:cNvPr id="82" name="Line 104"/>
        <xdr:cNvSpPr>
          <a:spLocks/>
        </xdr:cNvSpPr>
      </xdr:nvSpPr>
      <xdr:spPr>
        <a:xfrm>
          <a:off x="5133975" y="3676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22</xdr:row>
      <xdr:rowOff>19050</xdr:rowOff>
    </xdr:from>
    <xdr:to>
      <xdr:col>8</xdr:col>
      <xdr:colOff>95250</xdr:colOff>
      <xdr:row>22</xdr:row>
      <xdr:rowOff>19050</xdr:rowOff>
    </xdr:to>
    <xdr:sp>
      <xdr:nvSpPr>
        <xdr:cNvPr id="83" name="Line 105"/>
        <xdr:cNvSpPr>
          <a:spLocks/>
        </xdr:cNvSpPr>
      </xdr:nvSpPr>
      <xdr:spPr>
        <a:xfrm>
          <a:off x="5133975" y="3619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22</xdr:row>
      <xdr:rowOff>95250</xdr:rowOff>
    </xdr:from>
    <xdr:to>
      <xdr:col>7</xdr:col>
      <xdr:colOff>400050</xdr:colOff>
      <xdr:row>22</xdr:row>
      <xdr:rowOff>95250</xdr:rowOff>
    </xdr:to>
    <xdr:sp>
      <xdr:nvSpPr>
        <xdr:cNvPr id="84" name="Line 106"/>
        <xdr:cNvSpPr>
          <a:spLocks/>
        </xdr:cNvSpPr>
      </xdr:nvSpPr>
      <xdr:spPr>
        <a:xfrm>
          <a:off x="4924425" y="36957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22</xdr:row>
      <xdr:rowOff>76200</xdr:rowOff>
    </xdr:from>
    <xdr:to>
      <xdr:col>7</xdr:col>
      <xdr:colOff>419100</xdr:colOff>
      <xdr:row>22</xdr:row>
      <xdr:rowOff>95250</xdr:rowOff>
    </xdr:to>
    <xdr:sp>
      <xdr:nvSpPr>
        <xdr:cNvPr id="85" name="Line 107"/>
        <xdr:cNvSpPr>
          <a:spLocks/>
        </xdr:cNvSpPr>
      </xdr:nvSpPr>
      <xdr:spPr>
        <a:xfrm flipV="1">
          <a:off x="5114925" y="36766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22</xdr:row>
      <xdr:rowOff>19050</xdr:rowOff>
    </xdr:from>
    <xdr:to>
      <xdr:col>7</xdr:col>
      <xdr:colOff>419100</xdr:colOff>
      <xdr:row>22</xdr:row>
      <xdr:rowOff>76200</xdr:rowOff>
    </xdr:to>
    <xdr:sp>
      <xdr:nvSpPr>
        <xdr:cNvPr id="86" name="Line 108"/>
        <xdr:cNvSpPr>
          <a:spLocks/>
        </xdr:cNvSpPr>
      </xdr:nvSpPr>
      <xdr:spPr>
        <a:xfrm>
          <a:off x="5133975" y="36195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123825</xdr:rowOff>
    </xdr:from>
    <xdr:to>
      <xdr:col>7</xdr:col>
      <xdr:colOff>400050</xdr:colOff>
      <xdr:row>25</xdr:row>
      <xdr:rowOff>123825</xdr:rowOff>
    </xdr:to>
    <xdr:sp>
      <xdr:nvSpPr>
        <xdr:cNvPr id="87" name="Line 109"/>
        <xdr:cNvSpPr>
          <a:spLocks/>
        </xdr:cNvSpPr>
      </xdr:nvSpPr>
      <xdr:spPr>
        <a:xfrm>
          <a:off x="4924425" y="4210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25</xdr:row>
      <xdr:rowOff>123825</xdr:rowOff>
    </xdr:from>
    <xdr:to>
      <xdr:col>7</xdr:col>
      <xdr:colOff>419100</xdr:colOff>
      <xdr:row>25</xdr:row>
      <xdr:rowOff>142875</xdr:rowOff>
    </xdr:to>
    <xdr:sp>
      <xdr:nvSpPr>
        <xdr:cNvPr id="88" name="Line 110"/>
        <xdr:cNvSpPr>
          <a:spLocks/>
        </xdr:cNvSpPr>
      </xdr:nvSpPr>
      <xdr:spPr>
        <a:xfrm>
          <a:off x="5114925" y="42100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8</xdr:col>
      <xdr:colOff>95250</xdr:colOff>
      <xdr:row>25</xdr:row>
      <xdr:rowOff>142875</xdr:rowOff>
    </xdr:to>
    <xdr:sp>
      <xdr:nvSpPr>
        <xdr:cNvPr id="89" name="Line 111"/>
        <xdr:cNvSpPr>
          <a:spLocks/>
        </xdr:cNvSpPr>
      </xdr:nvSpPr>
      <xdr:spPr>
        <a:xfrm>
          <a:off x="5133975" y="4229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38100</xdr:rowOff>
    </xdr:from>
    <xdr:to>
      <xdr:col>8</xdr:col>
      <xdr:colOff>95250</xdr:colOff>
      <xdr:row>26</xdr:row>
      <xdr:rowOff>38100</xdr:rowOff>
    </xdr:to>
    <xdr:sp>
      <xdr:nvSpPr>
        <xdr:cNvPr id="90" name="Line 112"/>
        <xdr:cNvSpPr>
          <a:spLocks/>
        </xdr:cNvSpPr>
      </xdr:nvSpPr>
      <xdr:spPr>
        <a:xfrm>
          <a:off x="5133975" y="4286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38100</xdr:rowOff>
    </xdr:to>
    <xdr:sp>
      <xdr:nvSpPr>
        <xdr:cNvPr id="91" name="Line 113"/>
        <xdr:cNvSpPr>
          <a:spLocks/>
        </xdr:cNvSpPr>
      </xdr:nvSpPr>
      <xdr:spPr>
        <a:xfrm>
          <a:off x="5133975" y="42291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142875</xdr:rowOff>
    </xdr:from>
    <xdr:to>
      <xdr:col>7</xdr:col>
      <xdr:colOff>209550</xdr:colOff>
      <xdr:row>22</xdr:row>
      <xdr:rowOff>57150</xdr:rowOff>
    </xdr:to>
    <xdr:sp>
      <xdr:nvSpPr>
        <xdr:cNvPr id="92" name="Line 114"/>
        <xdr:cNvSpPr>
          <a:spLocks/>
        </xdr:cNvSpPr>
      </xdr:nvSpPr>
      <xdr:spPr>
        <a:xfrm flipV="1">
          <a:off x="4924425" y="34194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20</xdr:row>
      <xdr:rowOff>142875</xdr:rowOff>
    </xdr:from>
    <xdr:to>
      <xdr:col>7</xdr:col>
      <xdr:colOff>419100</xdr:colOff>
      <xdr:row>21</xdr:row>
      <xdr:rowOff>142875</xdr:rowOff>
    </xdr:to>
    <xdr:sp>
      <xdr:nvSpPr>
        <xdr:cNvPr id="93" name="Line 115"/>
        <xdr:cNvSpPr>
          <a:spLocks/>
        </xdr:cNvSpPr>
      </xdr:nvSpPr>
      <xdr:spPr>
        <a:xfrm flipV="1">
          <a:off x="5133975" y="34194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22</xdr:row>
      <xdr:rowOff>95250</xdr:rowOff>
    </xdr:from>
    <xdr:to>
      <xdr:col>8</xdr:col>
      <xdr:colOff>276225</xdr:colOff>
      <xdr:row>22</xdr:row>
      <xdr:rowOff>95250</xdr:rowOff>
    </xdr:to>
    <xdr:sp>
      <xdr:nvSpPr>
        <xdr:cNvPr id="94" name="Line 116"/>
        <xdr:cNvSpPr>
          <a:spLocks/>
        </xdr:cNvSpPr>
      </xdr:nvSpPr>
      <xdr:spPr>
        <a:xfrm>
          <a:off x="5162550" y="3695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22</xdr:row>
      <xdr:rowOff>19050</xdr:rowOff>
    </xdr:from>
    <xdr:to>
      <xdr:col>8</xdr:col>
      <xdr:colOff>276225</xdr:colOff>
      <xdr:row>22</xdr:row>
      <xdr:rowOff>19050</xdr:rowOff>
    </xdr:to>
    <xdr:sp>
      <xdr:nvSpPr>
        <xdr:cNvPr id="95" name="Line 117"/>
        <xdr:cNvSpPr>
          <a:spLocks/>
        </xdr:cNvSpPr>
      </xdr:nvSpPr>
      <xdr:spPr>
        <a:xfrm>
          <a:off x="5448300" y="3619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25</xdr:row>
      <xdr:rowOff>123825</xdr:rowOff>
    </xdr:from>
    <xdr:to>
      <xdr:col>8</xdr:col>
      <xdr:colOff>276225</xdr:colOff>
      <xdr:row>25</xdr:row>
      <xdr:rowOff>123825</xdr:rowOff>
    </xdr:to>
    <xdr:sp>
      <xdr:nvSpPr>
        <xdr:cNvPr id="96" name="Line 118"/>
        <xdr:cNvSpPr>
          <a:spLocks/>
        </xdr:cNvSpPr>
      </xdr:nvSpPr>
      <xdr:spPr>
        <a:xfrm>
          <a:off x="5162550" y="42100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26</xdr:row>
      <xdr:rowOff>38100</xdr:rowOff>
    </xdr:from>
    <xdr:to>
      <xdr:col>8</xdr:col>
      <xdr:colOff>276225</xdr:colOff>
      <xdr:row>26</xdr:row>
      <xdr:rowOff>38100</xdr:rowOff>
    </xdr:to>
    <xdr:sp>
      <xdr:nvSpPr>
        <xdr:cNvPr id="97" name="Line 119"/>
        <xdr:cNvSpPr>
          <a:spLocks/>
        </xdr:cNvSpPr>
      </xdr:nvSpPr>
      <xdr:spPr>
        <a:xfrm>
          <a:off x="5448300" y="42862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21</xdr:row>
      <xdr:rowOff>38100</xdr:rowOff>
    </xdr:from>
    <xdr:to>
      <xdr:col>7</xdr:col>
      <xdr:colOff>419100</xdr:colOff>
      <xdr:row>21</xdr:row>
      <xdr:rowOff>38100</xdr:rowOff>
    </xdr:to>
    <xdr:sp>
      <xdr:nvSpPr>
        <xdr:cNvPr id="98" name="Line 120"/>
        <xdr:cNvSpPr>
          <a:spLocks/>
        </xdr:cNvSpPr>
      </xdr:nvSpPr>
      <xdr:spPr>
        <a:xfrm>
          <a:off x="4924425" y="34766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21</xdr:row>
      <xdr:rowOff>0</xdr:rowOff>
    </xdr:from>
    <xdr:to>
      <xdr:col>8</xdr:col>
      <xdr:colOff>209550</xdr:colOff>
      <xdr:row>22</xdr:row>
      <xdr:rowOff>19050</xdr:rowOff>
    </xdr:to>
    <xdr:sp>
      <xdr:nvSpPr>
        <xdr:cNvPr id="99" name="Line 121"/>
        <xdr:cNvSpPr>
          <a:spLocks/>
        </xdr:cNvSpPr>
      </xdr:nvSpPr>
      <xdr:spPr>
        <a:xfrm>
          <a:off x="5534025" y="34385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24</xdr:row>
      <xdr:rowOff>104775</xdr:rowOff>
    </xdr:from>
    <xdr:to>
      <xdr:col>8</xdr:col>
      <xdr:colOff>209550</xdr:colOff>
      <xdr:row>25</xdr:row>
      <xdr:rowOff>123825</xdr:rowOff>
    </xdr:to>
    <xdr:sp>
      <xdr:nvSpPr>
        <xdr:cNvPr id="100" name="Line 122"/>
        <xdr:cNvSpPr>
          <a:spLocks/>
        </xdr:cNvSpPr>
      </xdr:nvSpPr>
      <xdr:spPr>
        <a:xfrm>
          <a:off x="5534025" y="40290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22</xdr:row>
      <xdr:rowOff>95250</xdr:rowOff>
    </xdr:from>
    <xdr:to>
      <xdr:col>8</xdr:col>
      <xdr:colOff>209550</xdr:colOff>
      <xdr:row>23</xdr:row>
      <xdr:rowOff>114300</xdr:rowOff>
    </xdr:to>
    <xdr:sp>
      <xdr:nvSpPr>
        <xdr:cNvPr id="101" name="Line 123"/>
        <xdr:cNvSpPr>
          <a:spLocks/>
        </xdr:cNvSpPr>
      </xdr:nvSpPr>
      <xdr:spPr>
        <a:xfrm flipV="1">
          <a:off x="5534025" y="36957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38100</xdr:rowOff>
    </xdr:from>
    <xdr:to>
      <xdr:col>8</xdr:col>
      <xdr:colOff>209550</xdr:colOff>
      <xdr:row>27</xdr:row>
      <xdr:rowOff>47625</xdr:rowOff>
    </xdr:to>
    <xdr:sp>
      <xdr:nvSpPr>
        <xdr:cNvPr id="102" name="Line 124"/>
        <xdr:cNvSpPr>
          <a:spLocks/>
        </xdr:cNvSpPr>
      </xdr:nvSpPr>
      <xdr:spPr>
        <a:xfrm flipV="1">
          <a:off x="5534025" y="4286250"/>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0</xdr:rowOff>
    </xdr:from>
    <xdr:to>
      <xdr:col>7</xdr:col>
      <xdr:colOff>209550</xdr:colOff>
      <xdr:row>28</xdr:row>
      <xdr:rowOff>47625</xdr:rowOff>
    </xdr:to>
    <xdr:sp>
      <xdr:nvSpPr>
        <xdr:cNvPr id="103" name="Line 125"/>
        <xdr:cNvSpPr>
          <a:spLocks/>
        </xdr:cNvSpPr>
      </xdr:nvSpPr>
      <xdr:spPr>
        <a:xfrm>
          <a:off x="4924425" y="42481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76200</xdr:rowOff>
    </xdr:from>
    <xdr:to>
      <xdr:col>7</xdr:col>
      <xdr:colOff>419100</xdr:colOff>
      <xdr:row>28</xdr:row>
      <xdr:rowOff>38100</xdr:rowOff>
    </xdr:to>
    <xdr:sp>
      <xdr:nvSpPr>
        <xdr:cNvPr id="104" name="Line 126"/>
        <xdr:cNvSpPr>
          <a:spLocks/>
        </xdr:cNvSpPr>
      </xdr:nvSpPr>
      <xdr:spPr>
        <a:xfrm>
          <a:off x="5133975" y="43243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28</xdr:row>
      <xdr:rowOff>0</xdr:rowOff>
    </xdr:from>
    <xdr:to>
      <xdr:col>7</xdr:col>
      <xdr:colOff>419100</xdr:colOff>
      <xdr:row>28</xdr:row>
      <xdr:rowOff>0</xdr:rowOff>
    </xdr:to>
    <xdr:sp>
      <xdr:nvSpPr>
        <xdr:cNvPr id="105" name="Line 127"/>
        <xdr:cNvSpPr>
          <a:spLocks/>
        </xdr:cNvSpPr>
      </xdr:nvSpPr>
      <xdr:spPr>
        <a:xfrm>
          <a:off x="4924425" y="457200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22</xdr:row>
      <xdr:rowOff>19050</xdr:rowOff>
    </xdr:from>
    <xdr:to>
      <xdr:col>5</xdr:col>
      <xdr:colOff>552450</xdr:colOff>
      <xdr:row>22</xdr:row>
      <xdr:rowOff>19050</xdr:rowOff>
    </xdr:to>
    <xdr:sp>
      <xdr:nvSpPr>
        <xdr:cNvPr id="106" name="Line 128"/>
        <xdr:cNvSpPr>
          <a:spLocks/>
        </xdr:cNvSpPr>
      </xdr:nvSpPr>
      <xdr:spPr>
        <a:xfrm flipH="1">
          <a:off x="3848100" y="3619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26</xdr:row>
      <xdr:rowOff>47625</xdr:rowOff>
    </xdr:from>
    <xdr:to>
      <xdr:col>5</xdr:col>
      <xdr:colOff>552450</xdr:colOff>
      <xdr:row>26</xdr:row>
      <xdr:rowOff>47625</xdr:rowOff>
    </xdr:to>
    <xdr:sp>
      <xdr:nvSpPr>
        <xdr:cNvPr id="107" name="Line 129"/>
        <xdr:cNvSpPr>
          <a:spLocks/>
        </xdr:cNvSpPr>
      </xdr:nvSpPr>
      <xdr:spPr>
        <a:xfrm flipH="1">
          <a:off x="3848100" y="42957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22</xdr:row>
      <xdr:rowOff>19050</xdr:rowOff>
    </xdr:from>
    <xdr:to>
      <xdr:col>5</xdr:col>
      <xdr:colOff>400050</xdr:colOff>
      <xdr:row>26</xdr:row>
      <xdr:rowOff>47625</xdr:rowOff>
    </xdr:to>
    <xdr:sp>
      <xdr:nvSpPr>
        <xdr:cNvPr id="108" name="Line 130"/>
        <xdr:cNvSpPr>
          <a:spLocks/>
        </xdr:cNvSpPr>
      </xdr:nvSpPr>
      <xdr:spPr>
        <a:xfrm>
          <a:off x="3895725" y="3619500"/>
          <a:ext cx="0" cy="676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22</xdr:row>
      <xdr:rowOff>19050</xdr:rowOff>
    </xdr:from>
    <xdr:to>
      <xdr:col>8</xdr:col>
      <xdr:colOff>209550</xdr:colOff>
      <xdr:row>22</xdr:row>
      <xdr:rowOff>95250</xdr:rowOff>
    </xdr:to>
    <xdr:sp>
      <xdr:nvSpPr>
        <xdr:cNvPr id="109" name="Line 131"/>
        <xdr:cNvSpPr>
          <a:spLocks/>
        </xdr:cNvSpPr>
      </xdr:nvSpPr>
      <xdr:spPr>
        <a:xfrm flipV="1">
          <a:off x="5534025" y="3619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25</xdr:row>
      <xdr:rowOff>123825</xdr:rowOff>
    </xdr:from>
    <xdr:to>
      <xdr:col>8</xdr:col>
      <xdr:colOff>209550</xdr:colOff>
      <xdr:row>26</xdr:row>
      <xdr:rowOff>38100</xdr:rowOff>
    </xdr:to>
    <xdr:sp>
      <xdr:nvSpPr>
        <xdr:cNvPr id="110" name="Line 132"/>
        <xdr:cNvSpPr>
          <a:spLocks/>
        </xdr:cNvSpPr>
      </xdr:nvSpPr>
      <xdr:spPr>
        <a:xfrm>
          <a:off x="5534025" y="42100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26</xdr:row>
      <xdr:rowOff>76200</xdr:rowOff>
    </xdr:from>
    <xdr:to>
      <xdr:col>5</xdr:col>
      <xdr:colOff>581025</xdr:colOff>
      <xdr:row>28</xdr:row>
      <xdr:rowOff>66675</xdr:rowOff>
    </xdr:to>
    <xdr:sp>
      <xdr:nvSpPr>
        <xdr:cNvPr id="111" name="Line 133"/>
        <xdr:cNvSpPr>
          <a:spLocks/>
        </xdr:cNvSpPr>
      </xdr:nvSpPr>
      <xdr:spPr>
        <a:xfrm>
          <a:off x="4076700" y="43243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26</xdr:row>
      <xdr:rowOff>76200</xdr:rowOff>
    </xdr:from>
    <xdr:to>
      <xdr:col>6</xdr:col>
      <xdr:colOff>571500</xdr:colOff>
      <xdr:row>28</xdr:row>
      <xdr:rowOff>66675</xdr:rowOff>
    </xdr:to>
    <xdr:sp>
      <xdr:nvSpPr>
        <xdr:cNvPr id="112" name="Line 134"/>
        <xdr:cNvSpPr>
          <a:spLocks/>
        </xdr:cNvSpPr>
      </xdr:nvSpPr>
      <xdr:spPr>
        <a:xfrm>
          <a:off x="4676775" y="43243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28</xdr:row>
      <xdr:rowOff>0</xdr:rowOff>
    </xdr:from>
    <xdr:to>
      <xdr:col>6</xdr:col>
      <xdr:colOff>571500</xdr:colOff>
      <xdr:row>28</xdr:row>
      <xdr:rowOff>0</xdr:rowOff>
    </xdr:to>
    <xdr:sp>
      <xdr:nvSpPr>
        <xdr:cNvPr id="113" name="Line 135"/>
        <xdr:cNvSpPr>
          <a:spLocks/>
        </xdr:cNvSpPr>
      </xdr:nvSpPr>
      <xdr:spPr>
        <a:xfrm>
          <a:off x="4076700" y="4572000"/>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20</xdr:row>
      <xdr:rowOff>152400</xdr:rowOff>
    </xdr:from>
    <xdr:to>
      <xdr:col>6</xdr:col>
      <xdr:colOff>257175</xdr:colOff>
      <xdr:row>22</xdr:row>
      <xdr:rowOff>47625</xdr:rowOff>
    </xdr:to>
    <xdr:sp>
      <xdr:nvSpPr>
        <xdr:cNvPr id="114" name="Line 136"/>
        <xdr:cNvSpPr>
          <a:spLocks/>
        </xdr:cNvSpPr>
      </xdr:nvSpPr>
      <xdr:spPr>
        <a:xfrm flipV="1">
          <a:off x="4362450"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20</xdr:row>
      <xdr:rowOff>152400</xdr:rowOff>
    </xdr:from>
    <xdr:to>
      <xdr:col>6</xdr:col>
      <xdr:colOff>295275</xdr:colOff>
      <xdr:row>22</xdr:row>
      <xdr:rowOff>47625</xdr:rowOff>
    </xdr:to>
    <xdr:sp>
      <xdr:nvSpPr>
        <xdr:cNvPr id="115" name="Line 137"/>
        <xdr:cNvSpPr>
          <a:spLocks/>
        </xdr:cNvSpPr>
      </xdr:nvSpPr>
      <xdr:spPr>
        <a:xfrm flipV="1">
          <a:off x="4400550"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21</xdr:row>
      <xdr:rowOff>38100</xdr:rowOff>
    </xdr:from>
    <xdr:to>
      <xdr:col>6</xdr:col>
      <xdr:colOff>257175</xdr:colOff>
      <xdr:row>21</xdr:row>
      <xdr:rowOff>38100</xdr:rowOff>
    </xdr:to>
    <xdr:sp>
      <xdr:nvSpPr>
        <xdr:cNvPr id="116" name="Line 138"/>
        <xdr:cNvSpPr>
          <a:spLocks/>
        </xdr:cNvSpPr>
      </xdr:nvSpPr>
      <xdr:spPr>
        <a:xfrm>
          <a:off x="4124325" y="34766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10</xdr:row>
      <xdr:rowOff>114300</xdr:rowOff>
    </xdr:from>
    <xdr:to>
      <xdr:col>6</xdr:col>
      <xdr:colOff>19050</xdr:colOff>
      <xdr:row>10</xdr:row>
      <xdr:rowOff>114300</xdr:rowOff>
    </xdr:to>
    <xdr:sp>
      <xdr:nvSpPr>
        <xdr:cNvPr id="117" name="Line 139"/>
        <xdr:cNvSpPr>
          <a:spLocks/>
        </xdr:cNvSpPr>
      </xdr:nvSpPr>
      <xdr:spPr>
        <a:xfrm flipH="1">
          <a:off x="3971925" y="1771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9</xdr:row>
      <xdr:rowOff>114300</xdr:rowOff>
    </xdr:from>
    <xdr:to>
      <xdr:col>5</xdr:col>
      <xdr:colOff>523875</xdr:colOff>
      <xdr:row>10</xdr:row>
      <xdr:rowOff>114300</xdr:rowOff>
    </xdr:to>
    <xdr:sp>
      <xdr:nvSpPr>
        <xdr:cNvPr id="118" name="Line 140"/>
        <xdr:cNvSpPr>
          <a:spLocks/>
        </xdr:cNvSpPr>
      </xdr:nvSpPr>
      <xdr:spPr>
        <a:xfrm flipH="1">
          <a:off x="4019550" y="1609725"/>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10</xdr:row>
      <xdr:rowOff>114300</xdr:rowOff>
    </xdr:from>
    <xdr:to>
      <xdr:col>5</xdr:col>
      <xdr:colOff>523875</xdr:colOff>
      <xdr:row>11</xdr:row>
      <xdr:rowOff>19050</xdr:rowOff>
    </xdr:to>
    <xdr:sp>
      <xdr:nvSpPr>
        <xdr:cNvPr id="119" name="Line 141"/>
        <xdr:cNvSpPr>
          <a:spLocks/>
        </xdr:cNvSpPr>
      </xdr:nvSpPr>
      <xdr:spPr>
        <a:xfrm>
          <a:off x="4019550" y="17716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22</xdr:row>
      <xdr:rowOff>76200</xdr:rowOff>
    </xdr:from>
    <xdr:to>
      <xdr:col>5</xdr:col>
      <xdr:colOff>495300</xdr:colOff>
      <xdr:row>23</xdr:row>
      <xdr:rowOff>66675</xdr:rowOff>
    </xdr:to>
    <xdr:sp>
      <xdr:nvSpPr>
        <xdr:cNvPr id="120" name="Line 142"/>
        <xdr:cNvSpPr>
          <a:spLocks/>
        </xdr:cNvSpPr>
      </xdr:nvSpPr>
      <xdr:spPr>
        <a:xfrm flipV="1">
          <a:off x="3990975" y="367665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21</xdr:row>
      <xdr:rowOff>28575</xdr:rowOff>
    </xdr:from>
    <xdr:to>
      <xdr:col>5</xdr:col>
      <xdr:colOff>495300</xdr:colOff>
      <xdr:row>22</xdr:row>
      <xdr:rowOff>19050</xdr:rowOff>
    </xdr:to>
    <xdr:sp>
      <xdr:nvSpPr>
        <xdr:cNvPr id="121" name="Line 143"/>
        <xdr:cNvSpPr>
          <a:spLocks/>
        </xdr:cNvSpPr>
      </xdr:nvSpPr>
      <xdr:spPr>
        <a:xfrm>
          <a:off x="3990975" y="346710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22</xdr:row>
      <xdr:rowOff>76200</xdr:rowOff>
    </xdr:from>
    <xdr:to>
      <xdr:col>5</xdr:col>
      <xdr:colOff>552450</xdr:colOff>
      <xdr:row>22</xdr:row>
      <xdr:rowOff>76200</xdr:rowOff>
    </xdr:to>
    <xdr:sp>
      <xdr:nvSpPr>
        <xdr:cNvPr id="122" name="Line 144"/>
        <xdr:cNvSpPr>
          <a:spLocks/>
        </xdr:cNvSpPr>
      </xdr:nvSpPr>
      <xdr:spPr>
        <a:xfrm>
          <a:off x="3952875" y="36766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22</xdr:row>
      <xdr:rowOff>19050</xdr:rowOff>
    </xdr:from>
    <xdr:to>
      <xdr:col>5</xdr:col>
      <xdr:colOff>495300</xdr:colOff>
      <xdr:row>22</xdr:row>
      <xdr:rowOff>76200</xdr:rowOff>
    </xdr:to>
    <xdr:sp>
      <xdr:nvSpPr>
        <xdr:cNvPr id="123" name="Line 145"/>
        <xdr:cNvSpPr>
          <a:spLocks/>
        </xdr:cNvSpPr>
      </xdr:nvSpPr>
      <xdr:spPr>
        <a:xfrm>
          <a:off x="3990975" y="36195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7</xdr:row>
      <xdr:rowOff>95250</xdr:rowOff>
    </xdr:from>
    <xdr:to>
      <xdr:col>7</xdr:col>
      <xdr:colOff>152400</xdr:colOff>
      <xdr:row>7</xdr:row>
      <xdr:rowOff>95250</xdr:rowOff>
    </xdr:to>
    <xdr:sp>
      <xdr:nvSpPr>
        <xdr:cNvPr id="124" name="Line 146"/>
        <xdr:cNvSpPr>
          <a:spLocks/>
        </xdr:cNvSpPr>
      </xdr:nvSpPr>
      <xdr:spPr>
        <a:xfrm>
          <a:off x="4743450" y="12668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13</xdr:row>
      <xdr:rowOff>85725</xdr:rowOff>
    </xdr:from>
    <xdr:to>
      <xdr:col>6</xdr:col>
      <xdr:colOff>504825</xdr:colOff>
      <xdr:row>16</xdr:row>
      <xdr:rowOff>66675</xdr:rowOff>
    </xdr:to>
    <xdr:sp>
      <xdr:nvSpPr>
        <xdr:cNvPr id="125" name="Line 337"/>
        <xdr:cNvSpPr>
          <a:spLocks/>
        </xdr:cNvSpPr>
      </xdr:nvSpPr>
      <xdr:spPr>
        <a:xfrm>
          <a:off x="4610100" y="22288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22</xdr:row>
      <xdr:rowOff>104775</xdr:rowOff>
    </xdr:from>
    <xdr:to>
      <xdr:col>7</xdr:col>
      <xdr:colOff>219075</xdr:colOff>
      <xdr:row>25</xdr:row>
      <xdr:rowOff>57150</xdr:rowOff>
    </xdr:to>
    <xdr:sp>
      <xdr:nvSpPr>
        <xdr:cNvPr id="126" name="Line 338"/>
        <xdr:cNvSpPr>
          <a:spLocks/>
        </xdr:cNvSpPr>
      </xdr:nvSpPr>
      <xdr:spPr>
        <a:xfrm>
          <a:off x="4933950" y="370522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22</xdr:row>
      <xdr:rowOff>104775</xdr:rowOff>
    </xdr:from>
    <xdr:to>
      <xdr:col>6</xdr:col>
      <xdr:colOff>304800</xdr:colOff>
      <xdr:row>25</xdr:row>
      <xdr:rowOff>57150</xdr:rowOff>
    </xdr:to>
    <xdr:sp>
      <xdr:nvSpPr>
        <xdr:cNvPr id="127" name="Line 339"/>
        <xdr:cNvSpPr>
          <a:spLocks/>
        </xdr:cNvSpPr>
      </xdr:nvSpPr>
      <xdr:spPr>
        <a:xfrm>
          <a:off x="4410075" y="370522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22</xdr:row>
      <xdr:rowOff>104775</xdr:rowOff>
    </xdr:from>
    <xdr:to>
      <xdr:col>6</xdr:col>
      <xdr:colOff>247650</xdr:colOff>
      <xdr:row>25</xdr:row>
      <xdr:rowOff>57150</xdr:rowOff>
    </xdr:to>
    <xdr:sp>
      <xdr:nvSpPr>
        <xdr:cNvPr id="128" name="Line 340"/>
        <xdr:cNvSpPr>
          <a:spLocks/>
        </xdr:cNvSpPr>
      </xdr:nvSpPr>
      <xdr:spPr>
        <a:xfrm>
          <a:off x="4352925" y="370522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10</xdr:row>
      <xdr:rowOff>104775</xdr:rowOff>
    </xdr:from>
    <xdr:to>
      <xdr:col>6</xdr:col>
      <xdr:colOff>304800</xdr:colOff>
      <xdr:row>13</xdr:row>
      <xdr:rowOff>57150</xdr:rowOff>
    </xdr:to>
    <xdr:sp>
      <xdr:nvSpPr>
        <xdr:cNvPr id="129" name="Line 341"/>
        <xdr:cNvSpPr>
          <a:spLocks/>
        </xdr:cNvSpPr>
      </xdr:nvSpPr>
      <xdr:spPr>
        <a:xfrm>
          <a:off x="4410075" y="176212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10</xdr:row>
      <xdr:rowOff>104775</xdr:rowOff>
    </xdr:from>
    <xdr:to>
      <xdr:col>6</xdr:col>
      <xdr:colOff>247650</xdr:colOff>
      <xdr:row>13</xdr:row>
      <xdr:rowOff>57150</xdr:rowOff>
    </xdr:to>
    <xdr:sp>
      <xdr:nvSpPr>
        <xdr:cNvPr id="130" name="Line 342"/>
        <xdr:cNvSpPr>
          <a:spLocks/>
        </xdr:cNvSpPr>
      </xdr:nvSpPr>
      <xdr:spPr>
        <a:xfrm>
          <a:off x="4352925" y="1762125"/>
          <a:ext cx="0" cy="438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
    </sheetView>
  </sheetViews>
  <sheetFormatPr defaultColWidth="9.140625" defaultRowHeight="12.75"/>
  <cols>
    <col min="1" max="9" width="9.140625" style="191" customWidth="1"/>
    <col min="10" max="10" width="5.7109375" style="191" customWidth="1"/>
    <col min="11" max="11" width="9.140625" style="191" customWidth="1"/>
    <col min="12" max="16384" width="9.140625" style="192" customWidth="1"/>
  </cols>
  <sheetData>
    <row r="1" spans="1:10" ht="15.75">
      <c r="A1" s="189" t="s">
        <v>66</v>
      </c>
      <c r="B1" s="190"/>
      <c r="C1" s="190"/>
      <c r="D1" s="190"/>
      <c r="E1" s="190"/>
      <c r="F1" s="190"/>
      <c r="G1" s="190"/>
      <c r="H1" s="190"/>
      <c r="I1" s="190"/>
      <c r="J1" s="190"/>
    </row>
    <row r="3" ht="12.75">
      <c r="A3" s="193" t="s">
        <v>785</v>
      </c>
    </row>
    <row r="5" ht="12.75">
      <c r="A5" s="191" t="s">
        <v>67</v>
      </c>
    </row>
    <row r="6" ht="12.75">
      <c r="A6" s="191" t="s">
        <v>68</v>
      </c>
    </row>
    <row r="7" ht="12.75">
      <c r="A7" s="191" t="s">
        <v>69</v>
      </c>
    </row>
    <row r="8" ht="12.75">
      <c r="A8" s="191" t="s">
        <v>70</v>
      </c>
    </row>
    <row r="9" ht="12.75">
      <c r="A9" s="191" t="s">
        <v>71</v>
      </c>
    </row>
    <row r="11" ht="12.75">
      <c r="A11" s="191" t="s">
        <v>72</v>
      </c>
    </row>
    <row r="13" spans="1:10" ht="12.75">
      <c r="A13" s="194" t="s">
        <v>786</v>
      </c>
      <c r="B13" s="195"/>
      <c r="C13" s="196"/>
      <c r="D13" s="211" t="s">
        <v>787</v>
      </c>
      <c r="E13" s="197"/>
      <c r="F13" s="197"/>
      <c r="G13" s="197"/>
      <c r="H13" s="197"/>
      <c r="I13" s="197"/>
      <c r="J13" s="198"/>
    </row>
    <row r="14" spans="1:10" ht="12.75">
      <c r="A14" s="199" t="s">
        <v>788</v>
      </c>
      <c r="B14" s="200"/>
      <c r="C14" s="201"/>
      <c r="D14" s="199" t="s">
        <v>789</v>
      </c>
      <c r="E14" s="200"/>
      <c r="F14" s="200"/>
      <c r="G14" s="200"/>
      <c r="H14" s="200"/>
      <c r="I14" s="200"/>
      <c r="J14" s="201"/>
    </row>
    <row r="15" spans="1:10" ht="12.75">
      <c r="A15" s="208" t="s">
        <v>792</v>
      </c>
      <c r="B15" s="209"/>
      <c r="C15" s="210"/>
      <c r="D15" s="208" t="s">
        <v>795</v>
      </c>
      <c r="E15" s="209"/>
      <c r="F15" s="209"/>
      <c r="G15" s="209"/>
      <c r="H15" s="209"/>
      <c r="I15" s="209"/>
      <c r="J15" s="210"/>
    </row>
    <row r="16" spans="1:10" ht="12.75">
      <c r="A16" s="208" t="s">
        <v>793</v>
      </c>
      <c r="B16" s="209"/>
      <c r="C16" s="210"/>
      <c r="D16" s="208" t="s">
        <v>796</v>
      </c>
      <c r="E16" s="209"/>
      <c r="F16" s="209"/>
      <c r="G16" s="209"/>
      <c r="H16" s="209"/>
      <c r="I16" s="209"/>
      <c r="J16" s="210"/>
    </row>
    <row r="17" spans="1:10" ht="12.75">
      <c r="A17" s="202" t="s">
        <v>794</v>
      </c>
      <c r="B17" s="203"/>
      <c r="C17" s="204"/>
      <c r="D17" s="202" t="s">
        <v>797</v>
      </c>
      <c r="E17" s="203"/>
      <c r="F17" s="203"/>
      <c r="G17" s="203"/>
      <c r="H17" s="203"/>
      <c r="I17" s="203"/>
      <c r="J17" s="204"/>
    </row>
    <row r="18" ht="12.75">
      <c r="L18" s="205"/>
    </row>
    <row r="19" spans="1:12" ht="12.75">
      <c r="A19" s="193" t="s">
        <v>790</v>
      </c>
      <c r="L19" s="205"/>
    </row>
    <row r="20" ht="12.75">
      <c r="L20" s="220"/>
    </row>
    <row r="21" spans="1:10" ht="12.75">
      <c r="A21" s="191" t="s">
        <v>377</v>
      </c>
      <c r="J21" s="206"/>
    </row>
    <row r="22" ht="12.75">
      <c r="A22" s="191" t="s">
        <v>378</v>
      </c>
    </row>
    <row r="23" ht="12.75">
      <c r="A23" s="191" t="s">
        <v>314</v>
      </c>
    </row>
    <row r="24" ht="12.75">
      <c r="A24" s="191" t="s">
        <v>379</v>
      </c>
    </row>
    <row r="25" spans="1:3" ht="12.75">
      <c r="A25" s="207" t="s">
        <v>319</v>
      </c>
      <c r="B25" s="207"/>
      <c r="C25" s="207"/>
    </row>
    <row r="26" spans="1:9" ht="12.75">
      <c r="A26" s="191" t="s">
        <v>320</v>
      </c>
      <c r="B26" s="207"/>
      <c r="C26" s="207"/>
      <c r="D26" s="207"/>
      <c r="E26" s="207"/>
      <c r="F26" s="207"/>
      <c r="G26" s="207"/>
      <c r="H26" s="207"/>
      <c r="I26" s="207"/>
    </row>
    <row r="27" spans="1:9" ht="12.75">
      <c r="A27" s="191" t="s">
        <v>330</v>
      </c>
      <c r="B27" s="207"/>
      <c r="C27" s="207"/>
      <c r="D27" s="207"/>
      <c r="E27" s="207"/>
      <c r="F27" s="207"/>
      <c r="G27" s="207"/>
      <c r="H27" s="207"/>
      <c r="I27" s="207"/>
    </row>
    <row r="28" spans="1:9" ht="12.75">
      <c r="A28" s="207" t="s">
        <v>331</v>
      </c>
      <c r="B28" s="207"/>
      <c r="C28" s="207"/>
      <c r="D28" s="207"/>
      <c r="E28" s="207"/>
      <c r="F28" s="207"/>
      <c r="G28" s="207"/>
      <c r="H28" s="207"/>
      <c r="I28" s="207"/>
    </row>
    <row r="29" spans="1:10" ht="12.75">
      <c r="A29" s="207" t="s">
        <v>332</v>
      </c>
      <c r="B29" s="207"/>
      <c r="C29" s="207"/>
      <c r="D29" s="207"/>
      <c r="E29" s="207"/>
      <c r="F29" s="207"/>
      <c r="G29" s="207"/>
      <c r="H29" s="207"/>
      <c r="I29" s="207"/>
      <c r="J29" s="207"/>
    </row>
    <row r="30" spans="1:10" ht="12.75">
      <c r="A30" s="207" t="s">
        <v>315</v>
      </c>
      <c r="B30" s="207"/>
      <c r="C30" s="207"/>
      <c r="D30" s="207"/>
      <c r="E30" s="207"/>
      <c r="F30" s="207"/>
      <c r="G30" s="207"/>
      <c r="H30" s="207"/>
      <c r="I30" s="207"/>
      <c r="J30" s="207"/>
    </row>
    <row r="31" spans="1:10" ht="12.75">
      <c r="A31" s="207" t="s">
        <v>333</v>
      </c>
      <c r="D31" s="207"/>
      <c r="E31" s="207"/>
      <c r="F31" s="207"/>
      <c r="G31" s="207"/>
      <c r="H31" s="207"/>
      <c r="I31" s="207"/>
      <c r="J31" s="207"/>
    </row>
    <row r="32" spans="2:10" ht="12.75">
      <c r="B32" s="253" t="s">
        <v>317</v>
      </c>
      <c r="C32" s="207" t="s">
        <v>316</v>
      </c>
      <c r="D32" s="207"/>
      <c r="E32" s="207"/>
      <c r="F32" s="207"/>
      <c r="G32" s="207"/>
      <c r="H32" s="207"/>
      <c r="I32" s="207"/>
      <c r="J32" s="207"/>
    </row>
    <row r="33" spans="2:10" ht="12.75">
      <c r="B33" s="207"/>
      <c r="C33" s="207" t="s">
        <v>318</v>
      </c>
      <c r="D33" s="207"/>
      <c r="E33" s="207"/>
      <c r="F33" s="207"/>
      <c r="G33" s="207"/>
      <c r="H33" s="207"/>
      <c r="I33" s="207"/>
      <c r="J33" s="207"/>
    </row>
    <row r="34" spans="1:10" ht="12.75">
      <c r="A34" s="191" t="s">
        <v>368</v>
      </c>
      <c r="C34" s="207"/>
      <c r="D34" s="207"/>
      <c r="E34" s="207"/>
      <c r="F34" s="207"/>
      <c r="G34" s="207"/>
      <c r="H34" s="207"/>
      <c r="I34" s="207"/>
      <c r="J34" s="207"/>
    </row>
    <row r="35" spans="1:10" ht="12.75">
      <c r="A35" s="191" t="s">
        <v>369</v>
      </c>
      <c r="C35" s="207"/>
      <c r="D35" s="207"/>
      <c r="E35" s="207"/>
      <c r="F35" s="207"/>
      <c r="G35" s="207"/>
      <c r="H35" s="207"/>
      <c r="I35" s="207"/>
      <c r="J35" s="207"/>
    </row>
    <row r="36" spans="1:10" ht="12.75">
      <c r="A36" s="191" t="s">
        <v>370</v>
      </c>
      <c r="C36" s="207"/>
      <c r="D36" s="207"/>
      <c r="E36" s="207"/>
      <c r="F36" s="207"/>
      <c r="G36" s="207"/>
      <c r="H36" s="207"/>
      <c r="I36" s="207"/>
      <c r="J36" s="207"/>
    </row>
    <row r="37" spans="1:10" ht="12.75">
      <c r="A37" s="191" t="s">
        <v>371</v>
      </c>
      <c r="B37" s="207"/>
      <c r="D37" s="207"/>
      <c r="E37" s="207"/>
      <c r="F37" s="207"/>
      <c r="G37" s="207"/>
      <c r="H37" s="207"/>
      <c r="I37" s="207"/>
      <c r="J37" s="207"/>
    </row>
    <row r="38" spans="1:10" ht="12.75">
      <c r="A38" s="191" t="s">
        <v>367</v>
      </c>
      <c r="B38" s="207"/>
      <c r="C38" s="207"/>
      <c r="D38" s="207"/>
      <c r="E38" s="207"/>
      <c r="F38" s="207"/>
      <c r="G38" s="207"/>
      <c r="H38" s="207"/>
      <c r="I38" s="207"/>
      <c r="J38" s="207"/>
    </row>
    <row r="39" spans="1:10" ht="12.75">
      <c r="A39" s="191" t="s">
        <v>791</v>
      </c>
      <c r="B39" s="207"/>
      <c r="C39" s="207"/>
      <c r="D39" s="207"/>
      <c r="E39" s="207"/>
      <c r="F39" s="207"/>
      <c r="G39" s="207"/>
      <c r="H39" s="207"/>
      <c r="I39" s="207"/>
      <c r="J39" s="207"/>
    </row>
    <row r="40" spans="1:10" ht="12.75">
      <c r="A40" s="191" t="s">
        <v>0</v>
      </c>
      <c r="B40" s="207"/>
      <c r="C40" s="207"/>
      <c r="D40" s="207"/>
      <c r="E40" s="207"/>
      <c r="F40" s="207"/>
      <c r="G40" s="207"/>
      <c r="H40" s="207"/>
      <c r="I40" s="207"/>
      <c r="J40" s="207"/>
    </row>
    <row r="41" spans="1:10" ht="12.75">
      <c r="A41" s="191" t="s">
        <v>1</v>
      </c>
      <c r="B41" s="207"/>
      <c r="C41" s="207"/>
      <c r="D41" s="207"/>
      <c r="E41" s="207"/>
      <c r="F41" s="207"/>
      <c r="G41" s="207"/>
      <c r="H41" s="207"/>
      <c r="I41" s="207"/>
      <c r="J41" s="207"/>
    </row>
    <row r="42" spans="1:10" ht="12.75">
      <c r="A42" s="192"/>
      <c r="B42" s="192"/>
      <c r="C42" s="192"/>
      <c r="D42" s="192"/>
      <c r="E42" s="192"/>
      <c r="F42" s="192"/>
      <c r="G42" s="192"/>
      <c r="H42" s="192"/>
      <c r="I42" s="192"/>
      <c r="J42" s="207"/>
    </row>
    <row r="43" spans="1:10" ht="12.75">
      <c r="A43" s="192"/>
      <c r="B43" s="192"/>
      <c r="C43" s="192"/>
      <c r="D43" s="192"/>
      <c r="E43" s="192"/>
      <c r="F43" s="192"/>
      <c r="G43" s="192"/>
      <c r="H43" s="192"/>
      <c r="I43" s="192"/>
      <c r="J43" s="207"/>
    </row>
    <row r="44" spans="1:10" ht="12.75">
      <c r="A44" s="192"/>
      <c r="B44" s="192"/>
      <c r="C44" s="192"/>
      <c r="D44" s="192"/>
      <c r="E44" s="192"/>
      <c r="F44" s="192"/>
      <c r="G44" s="192"/>
      <c r="H44" s="192"/>
      <c r="I44" s="192"/>
      <c r="J44" s="207"/>
    </row>
    <row r="45" spans="2:10" ht="12.75">
      <c r="B45" s="207"/>
      <c r="C45" s="207"/>
      <c r="D45" s="207"/>
      <c r="E45" s="207"/>
      <c r="F45" s="207"/>
      <c r="G45" s="207"/>
      <c r="H45" s="207"/>
      <c r="I45" s="207"/>
      <c r="J45" s="207"/>
    </row>
    <row r="46" spans="2:10" ht="12.75">
      <c r="B46" s="207"/>
      <c r="C46" s="207"/>
      <c r="D46" s="207"/>
      <c r="E46" s="207"/>
      <c r="F46" s="207"/>
      <c r="G46" s="207"/>
      <c r="H46" s="207"/>
      <c r="I46" s="207"/>
      <c r="J46" s="207"/>
    </row>
    <row r="47" spans="2:10" ht="12.75">
      <c r="B47" s="207"/>
      <c r="C47" s="207"/>
      <c r="D47" s="207"/>
      <c r="E47" s="207"/>
      <c r="F47" s="207"/>
      <c r="G47" s="207"/>
      <c r="H47" s="207"/>
      <c r="I47" s="207"/>
      <c r="J47" s="207"/>
    </row>
    <row r="48" spans="1:10" ht="12.75">
      <c r="A48" s="207"/>
      <c r="B48" s="207"/>
      <c r="C48" s="207"/>
      <c r="D48" s="207"/>
      <c r="E48" s="207"/>
      <c r="F48" s="207"/>
      <c r="G48" s="207"/>
      <c r="H48" s="207"/>
      <c r="I48" s="207"/>
      <c r="J48" s="207"/>
    </row>
    <row r="49" spans="1:10" ht="12.75">
      <c r="A49" s="207"/>
      <c r="B49" s="207"/>
      <c r="C49" s="207"/>
      <c r="D49" s="207"/>
      <c r="E49" s="207"/>
      <c r="F49" s="207"/>
      <c r="G49" s="207"/>
      <c r="H49" s="207"/>
      <c r="I49" s="207"/>
      <c r="J49" s="207"/>
    </row>
    <row r="50" spans="1:10" ht="12.75">
      <c r="A50" s="207"/>
      <c r="B50" s="207"/>
      <c r="C50" s="207"/>
      <c r="D50" s="207"/>
      <c r="E50" s="207"/>
      <c r="F50" s="207"/>
      <c r="G50" s="207"/>
      <c r="H50" s="207"/>
      <c r="I50" s="207"/>
      <c r="J50" s="207"/>
    </row>
    <row r="51" spans="1:10" ht="12.75">
      <c r="A51" s="207"/>
      <c r="B51" s="207"/>
      <c r="C51" s="207"/>
      <c r="D51" s="207"/>
      <c r="E51" s="207"/>
      <c r="F51" s="207"/>
      <c r="G51" s="207"/>
      <c r="H51" s="207"/>
      <c r="I51" s="207"/>
      <c r="J51" s="207"/>
    </row>
    <row r="52" spans="1:10" ht="12.75">
      <c r="A52" s="207"/>
      <c r="B52" s="207"/>
      <c r="C52" s="207"/>
      <c r="D52" s="207"/>
      <c r="E52" s="207"/>
      <c r="F52" s="207"/>
      <c r="G52" s="207"/>
      <c r="H52" s="207"/>
      <c r="I52" s="207"/>
      <c r="J52" s="207"/>
    </row>
    <row r="53" spans="1:10" ht="12.75">
      <c r="A53" s="207"/>
      <c r="B53" s="207"/>
      <c r="C53" s="207"/>
      <c r="D53" s="207"/>
      <c r="E53" s="207"/>
      <c r="F53" s="207"/>
      <c r="G53" s="207"/>
      <c r="H53" s="207"/>
      <c r="I53" s="207"/>
      <c r="J53" s="207"/>
    </row>
    <row r="54" spans="1:10" ht="12.75">
      <c r="A54" s="207"/>
      <c r="B54" s="207"/>
      <c r="C54" s="207"/>
      <c r="D54" s="207"/>
      <c r="E54" s="207"/>
      <c r="F54" s="207"/>
      <c r="G54" s="207"/>
      <c r="H54" s="207"/>
      <c r="I54" s="207"/>
      <c r="J54" s="207"/>
    </row>
    <row r="55" spans="1:10" ht="12.75">
      <c r="A55" s="207"/>
      <c r="B55" s="207"/>
      <c r="C55" s="207"/>
      <c r="D55" s="207"/>
      <c r="E55" s="207"/>
      <c r="F55" s="207"/>
      <c r="G55" s="207"/>
      <c r="H55" s="207"/>
      <c r="I55" s="207"/>
      <c r="J55" s="207"/>
    </row>
    <row r="56" spans="2:10" ht="12.75">
      <c r="B56" s="207"/>
      <c r="C56" s="207"/>
      <c r="D56" s="207"/>
      <c r="E56" s="207"/>
      <c r="F56" s="207"/>
      <c r="G56" s="207"/>
      <c r="H56" s="207"/>
      <c r="I56" s="207"/>
      <c r="J56" s="207"/>
    </row>
    <row r="57" spans="1:10" ht="12.75">
      <c r="A57" s="207"/>
      <c r="B57" s="207"/>
      <c r="C57" s="207"/>
      <c r="D57" s="207"/>
      <c r="E57" s="207"/>
      <c r="F57" s="207"/>
      <c r="G57" s="207"/>
      <c r="H57" s="207"/>
      <c r="I57" s="207"/>
      <c r="J57" s="207"/>
    </row>
    <row r="58" spans="1:10" ht="12.75">
      <c r="A58" s="207"/>
      <c r="B58" s="207"/>
      <c r="C58" s="207"/>
      <c r="D58" s="207"/>
      <c r="E58" s="207"/>
      <c r="F58" s="207"/>
      <c r="G58" s="207"/>
      <c r="H58" s="207"/>
      <c r="I58" s="207"/>
      <c r="J58" s="207"/>
    </row>
    <row r="59" spans="1:10" ht="12.75">
      <c r="A59" s="207"/>
      <c r="B59" s="207"/>
      <c r="C59" s="207"/>
      <c r="D59" s="207"/>
      <c r="E59" s="207"/>
      <c r="F59" s="207"/>
      <c r="G59" s="207"/>
      <c r="H59" s="207"/>
      <c r="I59" s="207"/>
      <c r="J59" s="207"/>
    </row>
    <row r="60" spans="1:10" ht="12.75">
      <c r="A60" s="207"/>
      <c r="B60" s="207"/>
      <c r="C60" s="207"/>
      <c r="D60" s="207"/>
      <c r="E60" s="207"/>
      <c r="F60" s="207"/>
      <c r="G60" s="207"/>
      <c r="H60" s="207"/>
      <c r="I60" s="207"/>
      <c r="J60" s="207"/>
    </row>
    <row r="61" spans="1:10" ht="12.75">
      <c r="A61" s="207"/>
      <c r="B61" s="207"/>
      <c r="C61" s="207"/>
      <c r="D61" s="207"/>
      <c r="E61" s="207"/>
      <c r="F61" s="207"/>
      <c r="G61" s="207"/>
      <c r="H61" s="207"/>
      <c r="I61" s="207"/>
      <c r="J61" s="207"/>
    </row>
    <row r="62" spans="1:10" ht="12.75">
      <c r="A62" s="207"/>
      <c r="B62" s="207"/>
      <c r="C62" s="207"/>
      <c r="D62" s="207"/>
      <c r="E62" s="207"/>
      <c r="F62" s="207"/>
      <c r="G62" s="207"/>
      <c r="H62" s="207"/>
      <c r="I62" s="207"/>
      <c r="J62" s="207"/>
    </row>
    <row r="63" spans="1:10" ht="12.75">
      <c r="A63" s="207"/>
      <c r="B63" s="207"/>
      <c r="C63" s="207"/>
      <c r="D63" s="207"/>
      <c r="E63" s="207"/>
      <c r="F63" s="207"/>
      <c r="G63" s="207"/>
      <c r="H63" s="207"/>
      <c r="I63" s="207"/>
      <c r="J63" s="207"/>
    </row>
    <row r="64" spans="1:10" ht="12.75">
      <c r="A64" s="207"/>
      <c r="B64" s="207"/>
      <c r="C64" s="207"/>
      <c r="D64" s="207"/>
      <c r="E64" s="207"/>
      <c r="F64" s="207"/>
      <c r="G64" s="207"/>
      <c r="H64" s="207"/>
      <c r="I64" s="207"/>
      <c r="J64" s="207"/>
    </row>
    <row r="65" spans="1:10" ht="12.75">
      <c r="A65" s="207"/>
      <c r="B65" s="207"/>
      <c r="C65" s="207"/>
      <c r="D65" s="207"/>
      <c r="E65" s="207"/>
      <c r="F65" s="207"/>
      <c r="G65" s="207"/>
      <c r="H65" s="207"/>
      <c r="I65" s="207"/>
      <c r="J65" s="207"/>
    </row>
    <row r="66" spans="1:10" ht="12.75">
      <c r="A66" s="207"/>
      <c r="B66" s="207"/>
      <c r="C66" s="207"/>
      <c r="D66" s="207"/>
      <c r="E66" s="207"/>
      <c r="F66" s="207"/>
      <c r="G66" s="207"/>
      <c r="H66" s="207"/>
      <c r="I66" s="207"/>
      <c r="J66" s="207"/>
    </row>
    <row r="67" spans="1:10" ht="12.75">
      <c r="A67" s="207"/>
      <c r="B67" s="207"/>
      <c r="C67" s="207"/>
      <c r="D67" s="207"/>
      <c r="E67" s="207"/>
      <c r="F67" s="207"/>
      <c r="G67" s="207"/>
      <c r="H67" s="207"/>
      <c r="I67" s="207"/>
      <c r="J67" s="207"/>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R406"/>
  <sheetViews>
    <sheetView tabSelected="1" zoomScalePageLayoutView="0" workbookViewId="0" topLeftCell="A1">
      <selection activeCell="A1" sqref="A1"/>
    </sheetView>
  </sheetViews>
  <sheetFormatPr defaultColWidth="9.140625" defaultRowHeight="12.75"/>
  <cols>
    <col min="1" max="1" width="12.7109375" style="8" customWidth="1"/>
    <col min="2" max="2" width="9.140625" style="8" customWidth="1"/>
    <col min="3" max="4" width="10.7109375" style="8" customWidth="1"/>
    <col min="5" max="8" width="9.140625" style="8" customWidth="1"/>
    <col min="9" max="9" width="12.421875" style="8" customWidth="1"/>
    <col min="10" max="22" width="0" style="28" hidden="1" customWidth="1"/>
    <col min="23" max="23" width="10.140625" style="28" hidden="1" customWidth="1"/>
    <col min="24" max="25" width="12.28125" style="28" hidden="1" customWidth="1"/>
    <col min="26" max="27" width="0" style="28" hidden="1" customWidth="1"/>
    <col min="28" max="28" width="15.140625" style="28" hidden="1" customWidth="1"/>
    <col min="29" max="31" width="0" style="28" hidden="1" customWidth="1"/>
    <col min="32" max="32" width="16.7109375" style="28" hidden="1" customWidth="1"/>
    <col min="33" max="39" width="0" style="28" hidden="1" customWidth="1"/>
    <col min="40" max="16384" width="9.140625" style="8" customWidth="1"/>
  </cols>
  <sheetData>
    <row r="1" spans="1:40" ht="15.75">
      <c r="A1" s="235" t="s">
        <v>310</v>
      </c>
      <c r="B1" s="236"/>
      <c r="C1" s="237"/>
      <c r="D1" s="237"/>
      <c r="E1" s="237"/>
      <c r="F1" s="237"/>
      <c r="G1" s="236"/>
      <c r="H1" s="236"/>
      <c r="I1" s="238"/>
      <c r="J1" s="89"/>
      <c r="K1" s="124"/>
      <c r="M1" s="29" t="s">
        <v>233</v>
      </c>
      <c r="P1" s="57"/>
      <c r="Q1" s="140"/>
      <c r="R1" s="107"/>
      <c r="S1" s="89"/>
      <c r="T1" s="89"/>
      <c r="U1" s="89"/>
      <c r="V1" s="89"/>
      <c r="AC1" s="89"/>
      <c r="AD1" s="89"/>
      <c r="AE1" s="89"/>
      <c r="AL1" s="121"/>
      <c r="AM1" s="89"/>
      <c r="AN1" s="175" t="s">
        <v>842</v>
      </c>
    </row>
    <row r="2" spans="1:39" ht="12.75">
      <c r="A2" s="241" t="s">
        <v>104</v>
      </c>
      <c r="B2" s="239"/>
      <c r="C2" s="239"/>
      <c r="D2" s="239"/>
      <c r="E2" s="239"/>
      <c r="F2" s="239"/>
      <c r="G2" s="239"/>
      <c r="H2" s="239"/>
      <c r="I2" s="240"/>
      <c r="J2" s="136"/>
      <c r="K2" s="25"/>
      <c r="P2" s="43"/>
      <c r="Q2" s="371"/>
      <c r="R2" s="107"/>
      <c r="S2" s="136"/>
      <c r="T2" s="136"/>
      <c r="U2" s="136"/>
      <c r="V2" s="136"/>
      <c r="AC2" s="136"/>
      <c r="AD2" s="136"/>
      <c r="AE2" s="136"/>
      <c r="AG2" s="36"/>
      <c r="AL2" s="121"/>
      <c r="AM2" s="136"/>
    </row>
    <row r="3" spans="1:39" ht="12.75">
      <c r="A3" s="242" t="s">
        <v>195</v>
      </c>
      <c r="B3" s="239"/>
      <c r="C3" s="239"/>
      <c r="D3" s="239"/>
      <c r="E3" s="239"/>
      <c r="F3" s="239"/>
      <c r="G3" s="239"/>
      <c r="H3" s="239"/>
      <c r="I3" s="240"/>
      <c r="J3" s="36"/>
      <c r="K3" s="39">
        <v>36</v>
      </c>
      <c r="L3" s="39"/>
      <c r="M3" s="93" t="s">
        <v>191</v>
      </c>
      <c r="S3" s="36"/>
      <c r="T3" s="36"/>
      <c r="U3" s="36"/>
      <c r="V3" s="36"/>
      <c r="W3" s="260" t="s">
        <v>440</v>
      </c>
      <c r="X3" s="261"/>
      <c r="Z3" s="260" t="s">
        <v>441</v>
      </c>
      <c r="AA3" s="262"/>
      <c r="AB3" s="261"/>
      <c r="AC3" s="36"/>
      <c r="AD3" s="36"/>
      <c r="AE3" s="36"/>
      <c r="AF3" s="212" t="s">
        <v>452</v>
      </c>
      <c r="AG3" s="213"/>
      <c r="AH3" s="213"/>
      <c r="AI3" s="213"/>
      <c r="AJ3" s="213"/>
      <c r="AK3" s="213"/>
      <c r="AL3" s="214"/>
      <c r="AM3" s="36"/>
    </row>
    <row r="4" spans="1:44" ht="12.75">
      <c r="A4" s="243" t="s">
        <v>372</v>
      </c>
      <c r="B4" s="246"/>
      <c r="C4" s="247"/>
      <c r="D4" s="247"/>
      <c r="E4" s="248"/>
      <c r="F4" s="177" t="s">
        <v>373</v>
      </c>
      <c r="G4" s="244"/>
      <c r="H4" s="245"/>
      <c r="I4" s="249"/>
      <c r="J4" s="24"/>
      <c r="K4" s="39">
        <v>50</v>
      </c>
      <c r="L4" s="32"/>
      <c r="M4" s="56" t="s">
        <v>10</v>
      </c>
      <c r="O4" s="33"/>
      <c r="S4" s="24"/>
      <c r="T4" s="24"/>
      <c r="U4" s="24"/>
      <c r="V4" s="24"/>
      <c r="W4" s="263" t="s">
        <v>442</v>
      </c>
      <c r="X4" s="263" t="s">
        <v>443</v>
      </c>
      <c r="Z4" s="263" t="s">
        <v>442</v>
      </c>
      <c r="AA4" s="263" t="s">
        <v>444</v>
      </c>
      <c r="AB4" s="263" t="s">
        <v>445</v>
      </c>
      <c r="AC4" s="24"/>
      <c r="AD4" s="24"/>
      <c r="AE4" s="24"/>
      <c r="AF4" s="217" t="s">
        <v>453</v>
      </c>
      <c r="AG4" s="218"/>
      <c r="AH4" s="218"/>
      <c r="AI4" s="218"/>
      <c r="AJ4" s="218"/>
      <c r="AK4" s="218"/>
      <c r="AL4" s="219"/>
      <c r="AM4" s="24"/>
      <c r="AN4" s="31" t="s">
        <v>294</v>
      </c>
      <c r="AO4" s="28"/>
      <c r="AP4" s="28"/>
      <c r="AQ4" s="28"/>
      <c r="AR4" s="35"/>
    </row>
    <row r="5" spans="1:44" ht="12.75">
      <c r="A5" s="243" t="s">
        <v>374</v>
      </c>
      <c r="B5" s="246"/>
      <c r="C5" s="247"/>
      <c r="D5" s="247"/>
      <c r="E5" s="247"/>
      <c r="F5" s="177" t="s">
        <v>375</v>
      </c>
      <c r="G5" s="244"/>
      <c r="H5" s="177" t="s">
        <v>376</v>
      </c>
      <c r="I5" s="250"/>
      <c r="J5" s="24"/>
      <c r="K5" s="110">
        <v>0.25</v>
      </c>
      <c r="L5" s="32"/>
      <c r="M5" s="49" t="s">
        <v>254</v>
      </c>
      <c r="N5" s="254">
        <f>IF(AND($D$26&lt;&gt;"SC",$D$28="Oversized"),"ERROR",IF($D$28="Standard",VLOOKUP($D$24,$W$17:$X$22,2,FALSE),IF($D$28="Oversized",VLOOKUP($D$24,$W$17:$Y$22,3,FALSE),0)))</f>
        <v>0.9375</v>
      </c>
      <c r="O5" s="37" t="s">
        <v>229</v>
      </c>
      <c r="P5" s="37" t="s">
        <v>78</v>
      </c>
      <c r="S5" s="24"/>
      <c r="T5" s="24"/>
      <c r="U5" s="24"/>
      <c r="V5" s="24"/>
      <c r="W5" s="264">
        <v>0.5</v>
      </c>
      <c r="X5" s="265">
        <v>13</v>
      </c>
      <c r="Z5" s="266">
        <v>0.5</v>
      </c>
      <c r="AA5" s="267">
        <v>12</v>
      </c>
      <c r="AB5" s="265">
        <v>15</v>
      </c>
      <c r="AC5" s="24"/>
      <c r="AD5" s="24"/>
      <c r="AE5" s="24"/>
      <c r="AF5" s="215" t="s">
        <v>207</v>
      </c>
      <c r="AG5" s="216" t="s">
        <v>208</v>
      </c>
      <c r="AH5" s="216" t="s">
        <v>246</v>
      </c>
      <c r="AI5" s="216" t="s">
        <v>247</v>
      </c>
      <c r="AJ5" s="216" t="s">
        <v>248</v>
      </c>
      <c r="AK5" s="216" t="s">
        <v>249</v>
      </c>
      <c r="AL5" s="216" t="s">
        <v>250</v>
      </c>
      <c r="AM5" s="24"/>
      <c r="AN5" s="6" t="s">
        <v>293</v>
      </c>
      <c r="AO5" s="83" t="s">
        <v>205</v>
      </c>
      <c r="AP5" s="28"/>
      <c r="AQ5" s="28"/>
      <c r="AR5" s="83" t="s">
        <v>35</v>
      </c>
    </row>
    <row r="6" spans="1:44" ht="12.75">
      <c r="A6" s="18"/>
      <c r="B6" s="101"/>
      <c r="C6" s="101"/>
      <c r="D6" s="101"/>
      <c r="E6" s="101"/>
      <c r="F6" s="101"/>
      <c r="G6" s="180"/>
      <c r="H6" s="176"/>
      <c r="I6" s="181"/>
      <c r="J6" s="36"/>
      <c r="K6" s="110">
        <f>5/16</f>
        <v>0.3125</v>
      </c>
      <c r="L6" s="32"/>
      <c r="M6" s="49" t="s">
        <v>194</v>
      </c>
      <c r="N6" s="255">
        <f>IF(AND($D$26&lt;&gt;"SC",$D$28="Oversized"),"ERROR",IF($D$28="Standard",VLOOKUP($D$24,$W$17:$X$22,2,FALSE),IF($D$28="Oversized",VLOOKUP($D$24,$W$17:$Y$22,3,FALSE),0)))</f>
        <v>0.9375</v>
      </c>
      <c r="O6" s="37" t="s">
        <v>229</v>
      </c>
      <c r="P6" s="37" t="s">
        <v>79</v>
      </c>
      <c r="S6" s="36"/>
      <c r="T6" s="36"/>
      <c r="U6" s="36"/>
      <c r="V6" s="36"/>
      <c r="W6" s="268">
        <v>0.625</v>
      </c>
      <c r="X6" s="269">
        <v>11</v>
      </c>
      <c r="Y6" s="37"/>
      <c r="Z6" s="270">
        <v>0.625</v>
      </c>
      <c r="AA6" s="271">
        <v>19</v>
      </c>
      <c r="AB6" s="269">
        <v>24</v>
      </c>
      <c r="AC6" s="36"/>
      <c r="AD6" s="36"/>
      <c r="AE6" s="36"/>
      <c r="AF6" s="284" t="s">
        <v>454</v>
      </c>
      <c r="AG6" s="285">
        <v>98.5</v>
      </c>
      <c r="AH6" s="286">
        <v>44</v>
      </c>
      <c r="AI6" s="287">
        <v>1.03</v>
      </c>
      <c r="AJ6" s="286">
        <v>15.9</v>
      </c>
      <c r="AK6" s="287">
        <v>1.77</v>
      </c>
      <c r="AL6" s="288">
        <v>2.56</v>
      </c>
      <c r="AM6" s="36"/>
      <c r="AN6" s="92" t="s">
        <v>109</v>
      </c>
      <c r="AO6" s="28"/>
      <c r="AP6" s="28"/>
      <c r="AQ6" s="28"/>
      <c r="AR6" s="120"/>
    </row>
    <row r="7" spans="1:44" ht="12.75">
      <c r="A7" s="10" t="s">
        <v>204</v>
      </c>
      <c r="B7" s="101"/>
      <c r="C7" s="101"/>
      <c r="D7" s="101"/>
      <c r="E7" s="101"/>
      <c r="F7" s="101"/>
      <c r="G7" s="185"/>
      <c r="H7" s="176"/>
      <c r="I7" s="182"/>
      <c r="J7" s="36"/>
      <c r="K7" s="110">
        <v>0.375</v>
      </c>
      <c r="L7" s="32"/>
      <c r="M7" s="49" t="s">
        <v>41</v>
      </c>
      <c r="N7" s="69">
        <f>PI()*$D$24^2/4</f>
        <v>0.6013204688511713</v>
      </c>
      <c r="O7" s="37" t="s">
        <v>210</v>
      </c>
      <c r="P7" s="30" t="s">
        <v>172</v>
      </c>
      <c r="S7" s="36"/>
      <c r="T7" s="36"/>
      <c r="U7" s="36"/>
      <c r="V7" s="36"/>
      <c r="W7" s="268">
        <v>0.75</v>
      </c>
      <c r="X7" s="269">
        <v>10</v>
      </c>
      <c r="Y7" s="37"/>
      <c r="Z7" s="270">
        <v>0.75</v>
      </c>
      <c r="AA7" s="271">
        <v>28</v>
      </c>
      <c r="AB7" s="269">
        <v>35</v>
      </c>
      <c r="AC7" s="36"/>
      <c r="AD7" s="36"/>
      <c r="AE7" s="36"/>
      <c r="AF7" s="289" t="s">
        <v>455</v>
      </c>
      <c r="AG7" s="290">
        <v>85.4</v>
      </c>
      <c r="AH7" s="291">
        <v>43.6</v>
      </c>
      <c r="AI7" s="292">
        <v>0.865</v>
      </c>
      <c r="AJ7" s="291">
        <v>15.8</v>
      </c>
      <c r="AK7" s="293">
        <v>1.58</v>
      </c>
      <c r="AL7" s="294">
        <v>2.36</v>
      </c>
      <c r="AM7" s="36"/>
      <c r="AN7" s="34">
        <v>74</v>
      </c>
      <c r="AO7" s="47" t="str">
        <f>IF($B$74&gt;=$D$16,"Rbv &gt;= R,  O.K.","Rbv &lt; R, N.G.")</f>
        <v>Rbv &gt;= R,  O.K.</v>
      </c>
      <c r="AP7" s="28"/>
      <c r="AQ7" s="28"/>
      <c r="AR7" s="5">
        <f>$D$16/$B$74</f>
        <v>0.3464597400639899</v>
      </c>
    </row>
    <row r="8" spans="1:44" ht="12.75">
      <c r="A8" s="18"/>
      <c r="B8" s="101"/>
      <c r="C8" s="102"/>
      <c r="D8" s="101"/>
      <c r="E8" s="188"/>
      <c r="F8" s="9"/>
      <c r="G8" s="9"/>
      <c r="H8" s="9"/>
      <c r="I8" s="13"/>
      <c r="J8" s="36"/>
      <c r="K8" s="110">
        <v>0.5</v>
      </c>
      <c r="L8" s="32"/>
      <c r="M8" s="49" t="s">
        <v>80</v>
      </c>
      <c r="N8" s="104">
        <f>IF($D$22=36,58,IF($D$22=50,65))</f>
        <v>58</v>
      </c>
      <c r="O8" s="37" t="s">
        <v>212</v>
      </c>
      <c r="P8" s="37" t="str">
        <f>IF($D$22=36,"Fup = 58 for Fyp = 36","Fup = 65 for Fyp = 50")&amp;" (for shear plate)"</f>
        <v>Fup = 58 for Fyp = 36 (for shear plate)</v>
      </c>
      <c r="S8" s="36"/>
      <c r="T8" s="36"/>
      <c r="U8" s="36"/>
      <c r="V8" s="36"/>
      <c r="W8" s="268">
        <v>0.875</v>
      </c>
      <c r="X8" s="269">
        <v>9</v>
      </c>
      <c r="Y8" s="37"/>
      <c r="Z8" s="270">
        <v>0.875</v>
      </c>
      <c r="AA8" s="271">
        <v>39</v>
      </c>
      <c r="AB8" s="269">
        <v>49</v>
      </c>
      <c r="AC8" s="36"/>
      <c r="AD8" s="36"/>
      <c r="AE8" s="36"/>
      <c r="AF8" s="289" t="s">
        <v>456</v>
      </c>
      <c r="AG8" s="290">
        <v>76.9</v>
      </c>
      <c r="AH8" s="291">
        <v>43.3</v>
      </c>
      <c r="AI8" s="292">
        <v>0.785</v>
      </c>
      <c r="AJ8" s="291">
        <v>15.8</v>
      </c>
      <c r="AK8" s="293">
        <v>1.42</v>
      </c>
      <c r="AL8" s="294">
        <v>2.2</v>
      </c>
      <c r="AM8" s="36"/>
      <c r="AN8" s="34">
        <v>82</v>
      </c>
      <c r="AO8" s="47" t="str">
        <f>IF($D$17&gt;0,IF($B$82&gt;=$D$17,"Rba &gt;= P,  O.K.","Rba &lt; P, N.G."),"N.A.")</f>
        <v>N.A.</v>
      </c>
      <c r="AP8" s="28"/>
      <c r="AQ8" s="28"/>
      <c r="AR8" s="5">
        <f>IF($D$17&gt;0,$D$17/$B$82,"")</f>
      </c>
    </row>
    <row r="9" spans="1:44" ht="12.75">
      <c r="A9" s="10" t="s">
        <v>133</v>
      </c>
      <c r="B9" s="24"/>
      <c r="C9" s="24"/>
      <c r="D9" s="24"/>
      <c r="E9" s="137"/>
      <c r="F9" s="9"/>
      <c r="G9" s="9"/>
      <c r="H9" s="14" t="str">
        <f>"          tf="&amp;$D$48</f>
        <v>          tf=0.615</v>
      </c>
      <c r="I9" s="13"/>
      <c r="J9" s="36"/>
      <c r="K9" s="110">
        <v>0.75</v>
      </c>
      <c r="L9" s="73"/>
      <c r="M9" s="49" t="s">
        <v>188</v>
      </c>
      <c r="N9" s="104">
        <f>IF($D$12=36,58,IF($D$12=50,65))</f>
        <v>65</v>
      </c>
      <c r="O9" s="37" t="s">
        <v>212</v>
      </c>
      <c r="P9" s="37" t="str">
        <f>IF($D$12=36,"Fub = 58 for Fyb = 36","Fub = 65 for Fyb = 50")&amp;" (for beam)"</f>
        <v>Fub = 65 for Fyb = 50 (for beam)</v>
      </c>
      <c r="S9" s="36"/>
      <c r="T9" s="36"/>
      <c r="U9" s="36"/>
      <c r="V9" s="36"/>
      <c r="W9" s="268">
        <v>1</v>
      </c>
      <c r="X9" s="269">
        <v>8</v>
      </c>
      <c r="Y9" s="37"/>
      <c r="Z9" s="270">
        <v>1</v>
      </c>
      <c r="AA9" s="271">
        <v>51</v>
      </c>
      <c r="AB9" s="269">
        <v>64</v>
      </c>
      <c r="AC9" s="36"/>
      <c r="AD9" s="36"/>
      <c r="AE9" s="36"/>
      <c r="AF9" s="289" t="s">
        <v>457</v>
      </c>
      <c r="AG9" s="290">
        <v>67.7</v>
      </c>
      <c r="AH9" s="291">
        <v>42.9</v>
      </c>
      <c r="AI9" s="292">
        <v>0.71</v>
      </c>
      <c r="AJ9" s="291">
        <v>15.8</v>
      </c>
      <c r="AK9" s="293">
        <v>1.22</v>
      </c>
      <c r="AL9" s="294">
        <v>2.01</v>
      </c>
      <c r="AM9" s="36"/>
      <c r="AN9" s="34">
        <v>95</v>
      </c>
      <c r="AO9" s="47" t="str">
        <f>IF($D$17&gt;0,IF($D$21&gt;=$B$95,"ta &gt;= ta(req'd),  O.K.","ta &lt; ta(req'd), N.G."),"N.A.")</f>
        <v>N.A.</v>
      </c>
      <c r="AP9" s="28"/>
      <c r="AQ9" s="28"/>
      <c r="AR9" s="5">
        <f>IF($D$17&gt;0,$B$95/$D$21,"")</f>
      </c>
    </row>
    <row r="10" spans="1:44" ht="12.75">
      <c r="A10" s="18"/>
      <c r="B10" s="9"/>
      <c r="C10" s="43" t="s">
        <v>173</v>
      </c>
      <c r="D10" s="157" t="s">
        <v>325</v>
      </c>
      <c r="E10" s="44"/>
      <c r="F10" s="9"/>
      <c r="G10" s="27" t="str">
        <f>"     d="&amp;$D$45</f>
        <v>     d=21</v>
      </c>
      <c r="H10" s="14"/>
      <c r="I10" s="13"/>
      <c r="J10" s="25"/>
      <c r="K10" s="110">
        <v>0.875</v>
      </c>
      <c r="L10" s="32"/>
      <c r="M10" s="49" t="s">
        <v>24</v>
      </c>
      <c r="N10" s="108">
        <f>IF($D$13=36,58,IF($D$13=50,65))</f>
        <v>65</v>
      </c>
      <c r="O10" s="37" t="s">
        <v>212</v>
      </c>
      <c r="P10" s="37" t="str">
        <f>IF($D$13=36,"Fuc = 58 for Fyc = 36","Fuc = 65 for Fyc = 50")&amp;" (for column)"</f>
        <v>Fuc = 65 for Fyc = 50 (for column)</v>
      </c>
      <c r="S10" s="25"/>
      <c r="T10" s="25"/>
      <c r="U10" s="25"/>
      <c r="V10" s="25"/>
      <c r="W10" s="268">
        <v>1.125</v>
      </c>
      <c r="X10" s="269">
        <v>7</v>
      </c>
      <c r="Y10" s="37"/>
      <c r="Z10" s="270">
        <v>1.125</v>
      </c>
      <c r="AA10" s="271">
        <v>56</v>
      </c>
      <c r="AB10" s="269">
        <v>80</v>
      </c>
      <c r="AC10" s="25"/>
      <c r="AD10" s="25"/>
      <c r="AE10" s="25"/>
      <c r="AF10" s="289" t="s">
        <v>458</v>
      </c>
      <c r="AG10" s="295">
        <v>174</v>
      </c>
      <c r="AH10" s="291">
        <v>43</v>
      </c>
      <c r="AI10" s="293">
        <v>1.79</v>
      </c>
      <c r="AJ10" s="291">
        <v>16.7</v>
      </c>
      <c r="AK10" s="293">
        <v>3.23</v>
      </c>
      <c r="AL10" s="294">
        <v>4.41</v>
      </c>
      <c r="AM10" s="25"/>
      <c r="AN10" s="34">
        <v>98</v>
      </c>
      <c r="AO10" s="47" t="str">
        <f>IF($D$17&gt;0,IF($B$98&gt;=$D$17,"Ra &gt;= P,  O.K.","Ra &lt; P, N.G."),"N.A.")</f>
        <v>N.A.</v>
      </c>
      <c r="AP10" s="28"/>
      <c r="AQ10" s="28"/>
      <c r="AR10" s="5">
        <f>IF($D$17&gt;0,$D$17/$B$98,"")</f>
      </c>
    </row>
    <row r="11" spans="1:44" ht="12.75">
      <c r="A11" s="18"/>
      <c r="B11" s="9"/>
      <c r="C11" s="43" t="s">
        <v>134</v>
      </c>
      <c r="D11" s="158" t="s">
        <v>326</v>
      </c>
      <c r="E11" s="44"/>
      <c r="F11" s="9"/>
      <c r="G11" s="27"/>
      <c r="H11" s="9"/>
      <c r="I11" s="13"/>
      <c r="K11" s="110">
        <v>1</v>
      </c>
      <c r="L11" s="49"/>
      <c r="M11" s="93" t="s">
        <v>264</v>
      </c>
      <c r="N11" s="47"/>
      <c r="O11" s="47"/>
      <c r="P11" s="47"/>
      <c r="Q11" s="47"/>
      <c r="R11" s="47"/>
      <c r="W11" s="268">
        <v>1.25</v>
      </c>
      <c r="X11" s="269">
        <v>7</v>
      </c>
      <c r="Y11" s="37"/>
      <c r="Z11" s="270">
        <v>1.25</v>
      </c>
      <c r="AA11" s="271">
        <v>71</v>
      </c>
      <c r="AB11" s="269">
        <v>102</v>
      </c>
      <c r="AF11" s="289" t="s">
        <v>459</v>
      </c>
      <c r="AG11" s="295">
        <v>148</v>
      </c>
      <c r="AH11" s="291">
        <v>42.1</v>
      </c>
      <c r="AI11" s="293">
        <v>1.54</v>
      </c>
      <c r="AJ11" s="291">
        <v>16.4</v>
      </c>
      <c r="AK11" s="293">
        <v>2.76</v>
      </c>
      <c r="AL11" s="294">
        <v>3.94</v>
      </c>
      <c r="AN11" s="34">
        <v>109</v>
      </c>
      <c r="AO11" s="47" t="str">
        <f>IF($B$109&gt;=$D$16,"Rpv &gt;= R,  O.K.","Rpv &lt; R, N.G.")</f>
        <v>Rpv &gt;= R,  O.K.</v>
      </c>
      <c r="AP11" s="28"/>
      <c r="AQ11" s="28"/>
      <c r="AR11" s="5">
        <f>$D$16/$B$109</f>
        <v>0.2541043813153872</v>
      </c>
    </row>
    <row r="12" spans="1:44" ht="12.75">
      <c r="A12" s="48"/>
      <c r="B12" s="9"/>
      <c r="C12" s="43" t="s">
        <v>783</v>
      </c>
      <c r="D12" s="153">
        <v>50</v>
      </c>
      <c r="E12" s="105" t="s">
        <v>212</v>
      </c>
      <c r="F12" s="9"/>
      <c r="G12" s="9"/>
      <c r="H12" s="9"/>
      <c r="I12" s="26"/>
      <c r="K12" s="110">
        <v>1.125</v>
      </c>
      <c r="L12" s="49"/>
      <c r="M12" s="56" t="s">
        <v>257</v>
      </c>
      <c r="O12" s="56"/>
      <c r="P12" s="47"/>
      <c r="W12" s="268">
        <v>1.375</v>
      </c>
      <c r="X12" s="269">
        <v>6</v>
      </c>
      <c r="Y12" s="37"/>
      <c r="Z12" s="270">
        <v>1.375</v>
      </c>
      <c r="AA12" s="271">
        <v>85</v>
      </c>
      <c r="AB12" s="269">
        <v>121</v>
      </c>
      <c r="AF12" s="289" t="s">
        <v>460</v>
      </c>
      <c r="AG12" s="295">
        <v>127</v>
      </c>
      <c r="AH12" s="291">
        <v>41.3</v>
      </c>
      <c r="AI12" s="293">
        <v>1.34</v>
      </c>
      <c r="AJ12" s="291">
        <v>16.2</v>
      </c>
      <c r="AK12" s="293">
        <v>2.36</v>
      </c>
      <c r="AL12" s="294">
        <v>3.54</v>
      </c>
      <c r="AN12" s="34">
        <v>113</v>
      </c>
      <c r="AO12" s="47" t="str">
        <f>IF($B$113&gt;=$D$16,"Rvg &gt;= R,  O.K.","Rvg &lt; R, N.G.")</f>
        <v>Rvg &gt;= R,  O.K.</v>
      </c>
      <c r="AP12" s="28"/>
      <c r="AQ12" s="28"/>
      <c r="AR12" s="5">
        <f>$D$16/$B$113</f>
        <v>0.32206119162640906</v>
      </c>
    </row>
    <row r="13" spans="1:44" ht="12.75">
      <c r="A13" s="18"/>
      <c r="B13" s="9"/>
      <c r="C13" s="43" t="s">
        <v>135</v>
      </c>
      <c r="D13" s="154">
        <v>50</v>
      </c>
      <c r="E13" s="105" t="s">
        <v>212</v>
      </c>
      <c r="F13" s="88"/>
      <c r="G13" s="113" t="s">
        <v>27</v>
      </c>
      <c r="H13" s="44"/>
      <c r="I13" s="45"/>
      <c r="K13" s="110">
        <v>1.25</v>
      </c>
      <c r="L13" s="32"/>
      <c r="M13" s="32" t="s">
        <v>261</v>
      </c>
      <c r="N13" s="33">
        <f>2*$D$29</f>
        <v>8</v>
      </c>
      <c r="O13" s="30" t="s">
        <v>277</v>
      </c>
      <c r="P13" s="30" t="s">
        <v>121</v>
      </c>
      <c r="W13" s="272">
        <v>1.5</v>
      </c>
      <c r="X13" s="273">
        <v>6</v>
      </c>
      <c r="Y13" s="47"/>
      <c r="Z13" s="274">
        <v>1.5</v>
      </c>
      <c r="AA13" s="275">
        <v>103</v>
      </c>
      <c r="AB13" s="273">
        <v>148</v>
      </c>
      <c r="AF13" s="289" t="s">
        <v>461</v>
      </c>
      <c r="AG13" s="295">
        <v>117</v>
      </c>
      <c r="AH13" s="291">
        <v>41</v>
      </c>
      <c r="AI13" s="293">
        <v>1.22</v>
      </c>
      <c r="AJ13" s="291">
        <v>16.1</v>
      </c>
      <c r="AK13" s="293">
        <v>2.2</v>
      </c>
      <c r="AL13" s="294">
        <v>3.38</v>
      </c>
      <c r="AN13" s="34">
        <v>117</v>
      </c>
      <c r="AO13" s="47" t="str">
        <f>IF($B$117&gt;=$D$16,"Rvn &gt;= R,  O.K.","Rvn &lt; R, N.G.")</f>
        <v>Rvn &gt;= R,  O.K.</v>
      </c>
      <c r="AP13" s="28"/>
      <c r="AQ13" s="28"/>
      <c r="AR13" s="5">
        <f>$D$16/$B$117</f>
        <v>0.4086845466155812</v>
      </c>
    </row>
    <row r="14" spans="1:44" ht="12.75">
      <c r="A14" s="18"/>
      <c r="B14" s="9"/>
      <c r="C14" s="9"/>
      <c r="D14" s="9"/>
      <c r="E14" s="9"/>
      <c r="F14" s="23"/>
      <c r="G14" s="130" t="str">
        <f>"g="&amp;$D$33</f>
        <v>g=3.5</v>
      </c>
      <c r="H14" s="27" t="str">
        <f>"      tp="&amp;$D$21</f>
        <v>      tp=0.375</v>
      </c>
      <c r="I14" s="13"/>
      <c r="K14" s="110">
        <v>1.375</v>
      </c>
      <c r="L14" s="32"/>
      <c r="M14" s="32" t="s">
        <v>279</v>
      </c>
      <c r="N14" s="40">
        <f>$D$16/$N$13</f>
        <v>5</v>
      </c>
      <c r="O14" s="30" t="s">
        <v>211</v>
      </c>
      <c r="P14" s="30" t="s">
        <v>382</v>
      </c>
      <c r="Y14" s="37"/>
      <c r="AF14" s="289" t="s">
        <v>462</v>
      </c>
      <c r="AG14" s="295">
        <v>109</v>
      </c>
      <c r="AH14" s="291">
        <v>40.6</v>
      </c>
      <c r="AI14" s="293">
        <v>1.16</v>
      </c>
      <c r="AJ14" s="291">
        <v>16.1</v>
      </c>
      <c r="AK14" s="293">
        <v>2.05</v>
      </c>
      <c r="AL14" s="294">
        <v>3.23</v>
      </c>
      <c r="AN14" s="34">
        <v>123</v>
      </c>
      <c r="AO14" s="47" t="str">
        <f>IF($B$123&gt;=$D$16,"Rbs &gt;= R,  O.K.","Rbs &lt; R, N.G.")</f>
        <v>Rbs &gt;= R,  O.K.</v>
      </c>
      <c r="AP14" s="28"/>
      <c r="AQ14" s="28"/>
      <c r="AR14" s="5">
        <f>$D$16/$B$123</f>
        <v>0.40266767333585</v>
      </c>
    </row>
    <row r="15" spans="1:44" ht="12.75">
      <c r="A15" s="10" t="s">
        <v>199</v>
      </c>
      <c r="B15" s="9"/>
      <c r="C15" s="9"/>
      <c r="D15" s="9"/>
      <c r="E15" s="106"/>
      <c r="F15" s="14" t="str">
        <f>"ED="&amp;$D$32</f>
        <v>ED=1.25</v>
      </c>
      <c r="G15" s="9"/>
      <c r="H15" s="14"/>
      <c r="I15" s="128" t="s">
        <v>234</v>
      </c>
      <c r="K15" s="110">
        <v>1.5</v>
      </c>
      <c r="L15" s="32"/>
      <c r="M15" s="32" t="s">
        <v>201</v>
      </c>
      <c r="N15" s="40">
        <f>$N$14/$N$7</f>
        <v>8.315033761535757</v>
      </c>
      <c r="O15" s="30" t="s">
        <v>212</v>
      </c>
      <c r="P15" s="30" t="s">
        <v>383</v>
      </c>
      <c r="W15" s="276" t="s">
        <v>446</v>
      </c>
      <c r="X15" s="277"/>
      <c r="Y15" s="278"/>
      <c r="AA15" s="375" t="s">
        <v>447</v>
      </c>
      <c r="AB15" s="376"/>
      <c r="AC15" s="377"/>
      <c r="AF15" s="289" t="s">
        <v>463</v>
      </c>
      <c r="AG15" s="295">
        <v>107</v>
      </c>
      <c r="AH15" s="291">
        <v>40.6</v>
      </c>
      <c r="AI15" s="293">
        <v>1.12</v>
      </c>
      <c r="AJ15" s="291">
        <v>16</v>
      </c>
      <c r="AK15" s="293">
        <v>2.01</v>
      </c>
      <c r="AL15" s="294">
        <v>3.19</v>
      </c>
      <c r="AN15" s="92" t="s">
        <v>110</v>
      </c>
      <c r="AO15" s="47"/>
      <c r="AR15" s="5"/>
    </row>
    <row r="16" spans="1:44" ht="12.75">
      <c r="A16" s="18"/>
      <c r="B16" s="43"/>
      <c r="C16" s="43" t="s">
        <v>302</v>
      </c>
      <c r="D16" s="155">
        <v>40</v>
      </c>
      <c r="E16" s="117" t="s">
        <v>206</v>
      </c>
      <c r="F16" s="14"/>
      <c r="G16" s="36"/>
      <c r="H16" s="9"/>
      <c r="I16" s="126" t="str">
        <f>"        D1="&amp;$D$30</f>
        <v>        D1=3.25</v>
      </c>
      <c r="K16" s="33" t="s">
        <v>215</v>
      </c>
      <c r="L16" s="32"/>
      <c r="M16" s="49" t="s">
        <v>40</v>
      </c>
      <c r="N16" s="60">
        <f>$D$17/$N$13</f>
        <v>0</v>
      </c>
      <c r="O16" s="37" t="s">
        <v>211</v>
      </c>
      <c r="P16" s="37" t="s">
        <v>235</v>
      </c>
      <c r="W16" s="279" t="s">
        <v>448</v>
      </c>
      <c r="X16" s="279" t="s">
        <v>449</v>
      </c>
      <c r="Y16" s="279" t="s">
        <v>450</v>
      </c>
      <c r="AA16" s="263" t="s">
        <v>442</v>
      </c>
      <c r="AB16" s="263" t="s">
        <v>451</v>
      </c>
      <c r="AC16" s="263" t="s">
        <v>836</v>
      </c>
      <c r="AF16" s="289" t="s">
        <v>464</v>
      </c>
      <c r="AG16" s="290">
        <v>95.3</v>
      </c>
      <c r="AH16" s="291">
        <v>40.2</v>
      </c>
      <c r="AI16" s="293">
        <v>1</v>
      </c>
      <c r="AJ16" s="291">
        <v>15.9</v>
      </c>
      <c r="AK16" s="293">
        <v>1.81</v>
      </c>
      <c r="AL16" s="294">
        <v>2.99</v>
      </c>
      <c r="AN16" s="34">
        <v>136</v>
      </c>
      <c r="AO16" s="47" t="str">
        <f>IF($B$136&gt;=$B$127,"Rwr' &gt;= Pr,  O.K.","Rwr' &lt; Pr, N.G.")</f>
        <v>Rwr' &gt;= Pr,  O.K.</v>
      </c>
      <c r="AP16" s="28"/>
      <c r="AQ16" s="28"/>
      <c r="AR16" s="5">
        <f>$B$127/$B$136</f>
        <v>0.5256147256665216</v>
      </c>
    </row>
    <row r="17" spans="1:44" ht="12.75">
      <c r="A17" s="18"/>
      <c r="B17" s="43"/>
      <c r="C17" s="43" t="s">
        <v>269</v>
      </c>
      <c r="D17" s="156">
        <v>0</v>
      </c>
      <c r="E17" s="117" t="s">
        <v>206</v>
      </c>
      <c r="F17" s="113" t="str">
        <f>"Nr="&amp;$D$29&amp;"    "</f>
        <v>Nr=4    </v>
      </c>
      <c r="G17" s="14"/>
      <c r="H17" s="27" t="s">
        <v>263</v>
      </c>
      <c r="I17" s="131"/>
      <c r="K17" s="33" t="s">
        <v>58</v>
      </c>
      <c r="L17" s="49"/>
      <c r="M17" s="49" t="s">
        <v>39</v>
      </c>
      <c r="N17" s="60">
        <f>$N$16/$N$7</f>
        <v>0</v>
      </c>
      <c r="O17" s="37" t="s">
        <v>212</v>
      </c>
      <c r="P17" s="37" t="s">
        <v>171</v>
      </c>
      <c r="W17" s="280">
        <v>0.5</v>
      </c>
      <c r="X17" s="280">
        <v>0.5625</v>
      </c>
      <c r="Y17" s="280">
        <v>0.625</v>
      </c>
      <c r="AA17" s="264">
        <v>0.5</v>
      </c>
      <c r="AB17" s="378">
        <v>0.875</v>
      </c>
      <c r="AC17" s="379">
        <v>0.75</v>
      </c>
      <c r="AF17" s="289" t="s">
        <v>465</v>
      </c>
      <c r="AG17" s="290">
        <v>87.4</v>
      </c>
      <c r="AH17" s="291">
        <v>39.8</v>
      </c>
      <c r="AI17" s="292">
        <v>0.93</v>
      </c>
      <c r="AJ17" s="291">
        <v>15.8</v>
      </c>
      <c r="AK17" s="293">
        <v>1.65</v>
      </c>
      <c r="AL17" s="294">
        <v>2.83</v>
      </c>
      <c r="AN17" s="34">
        <v>130</v>
      </c>
      <c r="AO17" s="47" t="str">
        <f>IF($D$23&gt;=$B$130,"Weld(used) &gt;= weld(req'd), O.K.","Weld(used) &lt; weld(req'd), N.G.")</f>
        <v>Weld(used) &gt;= weld(req'd), O.K.</v>
      </c>
      <c r="AP17" s="28"/>
      <c r="AQ17" s="28"/>
      <c r="AR17" s="5">
        <f>$B$130/$D$23</f>
        <v>0.48984490285763266</v>
      </c>
    </row>
    <row r="18" spans="1:44" ht="12.75">
      <c r="A18" s="18"/>
      <c r="B18" s="9"/>
      <c r="C18" s="9"/>
      <c r="D18" s="9"/>
      <c r="E18" s="9"/>
      <c r="F18" s="113"/>
      <c r="G18" s="111"/>
      <c r="H18" s="14" t="s">
        <v>263</v>
      </c>
      <c r="I18" s="134" t="str">
        <f>"      P="&amp;$D$17&amp;" k"</f>
        <v>      P=0 k</v>
      </c>
      <c r="K18" s="33" t="s">
        <v>216</v>
      </c>
      <c r="L18" s="49"/>
      <c r="M18" s="73" t="s">
        <v>384</v>
      </c>
      <c r="N18" s="33" t="str">
        <f>IF($D$26="SC",IF($D$27="Class A",0.35,IF($D$27="Class B",0.5,"N.A.")),"N.A.")</f>
        <v>N.A.</v>
      </c>
      <c r="O18" s="33"/>
      <c r="P18" s="28">
        <f>IF($N$18="N.A.","",IF($N$18=0.35,"For unpainted clean mill scale steel surfaces","For unpainted blast-cleaned steel surfaces"))</f>
      </c>
      <c r="W18" s="281">
        <v>0.625</v>
      </c>
      <c r="X18" s="281">
        <v>0.6875</v>
      </c>
      <c r="Y18" s="281">
        <v>0.8125</v>
      </c>
      <c r="AA18" s="268">
        <v>0.625</v>
      </c>
      <c r="AB18" s="380">
        <v>1.125</v>
      </c>
      <c r="AC18" s="381">
        <v>0.875</v>
      </c>
      <c r="AF18" s="289" t="s">
        <v>466</v>
      </c>
      <c r="AG18" s="290">
        <v>81.4</v>
      </c>
      <c r="AH18" s="291">
        <v>39.7</v>
      </c>
      <c r="AI18" s="292">
        <v>0.83</v>
      </c>
      <c r="AJ18" s="291">
        <v>15.8</v>
      </c>
      <c r="AK18" s="293">
        <v>1.58</v>
      </c>
      <c r="AL18" s="294">
        <v>2.76</v>
      </c>
      <c r="AN18" s="34"/>
      <c r="AO18" s="42">
        <f>$D$23</f>
        <v>0.25</v>
      </c>
      <c r="AP18" s="42">
        <f>$B$130</f>
        <v>0.12246122571440816</v>
      </c>
      <c r="AQ18" s="28"/>
      <c r="AR18" s="5"/>
    </row>
    <row r="19" spans="1:44" ht="12.75">
      <c r="A19" s="10" t="s">
        <v>283</v>
      </c>
      <c r="B19" s="9"/>
      <c r="C19" s="9"/>
      <c r="D19" s="20"/>
      <c r="E19" s="106"/>
      <c r="F19" s="23"/>
      <c r="G19" s="115"/>
      <c r="H19" s="14" t="str">
        <f>"                 R=  "&amp;$D$16&amp;" k"</f>
        <v>                 R=  40 k</v>
      </c>
      <c r="I19" s="45"/>
      <c r="K19" s="33" t="s">
        <v>59</v>
      </c>
      <c r="L19" s="49"/>
      <c r="M19" s="32" t="s">
        <v>313</v>
      </c>
      <c r="N19" s="40" t="str">
        <f>IF($D$26="SC",IF($D$25="A325",VLOOKUP($D$24,$Z$5:$AA$13,2,FALSE),VLOOKUP($D$24,$Z$5:$AB$13,3,FALSE)),"N.A.")</f>
        <v>N.A.</v>
      </c>
      <c r="O19" s="30" t="s">
        <v>206</v>
      </c>
      <c r="P19" s="28">
        <f>IF($N$19="N.A.","","Tb = Minimum Bolt Pretension per Table J3.1, for SC bolts only")</f>
      </c>
      <c r="W19" s="281">
        <v>0.75</v>
      </c>
      <c r="X19" s="281">
        <v>0.8125</v>
      </c>
      <c r="Y19" s="281">
        <v>0.9375</v>
      </c>
      <c r="AA19" s="268">
        <v>0.75</v>
      </c>
      <c r="AB19" s="380">
        <v>1.25</v>
      </c>
      <c r="AC19" s="381">
        <v>1</v>
      </c>
      <c r="AF19" s="289" t="s">
        <v>467</v>
      </c>
      <c r="AG19" s="290">
        <v>73.3</v>
      </c>
      <c r="AH19" s="291">
        <v>39.4</v>
      </c>
      <c r="AI19" s="292">
        <v>0.75</v>
      </c>
      <c r="AJ19" s="291">
        <v>15.8</v>
      </c>
      <c r="AK19" s="293">
        <v>1.42</v>
      </c>
      <c r="AL19" s="294">
        <v>2.6</v>
      </c>
      <c r="AN19" s="34">
        <v>132</v>
      </c>
      <c r="AO19" s="47" t="str">
        <f>IF($D$23&lt;=$B$132,"Weld(used) &lt;= weld(max), O.K.","Weld(used) &gt; weld(max), N.G.")</f>
        <v>Weld(used) &lt;= weld(max), O.K.</v>
      </c>
      <c r="AP19" s="28"/>
      <c r="AQ19" s="28"/>
      <c r="AR19" s="5">
        <f>$D$23/$B$132</f>
        <v>0.8</v>
      </c>
    </row>
    <row r="20" spans="1:44" ht="12.75">
      <c r="A20" s="18"/>
      <c r="B20" s="9"/>
      <c r="C20" s="57" t="s">
        <v>75</v>
      </c>
      <c r="D20" s="358">
        <v>6</v>
      </c>
      <c r="E20" s="107" t="s">
        <v>229</v>
      </c>
      <c r="F20" s="113"/>
      <c r="G20" s="14"/>
      <c r="H20" s="9"/>
      <c r="I20" s="127"/>
      <c r="K20" s="33" t="s">
        <v>7</v>
      </c>
      <c r="L20" s="49"/>
      <c r="M20" s="49" t="s">
        <v>385</v>
      </c>
      <c r="N20" s="2">
        <f>IF($D$25="A325",IF($D$26="N",48,IF($D$26="X",60,IF($D$26="SC","N.A.","ERROR"))),IF($D$25="A490",IF($D$26="N",60,IF($D$26="X",75,IF($D$26="SC","N.A.","ERROR"))),"ERROR"))</f>
        <v>48</v>
      </c>
      <c r="O20" s="37" t="s">
        <v>212</v>
      </c>
      <c r="P20" s="71" t="str">
        <f>IF($D$25="A325",IF($D$26="N","Fnv  = Nominal shear stress for A325-N from AISC Table J3.2, page 16.1-104",IF($D$26="X","Fnv  = Nominal shear stress for A325-X from AISC Table J3.2, page 16.1-104",IF($D$26="SC","Fnv = not applicable for SC bolts","ERROR"))),IF($D$25="A490",IF($D$26="N","Fnv  = Nominal shear stress for A490-N from AISC Table J3.2, page 16.1-104",IF($D$26="X","Fnv  = Nominal shear stress for A490-X from AISC Table J3.2, page 16.1-104",IF($D$26="SC","Fnv = not applicable for SC bolts","ERROR"))),"ERROR"))</f>
        <v>Fnv  = Nominal shear stress for A325-N from AISC Table J3.2, page 16.1-104</v>
      </c>
      <c r="Q20" s="8"/>
      <c r="R20" s="8"/>
      <c r="W20" s="281">
        <v>0.875</v>
      </c>
      <c r="X20" s="281">
        <v>0.9375</v>
      </c>
      <c r="Y20" s="281">
        <v>1.0625</v>
      </c>
      <c r="AA20" s="268">
        <v>0.875</v>
      </c>
      <c r="AB20" s="380">
        <v>1.25</v>
      </c>
      <c r="AC20" s="381">
        <v>1.125</v>
      </c>
      <c r="AF20" s="289" t="s">
        <v>468</v>
      </c>
      <c r="AG20" s="290">
        <v>63.4</v>
      </c>
      <c r="AH20" s="291">
        <v>39</v>
      </c>
      <c r="AI20" s="292">
        <v>0.65</v>
      </c>
      <c r="AJ20" s="291">
        <v>15.8</v>
      </c>
      <c r="AK20" s="293">
        <v>1.22</v>
      </c>
      <c r="AL20" s="294">
        <v>2.4</v>
      </c>
      <c r="AN20" s="34"/>
      <c r="AO20" s="42">
        <f>$D$23</f>
        <v>0.25</v>
      </c>
      <c r="AP20" s="42">
        <f>$B$132</f>
        <v>0.3125</v>
      </c>
      <c r="AQ20" s="28"/>
      <c r="AR20" s="5"/>
    </row>
    <row r="21" spans="1:44" ht="12.75">
      <c r="A21" s="18"/>
      <c r="B21" s="9"/>
      <c r="C21" s="43" t="s">
        <v>73</v>
      </c>
      <c r="D21" s="160">
        <v>0.375</v>
      </c>
      <c r="E21" s="107" t="s">
        <v>229</v>
      </c>
      <c r="F21" s="9"/>
      <c r="G21" s="130" t="str">
        <f>"Lc="&amp;$D$20&amp;"  "</f>
        <v>Lc=6  </v>
      </c>
      <c r="H21" s="113"/>
      <c r="I21" s="100"/>
      <c r="K21" s="33" t="s">
        <v>391</v>
      </c>
      <c r="L21" s="110"/>
      <c r="M21" s="49" t="s">
        <v>386</v>
      </c>
      <c r="N21" s="2">
        <f>IF($D$26="SC","N.A.",IF(OR($N$17/($N$27/2)&lt;=0.2,$N$15/($N$20/2)&lt;=0.2),$N$20,MIN($N$20,1.3*$N$20-(2*$N$20/$N$27)*$N$17)))</f>
        <v>48</v>
      </c>
      <c r="O21" s="37" t="s">
        <v>212</v>
      </c>
      <c r="P21" s="71" t="str">
        <f>IF($N$21=$N$20,"Fnv' = Fnv (no reduction needed for comb. effects)","Fnv' = 1.3*Fnv - (2*Fnv/Fnt)*ft")</f>
        <v>Fnv' = Fnv (no reduction needed for comb. effects)</v>
      </c>
      <c r="Q21" s="8"/>
      <c r="R21" s="8"/>
      <c r="W21" s="281">
        <v>1</v>
      </c>
      <c r="X21" s="281">
        <v>1.0625</v>
      </c>
      <c r="Y21" s="281">
        <v>1.25</v>
      </c>
      <c r="AA21" s="268">
        <v>1</v>
      </c>
      <c r="AB21" s="380">
        <v>1.25</v>
      </c>
      <c r="AC21" s="381">
        <v>1.25</v>
      </c>
      <c r="AF21" s="289" t="s">
        <v>469</v>
      </c>
      <c r="AG21" s="290">
        <v>58.5</v>
      </c>
      <c r="AH21" s="291">
        <v>38.7</v>
      </c>
      <c r="AI21" s="292">
        <v>0.65</v>
      </c>
      <c r="AJ21" s="291">
        <v>15.8</v>
      </c>
      <c r="AK21" s="293">
        <v>1.07</v>
      </c>
      <c r="AL21" s="294">
        <v>2.25</v>
      </c>
      <c r="AN21" s="353" t="str">
        <f>IF(AND($D$34=0,$D$35=0,$D$36=0),$M$78,IF(AND($D$34&gt;0,$D$35&gt;0,$D$36=0),$M$87,IF(AND($D$34&gt;0,$D$35&gt;0,$D$36&gt;0),$M$109)))</f>
        <v>Beam Checks for Uncoped Flanges:</v>
      </c>
      <c r="AR21" s="5"/>
    </row>
    <row r="22" spans="1:44" ht="12.75">
      <c r="A22" s="18"/>
      <c r="B22" s="9"/>
      <c r="C22" s="43" t="s">
        <v>74</v>
      </c>
      <c r="D22" s="153">
        <v>36</v>
      </c>
      <c r="E22" s="105" t="s">
        <v>212</v>
      </c>
      <c r="F22" s="54"/>
      <c r="G22" s="9"/>
      <c r="H22" s="27"/>
      <c r="I22" s="53"/>
      <c r="K22" s="33" t="s">
        <v>393</v>
      </c>
      <c r="L22" s="110"/>
      <c r="M22" s="32" t="s">
        <v>214</v>
      </c>
      <c r="N22" s="60">
        <f>IF($D$25="A325",IF($D$26="SC",IF($D$28="Standard",(1/1.76)*$N$18*1.13*1*$N$19*1/$N$7,(1/1.76)*$N$18*1.13*0.85*$N$19*1/$N$7),$N$21/2),IF($D$25="A490",IF($D$26="SC",IF($D$28="Standard",(1/1.76)*$N$18*1.13*1*$N$19*1/$N$7,(1/1.76)*$N$18*1.13*0.85*$N$19*1/$N$7),$N$21/2)))</f>
        <v>24</v>
      </c>
      <c r="O22" s="30" t="s">
        <v>212</v>
      </c>
      <c r="P22" s="71" t="str">
        <f>IF($C$14="SC","Fv = Rn / Ab, see Sect. J3.8 (allowable bolt shear stress)","Fv = Fnv' / 2 (allowable bolt shear stress)")</f>
        <v>Fv = Fnv' / 2 (allowable bolt shear stress)</v>
      </c>
      <c r="R22" s="8"/>
      <c r="W22" s="282" t="str">
        <f>IF($D$24&gt;=1.125,$D$24,"N.A.")</f>
        <v>N.A.</v>
      </c>
      <c r="X22" s="283" t="str">
        <f>IF($W$22="N.A.","N.A.",$W$22+1/16)</f>
        <v>N.A.</v>
      </c>
      <c r="Y22" s="283" t="str">
        <f>IF($W$22="N.A.","N.A.",$W$22+5/16)</f>
        <v>N.A.</v>
      </c>
      <c r="AA22" s="268">
        <v>1.125</v>
      </c>
      <c r="AB22" s="380">
        <v>2</v>
      </c>
      <c r="AC22" s="381">
        <v>1.5</v>
      </c>
      <c r="AF22" s="289" t="s">
        <v>470</v>
      </c>
      <c r="AG22" s="295">
        <v>115</v>
      </c>
      <c r="AH22" s="291">
        <v>41.6</v>
      </c>
      <c r="AI22" s="293">
        <v>1.42</v>
      </c>
      <c r="AJ22" s="291">
        <v>12.4</v>
      </c>
      <c r="AK22" s="293">
        <v>2.52</v>
      </c>
      <c r="AL22" s="294">
        <v>3.7</v>
      </c>
      <c r="AN22" s="34">
        <v>143</v>
      </c>
      <c r="AO22" s="47" t="str">
        <f>IF($AR$22="","N.A.",IF($B$143&gt;=$D$16,"Rvn &gt;= R,  O.K.","Rvn &lt; R, N.G."))</f>
        <v>N.A.</v>
      </c>
      <c r="AP22" s="28"/>
      <c r="AQ22" s="28"/>
      <c r="AR22" s="5">
        <f>IF(AND($D$34=0,$D$35=0,$D$36=0),"",$D$16/$B$143)</f>
      </c>
    </row>
    <row r="23" spans="1:44" ht="12.75">
      <c r="A23" s="18"/>
      <c r="B23" s="9"/>
      <c r="C23" s="43" t="s">
        <v>3</v>
      </c>
      <c r="D23" s="359">
        <v>0.25</v>
      </c>
      <c r="E23" s="106" t="s">
        <v>229</v>
      </c>
      <c r="F23" s="54"/>
      <c r="G23" s="9"/>
      <c r="H23" s="9"/>
      <c r="I23" s="53"/>
      <c r="K23" s="33" t="s">
        <v>395</v>
      </c>
      <c r="L23" s="110"/>
      <c r="M23" s="32" t="s">
        <v>387</v>
      </c>
      <c r="N23" s="60" t="str">
        <f>IF($D$26="SC",1-(1.5*$D$17)/(1.13*$N$19*$N$13),"N.A.")</f>
        <v>N.A.</v>
      </c>
      <c r="O23" s="8"/>
      <c r="P23" s="37" t="str">
        <f>IF($D$26="SC","ks = 1- (1.5*P) / (1.13*Tb*Nb) (Eqn J3-5b)","ks = not applicable for N or X bolts")</f>
        <v>ks = not applicable for N or X bolts</v>
      </c>
      <c r="Q23" s="8"/>
      <c r="R23" s="8"/>
      <c r="W23" s="38"/>
      <c r="X23" s="38"/>
      <c r="Y23" s="38"/>
      <c r="AA23" s="268">
        <v>1.25</v>
      </c>
      <c r="AB23" s="380">
        <v>2.25</v>
      </c>
      <c r="AC23" s="381">
        <v>1.625</v>
      </c>
      <c r="AF23" s="289" t="s">
        <v>471</v>
      </c>
      <c r="AG23" s="290">
        <v>97.5</v>
      </c>
      <c r="AH23" s="291">
        <v>40.8</v>
      </c>
      <c r="AI23" s="293">
        <v>1.22</v>
      </c>
      <c r="AJ23" s="291">
        <v>12.2</v>
      </c>
      <c r="AK23" s="293">
        <v>2.13</v>
      </c>
      <c r="AL23" s="294">
        <v>3.31</v>
      </c>
      <c r="AN23" s="15">
        <v>147</v>
      </c>
      <c r="AO23" s="47" t="str">
        <f>IF($D$17&gt;0,IF($B$147&gt;=$D$17,"Rtn &gt;= P,  O.K.","Rtn &lt; P, N.G."),"N.A.")</f>
        <v>N.A.</v>
      </c>
      <c r="AR23" s="5">
        <f>IF($D$17&gt;0,$D$17/$B$147,"")</f>
      </c>
    </row>
    <row r="24" spans="1:44" ht="12.75">
      <c r="A24" s="18"/>
      <c r="B24" s="9"/>
      <c r="C24" s="43" t="s">
        <v>116</v>
      </c>
      <c r="D24" s="160">
        <v>0.875</v>
      </c>
      <c r="E24" s="107" t="s">
        <v>229</v>
      </c>
      <c r="F24" s="99" t="s">
        <v>202</v>
      </c>
      <c r="G24" s="21"/>
      <c r="H24" s="1"/>
      <c r="I24" s="11"/>
      <c r="J24" s="36"/>
      <c r="K24" s="33" t="s">
        <v>8</v>
      </c>
      <c r="L24" s="33"/>
      <c r="M24" s="32" t="s">
        <v>198</v>
      </c>
      <c r="N24" s="40">
        <f>IF($D$26="SC",$N$23*$N$22*$N$7,$N$7*$N$22)</f>
        <v>14.431691252428111</v>
      </c>
      <c r="O24" s="37" t="s">
        <v>211</v>
      </c>
      <c r="P24" s="37" t="str">
        <f>IF($C$14="SC","Vb = ks*Ab*Fv (see Sect. J3.8, allowable shear/bolt)","Vb = Ab*Fv (allowable shear/bolt)")</f>
        <v>Vb = Ab*Fv (allowable shear/bolt)</v>
      </c>
      <c r="R24" s="8"/>
      <c r="S24" s="36"/>
      <c r="T24" s="36"/>
      <c r="U24" s="36"/>
      <c r="V24" s="36"/>
      <c r="W24" s="49"/>
      <c r="X24" s="49"/>
      <c r="Y24" s="49"/>
      <c r="AA24" s="272" t="str">
        <f>IF($D$24&gt;1.25,$D$24,"N.A.")</f>
        <v>N.A.</v>
      </c>
      <c r="AB24" s="382" t="str">
        <f>IF($D$24&gt;1.25,1.75*$D$24,"N.A.")</f>
        <v>N.A.</v>
      </c>
      <c r="AC24" s="383" t="str">
        <f>IF($D$24&gt;1.25,1.25*$D$24,"N.A.")</f>
        <v>N.A.</v>
      </c>
      <c r="AD24" s="36"/>
      <c r="AE24" s="36"/>
      <c r="AF24" s="289" t="s">
        <v>472</v>
      </c>
      <c r="AG24" s="290">
        <v>96</v>
      </c>
      <c r="AH24" s="291">
        <v>40.8</v>
      </c>
      <c r="AI24" s="293">
        <v>1.18</v>
      </c>
      <c r="AJ24" s="291">
        <v>12.1</v>
      </c>
      <c r="AK24" s="293">
        <v>2.13</v>
      </c>
      <c r="AL24" s="294">
        <v>3.31</v>
      </c>
      <c r="AM24" s="36"/>
      <c r="AN24" s="15">
        <v>156</v>
      </c>
      <c r="AO24" s="47" t="str">
        <f>IF(AND($D$34=0,$D$35=0,$D$36=0),"N.A.",IF($B$156&gt;=$D$16,"Rwb &gt;= R,  O.K.","Rwb &lt; R, N.G."))</f>
        <v>N.A.</v>
      </c>
      <c r="AR24" s="5">
        <f>IF(AND($D$34=0,$D$35=0,$D$36=0),"",$D$16/$B$156)</f>
      </c>
    </row>
    <row r="25" spans="1:44" ht="12.75">
      <c r="A25" s="18"/>
      <c r="B25" s="9"/>
      <c r="C25" s="61" t="s">
        <v>56</v>
      </c>
      <c r="D25" s="153" t="s">
        <v>215</v>
      </c>
      <c r="E25" s="114"/>
      <c r="F25" s="9"/>
      <c r="G25" s="9"/>
      <c r="H25" s="9"/>
      <c r="I25" s="13"/>
      <c r="J25" s="36"/>
      <c r="K25" s="33" t="s">
        <v>118</v>
      </c>
      <c r="L25" s="33"/>
      <c r="M25" s="32" t="s">
        <v>303</v>
      </c>
      <c r="N25" s="40">
        <f>$N$13*$N$24</f>
        <v>115.45353001942489</v>
      </c>
      <c r="O25" s="30" t="s">
        <v>206</v>
      </c>
      <c r="P25" s="28" t="s">
        <v>388</v>
      </c>
      <c r="R25" s="60"/>
      <c r="S25" s="36"/>
      <c r="T25" s="36"/>
      <c r="U25" s="36"/>
      <c r="V25" s="36"/>
      <c r="W25" s="36"/>
      <c r="X25" s="36"/>
      <c r="Y25" s="36"/>
      <c r="Z25" s="36"/>
      <c r="AA25" s="36"/>
      <c r="AB25" s="36"/>
      <c r="AC25" s="36"/>
      <c r="AD25" s="36"/>
      <c r="AE25" s="36"/>
      <c r="AF25" s="289" t="s">
        <v>473</v>
      </c>
      <c r="AG25" s="290">
        <v>86.3</v>
      </c>
      <c r="AH25" s="291">
        <v>40.4</v>
      </c>
      <c r="AI25" s="293">
        <v>1.06</v>
      </c>
      <c r="AJ25" s="291">
        <v>12</v>
      </c>
      <c r="AK25" s="293">
        <v>1.93</v>
      </c>
      <c r="AL25" s="294">
        <v>3.11</v>
      </c>
      <c r="AM25" s="36"/>
      <c r="AN25" s="15">
        <v>170</v>
      </c>
      <c r="AO25" s="47" t="str">
        <f>IF(AND($D$34=0,$D$35=0,$D$36=0),"N.A.",IF($B$170&gt;=$D$16,"Rwb &gt;= R,  O.K.","Rwb &lt; R, N.G."))</f>
        <v>N.A.</v>
      </c>
      <c r="AR25" s="5">
        <f>IF(AND($D$34=0,$D$35=0,$D$36=0),"",$D$16/$B$170)</f>
      </c>
    </row>
    <row r="26" spans="1:44" ht="12.75">
      <c r="A26" s="18"/>
      <c r="B26" s="9"/>
      <c r="C26" s="43" t="s">
        <v>57</v>
      </c>
      <c r="D26" s="153" t="s">
        <v>216</v>
      </c>
      <c r="E26" s="114"/>
      <c r="F26" s="23"/>
      <c r="G26" s="130" t="str">
        <f>"tw="&amp;$B$46</f>
        <v>tw=0.355</v>
      </c>
      <c r="H26" s="14" t="str">
        <f>"      c="&amp;$D$34</f>
        <v>      c=0</v>
      </c>
      <c r="I26" s="128"/>
      <c r="J26" s="36"/>
      <c r="K26" s="33">
        <v>1</v>
      </c>
      <c r="L26" s="33"/>
      <c r="M26" s="32" t="s">
        <v>290</v>
      </c>
      <c r="N26" s="70">
        <f>PI()/4*($D$24-0.9743/VLOOKUP($D$24,$W$5:$X$13,2,FALSE))^2</f>
        <v>0.4617332579068646</v>
      </c>
      <c r="O26" s="30" t="s">
        <v>210</v>
      </c>
      <c r="P26" s="30" t="s">
        <v>389</v>
      </c>
      <c r="Q26" s="8"/>
      <c r="R26" s="8"/>
      <c r="S26" s="36"/>
      <c r="T26" s="36"/>
      <c r="U26" s="36"/>
      <c r="V26" s="36"/>
      <c r="W26" s="36"/>
      <c r="X26" s="36"/>
      <c r="Y26" s="36"/>
      <c r="Z26" s="36"/>
      <c r="AA26" s="36"/>
      <c r="AB26" s="36"/>
      <c r="AC26" s="36"/>
      <c r="AD26" s="36"/>
      <c r="AE26" s="36"/>
      <c r="AF26" s="289" t="s">
        <v>474</v>
      </c>
      <c r="AG26" s="290">
        <v>82</v>
      </c>
      <c r="AH26" s="291">
        <v>40.2</v>
      </c>
      <c r="AI26" s="293">
        <v>1.03</v>
      </c>
      <c r="AJ26" s="291">
        <v>12</v>
      </c>
      <c r="AK26" s="293">
        <v>1.81</v>
      </c>
      <c r="AL26" s="294">
        <v>2.99</v>
      </c>
      <c r="AM26" s="36"/>
      <c r="AN26" s="31" t="s">
        <v>158</v>
      </c>
      <c r="AR26" s="5"/>
    </row>
    <row r="27" spans="1:44" ht="12.75">
      <c r="A27" s="18"/>
      <c r="B27" s="9"/>
      <c r="C27" s="43" t="s">
        <v>380</v>
      </c>
      <c r="D27" s="153" t="s">
        <v>391</v>
      </c>
      <c r="E27" s="9"/>
      <c r="F27" s="14" t="str">
        <f>"tf="&amp;$B$48</f>
        <v>tf=0.57</v>
      </c>
      <c r="G27" s="27"/>
      <c r="H27" s="14"/>
      <c r="I27" s="128" t="str">
        <f>"        dc1="&amp;$D$35</f>
        <v>        dc1=0</v>
      </c>
      <c r="J27" s="36"/>
      <c r="K27" s="33">
        <v>2</v>
      </c>
      <c r="L27" s="33"/>
      <c r="M27" s="49" t="s">
        <v>390</v>
      </c>
      <c r="N27" s="2">
        <f>IF($D$25="A325",90,IF($D$25="A490",113,"ERROR"))</f>
        <v>90</v>
      </c>
      <c r="O27" s="37" t="s">
        <v>212</v>
      </c>
      <c r="P27" s="71" t="str">
        <f>IF($D$25="A325","Fnt  = Nominal tension stress for A325 bolts from AISC Table J3.2, page 16.1-104",IF($D$25="A490","Fnt  = Nominal tension stress for A490 bolts from AISC Table J3.2, page 16.1-104","ERROR"))</f>
        <v>Fnt  = Nominal tension stress for A325 bolts from AISC Table J3.2, page 16.1-104</v>
      </c>
      <c r="Q27" s="8"/>
      <c r="R27" s="8"/>
      <c r="S27" s="36"/>
      <c r="T27" s="36"/>
      <c r="U27" s="36"/>
      <c r="V27" s="36"/>
      <c r="W27" s="36"/>
      <c r="X27" s="36"/>
      <c r="Y27" s="36"/>
      <c r="Z27" s="36"/>
      <c r="AA27" s="36"/>
      <c r="AB27" s="36"/>
      <c r="AC27" s="36"/>
      <c r="AD27" s="36"/>
      <c r="AE27" s="36"/>
      <c r="AF27" s="289" t="s">
        <v>475</v>
      </c>
      <c r="AG27" s="290">
        <v>77.6</v>
      </c>
      <c r="AH27" s="291">
        <v>40</v>
      </c>
      <c r="AI27" s="292">
        <v>0.96</v>
      </c>
      <c r="AJ27" s="291">
        <v>11.9</v>
      </c>
      <c r="AK27" s="293">
        <v>1.73</v>
      </c>
      <c r="AL27" s="294">
        <v>2.91</v>
      </c>
      <c r="AM27" s="36"/>
      <c r="AN27" s="15">
        <v>186</v>
      </c>
      <c r="AO27" s="47" t="str">
        <f>IF($D$17&gt;0,IF($D$48&gt;=$B$186,"tf &gt;= tf(req'd),  O.K.","tf &lt; tf(req'd), N.G."),"N.A.")</f>
        <v>N.A.</v>
      </c>
      <c r="AR27" s="5">
        <f>IF($D$17&gt;0,$B$186/$D$48,"")</f>
      </c>
    </row>
    <row r="28" spans="1:44" ht="12.75">
      <c r="A28" s="18"/>
      <c r="B28" s="9"/>
      <c r="C28" s="43" t="s">
        <v>105</v>
      </c>
      <c r="D28" s="153" t="s">
        <v>8</v>
      </c>
      <c r="E28" s="114"/>
      <c r="F28" s="14"/>
      <c r="G28" s="36"/>
      <c r="H28" s="9"/>
      <c r="I28" s="126"/>
      <c r="J28" s="36"/>
      <c r="K28" s="33">
        <v>3</v>
      </c>
      <c r="L28" s="33"/>
      <c r="M28" s="49" t="s">
        <v>392</v>
      </c>
      <c r="N28" s="2">
        <f>IF($D$26="SC","N.A.",IF(OR($N$17/($N$27/2)&lt;=0.2,$N$15/($N$20/2)&lt;=0.2),$N$27,MIN($N$27,1.3*$N$27-(2*$N$27/$N$20)*$N$15)))</f>
        <v>90</v>
      </c>
      <c r="O28" s="37" t="s">
        <v>212</v>
      </c>
      <c r="P28" s="71" t="str">
        <f>IF($N$28=$N$27,"Fnt' = Fnt (no reduction needed for comb. effects","Fnt' = 1.3*Fnt - (2*Fnt/Fnv)*fv")</f>
        <v>Fnt' = Fnt (no reduction needed for comb. effects</v>
      </c>
      <c r="Q28" s="8"/>
      <c r="R28" s="8"/>
      <c r="S28" s="36"/>
      <c r="T28" s="36"/>
      <c r="U28" s="36"/>
      <c r="V28" s="36"/>
      <c r="W28" s="36"/>
      <c r="X28" s="36"/>
      <c r="Y28" s="36"/>
      <c r="Z28" s="36"/>
      <c r="AA28" s="36"/>
      <c r="AB28" s="36"/>
      <c r="AC28" s="36"/>
      <c r="AD28" s="36"/>
      <c r="AE28" s="36"/>
      <c r="AF28" s="289" t="s">
        <v>476</v>
      </c>
      <c r="AG28" s="290">
        <v>69</v>
      </c>
      <c r="AH28" s="291">
        <v>39.7</v>
      </c>
      <c r="AI28" s="292">
        <v>0.83</v>
      </c>
      <c r="AJ28" s="291">
        <v>11.9</v>
      </c>
      <c r="AK28" s="293">
        <v>1.58</v>
      </c>
      <c r="AL28" s="294">
        <v>2.76</v>
      </c>
      <c r="AM28" s="36"/>
      <c r="AN28" s="15">
        <v>189</v>
      </c>
      <c r="AO28" s="47" t="str">
        <f>IF($D$17&gt;0,IF($B$189&gt;=$D$17,"Ra &gt;= P,  O.K.","Ra &lt; P, N.G."),"N.A.")</f>
        <v>N.A.</v>
      </c>
      <c r="AR28" s="5">
        <f>IF($D$17&gt;0,$D$17/$B$189,"")</f>
      </c>
    </row>
    <row r="29" spans="1:44" ht="12.75">
      <c r="A29" s="18"/>
      <c r="B29" s="9"/>
      <c r="C29" s="43" t="s">
        <v>190</v>
      </c>
      <c r="D29" s="153">
        <v>4</v>
      </c>
      <c r="E29" s="107"/>
      <c r="F29" s="113"/>
      <c r="G29" s="14"/>
      <c r="H29" s="27"/>
      <c r="I29" s="131"/>
      <c r="J29" s="36"/>
      <c r="K29" s="33">
        <v>4</v>
      </c>
      <c r="M29" s="49" t="s">
        <v>300</v>
      </c>
      <c r="N29" s="60">
        <f>IF($D$26="SC",$N$27/2,$N$28/2)</f>
        <v>45</v>
      </c>
      <c r="O29" s="37" t="s">
        <v>212</v>
      </c>
      <c r="P29" s="47" t="s">
        <v>394</v>
      </c>
      <c r="Q29" s="8"/>
      <c r="R29" s="8"/>
      <c r="S29" s="36"/>
      <c r="T29" s="36"/>
      <c r="U29" s="36"/>
      <c r="V29" s="36"/>
      <c r="W29" s="36"/>
      <c r="X29" s="36"/>
      <c r="Y29" s="36"/>
      <c r="Z29" s="36"/>
      <c r="AA29" s="36"/>
      <c r="AB29" s="36"/>
      <c r="AC29" s="36"/>
      <c r="AD29" s="36"/>
      <c r="AE29" s="36"/>
      <c r="AF29" s="289" t="s">
        <v>477</v>
      </c>
      <c r="AG29" s="290">
        <v>62</v>
      </c>
      <c r="AH29" s="291">
        <v>39.4</v>
      </c>
      <c r="AI29" s="292">
        <v>0.75</v>
      </c>
      <c r="AJ29" s="291">
        <v>11.8</v>
      </c>
      <c r="AK29" s="293">
        <v>1.42</v>
      </c>
      <c r="AL29" s="294">
        <v>2.6</v>
      </c>
      <c r="AM29" s="36"/>
      <c r="AN29" s="15">
        <v>193</v>
      </c>
      <c r="AO29" s="47" t="str">
        <f>IF($D$16&gt;0,IF($B$193&gt;=$D$16,"Rpc &gt;= R,  O.K.","Rpc &lt; R, N.G."),"N.A.")</f>
        <v>Rpc &gt;= R,  O.K.</v>
      </c>
      <c r="AR29" s="5">
        <f>IF($D$16&gt;0,$D$16/$B$193,"")</f>
        <v>0.11912207034158255</v>
      </c>
    </row>
    <row r="30" spans="1:44" ht="12.75">
      <c r="A30" s="18"/>
      <c r="B30" s="9"/>
      <c r="C30" s="91" t="s">
        <v>2</v>
      </c>
      <c r="D30" s="159">
        <v>3.25</v>
      </c>
      <c r="E30" s="107" t="s">
        <v>229</v>
      </c>
      <c r="F30" s="113" t="str">
        <f>"d="&amp;$B$45&amp;"       "</f>
        <v>d=18       </v>
      </c>
      <c r="G30" s="111"/>
      <c r="H30" s="27"/>
      <c r="I30" s="134"/>
      <c r="J30" s="36"/>
      <c r="K30" s="33">
        <v>5</v>
      </c>
      <c r="M30" s="49" t="s">
        <v>779</v>
      </c>
      <c r="N30" s="2">
        <f>$N$29*$N$7</f>
        <v>27.059421098302707</v>
      </c>
      <c r="O30" s="37" t="s">
        <v>211</v>
      </c>
      <c r="P30" s="71" t="s">
        <v>112</v>
      </c>
      <c r="R30" s="8"/>
      <c r="S30" s="36"/>
      <c r="T30" s="36"/>
      <c r="U30" s="36"/>
      <c r="V30" s="36"/>
      <c r="W30" s="36"/>
      <c r="X30" s="36"/>
      <c r="Y30" s="36"/>
      <c r="Z30" s="36"/>
      <c r="AA30" s="36"/>
      <c r="AB30" s="36"/>
      <c r="AC30" s="36"/>
      <c r="AD30" s="36"/>
      <c r="AE30" s="36"/>
      <c r="AF30" s="289" t="s">
        <v>478</v>
      </c>
      <c r="AG30" s="290">
        <v>53.3</v>
      </c>
      <c r="AH30" s="291">
        <v>39</v>
      </c>
      <c r="AI30" s="292">
        <v>0.65</v>
      </c>
      <c r="AJ30" s="291">
        <v>11.8</v>
      </c>
      <c r="AK30" s="293">
        <v>1.2</v>
      </c>
      <c r="AL30" s="294">
        <v>2.38</v>
      </c>
      <c r="AM30" s="36"/>
      <c r="AN30" s="15">
        <v>198</v>
      </c>
      <c r="AO30" s="47" t="str">
        <f>IF($D$17&gt;0,IF($B$198&gt;=$D$17,"Rwy &gt;= P,  O.K.","Rwy &lt; P, N.G."),"N.A.")</f>
        <v>N.A.</v>
      </c>
      <c r="AR30" s="5">
        <f>IF($D$17&gt;0,$D$17/$B$198,"")</f>
      </c>
    </row>
    <row r="31" spans="1:44" ht="12.75">
      <c r="A31" s="18"/>
      <c r="B31" s="9"/>
      <c r="C31" s="43" t="s">
        <v>106</v>
      </c>
      <c r="D31" s="159">
        <v>3</v>
      </c>
      <c r="E31" s="107" t="s">
        <v>229</v>
      </c>
      <c r="F31" s="23"/>
      <c r="G31" s="115"/>
      <c r="H31" s="27"/>
      <c r="I31" s="45"/>
      <c r="J31" s="36"/>
      <c r="K31" s="33">
        <v>6</v>
      </c>
      <c r="M31" s="32" t="s">
        <v>268</v>
      </c>
      <c r="N31" s="60">
        <f>$N$13*$N$30</f>
        <v>216.47536878642165</v>
      </c>
      <c r="O31" s="30" t="s">
        <v>206</v>
      </c>
      <c r="P31" s="30" t="s">
        <v>327</v>
      </c>
      <c r="S31" s="36"/>
      <c r="T31" s="36"/>
      <c r="U31" s="36"/>
      <c r="V31" s="36"/>
      <c r="W31" s="36"/>
      <c r="X31" s="36"/>
      <c r="Y31" s="36"/>
      <c r="Z31" s="36"/>
      <c r="AA31" s="36"/>
      <c r="AB31" s="36"/>
      <c r="AC31" s="36"/>
      <c r="AD31" s="36"/>
      <c r="AE31" s="36"/>
      <c r="AF31" s="289" t="s">
        <v>479</v>
      </c>
      <c r="AG31" s="290">
        <v>49.2</v>
      </c>
      <c r="AH31" s="291">
        <v>38.6</v>
      </c>
      <c r="AI31" s="292">
        <v>0.65</v>
      </c>
      <c r="AJ31" s="291">
        <v>11.8</v>
      </c>
      <c r="AK31" s="293">
        <v>1.03</v>
      </c>
      <c r="AL31" s="294">
        <v>2.21</v>
      </c>
      <c r="AM31" s="36"/>
      <c r="AN31" s="15">
        <v>203</v>
      </c>
      <c r="AO31" s="47" t="str">
        <f>IF($D$17&gt;0,IF($B$203&gt;=$D$17,"Ra &gt;= P,  O.K.","Ra &lt; P, N.G."),"N.A.")</f>
        <v>N.A.</v>
      </c>
      <c r="AR31" s="5">
        <f>IF($D$17&gt;0,$D$17/$B$203,"")</f>
      </c>
    </row>
    <row r="32" spans="1:44" ht="12.75">
      <c r="A32" s="18"/>
      <c r="B32" s="9"/>
      <c r="C32" s="43" t="s">
        <v>107</v>
      </c>
      <c r="D32" s="159">
        <v>1.25</v>
      </c>
      <c r="E32" s="105" t="s">
        <v>229</v>
      </c>
      <c r="F32" s="14"/>
      <c r="G32" s="14"/>
      <c r="H32" s="9"/>
      <c r="I32" s="127"/>
      <c r="J32" s="36"/>
      <c r="K32" s="33">
        <v>7</v>
      </c>
      <c r="L32" s="33"/>
      <c r="M32" s="37" t="s">
        <v>114</v>
      </c>
      <c r="S32" s="36"/>
      <c r="T32" s="36"/>
      <c r="U32" s="36"/>
      <c r="V32" s="36"/>
      <c r="W32" s="36"/>
      <c r="X32" s="36"/>
      <c r="Y32" s="36"/>
      <c r="Z32" s="36"/>
      <c r="AA32" s="36"/>
      <c r="AB32" s="36"/>
      <c r="AC32" s="36"/>
      <c r="AD32" s="36"/>
      <c r="AE32" s="36"/>
      <c r="AF32" s="289" t="s">
        <v>480</v>
      </c>
      <c r="AG32" s="290">
        <v>43.8</v>
      </c>
      <c r="AH32" s="291">
        <v>38.2</v>
      </c>
      <c r="AI32" s="292">
        <v>0.63</v>
      </c>
      <c r="AJ32" s="291">
        <v>11.8</v>
      </c>
      <c r="AK32" s="292">
        <v>0.83</v>
      </c>
      <c r="AL32" s="294">
        <v>2.01</v>
      </c>
      <c r="AM32" s="36"/>
      <c r="AN32" s="15">
        <v>210</v>
      </c>
      <c r="AO32" s="47" t="str">
        <f>IF($D$17&gt;0,IF($D$37&gt;0,IF($B$209&lt;=$B$210,"Weld size &lt;= weld max., O.K.","Weld size &gt; weld max."),"N.A."),"N.A.")</f>
        <v>N.A.</v>
      </c>
      <c r="AR32" s="5">
        <f>IF($D$17&gt;0,IF($D$37&gt;0,$B$209/$B$210,""),"")</f>
      </c>
    </row>
    <row r="33" spans="1:42" ht="12.75">
      <c r="A33" s="18"/>
      <c r="B33" s="9"/>
      <c r="C33" s="57" t="s">
        <v>108</v>
      </c>
      <c r="D33" s="163">
        <f>$D$20-2*$D$32</f>
        <v>3.5</v>
      </c>
      <c r="E33" s="319" t="s">
        <v>229</v>
      </c>
      <c r="F33" s="9"/>
      <c r="G33" s="12" t="str">
        <f>"  bf="&amp;$B$47</f>
        <v>  bf=7.5</v>
      </c>
      <c r="H33" s="12"/>
      <c r="I33" s="116" t="str">
        <f>"        dc2="&amp;$D$36</f>
        <v>        dc2=0</v>
      </c>
      <c r="J33" s="36"/>
      <c r="K33" s="33">
        <v>8</v>
      </c>
      <c r="L33" s="33"/>
      <c r="M33" s="32" t="s">
        <v>16</v>
      </c>
      <c r="N33" s="38" t="str">
        <f>IF($D$17&gt;0,MIN($D$31,$D$31/2+$D$32),"N.A.")</f>
        <v>N.A.</v>
      </c>
      <c r="O33" s="37" t="s">
        <v>229</v>
      </c>
      <c r="P33" s="30" t="s">
        <v>111</v>
      </c>
      <c r="S33" s="36"/>
      <c r="T33" s="36"/>
      <c r="U33" s="36"/>
      <c r="V33" s="36"/>
      <c r="W33" s="36"/>
      <c r="X33" s="36"/>
      <c r="Y33" s="36"/>
      <c r="Z33" s="36"/>
      <c r="AA33" s="36"/>
      <c r="AB33" s="36"/>
      <c r="AC33" s="36"/>
      <c r="AD33" s="36"/>
      <c r="AE33" s="36"/>
      <c r="AF33" s="289" t="s">
        <v>481</v>
      </c>
      <c r="AG33" s="295">
        <v>236</v>
      </c>
      <c r="AH33" s="291">
        <v>42.6</v>
      </c>
      <c r="AI33" s="293">
        <v>2.38</v>
      </c>
      <c r="AJ33" s="291">
        <v>18</v>
      </c>
      <c r="AK33" s="293">
        <v>4.29</v>
      </c>
      <c r="AL33" s="294">
        <v>5.24</v>
      </c>
      <c r="AM33" s="36"/>
      <c r="AO33" s="42" t="str">
        <f>$B$209</f>
        <v>N.A.</v>
      </c>
      <c r="AP33" s="42" t="str">
        <f>$B$210</f>
        <v>N.A.</v>
      </c>
    </row>
    <row r="34" spans="1:39" ht="12.75">
      <c r="A34" s="18"/>
      <c r="B34" s="9"/>
      <c r="C34" s="43" t="s">
        <v>28</v>
      </c>
      <c r="D34" s="159">
        <v>0</v>
      </c>
      <c r="E34" s="107" t="s">
        <v>229</v>
      </c>
      <c r="F34" s="54"/>
      <c r="G34" s="9"/>
      <c r="H34" s="27" t="str">
        <f>"      c="&amp;IF($D$36&gt;0,$D$34,0)</f>
        <v>      c=0</v>
      </c>
      <c r="I34" s="53"/>
      <c r="J34" s="36"/>
      <c r="K34" s="33">
        <v>9</v>
      </c>
      <c r="L34" s="33"/>
      <c r="M34" s="49" t="s">
        <v>780</v>
      </c>
      <c r="N34" s="7" t="str">
        <f>IF($D$17&gt;0,($D$33-$B$46)/2,"N.A.")</f>
        <v>N.A.</v>
      </c>
      <c r="O34" s="30" t="s">
        <v>229</v>
      </c>
      <c r="P34" s="30" t="s">
        <v>396</v>
      </c>
      <c r="R34" s="8"/>
      <c r="S34" s="36"/>
      <c r="T34" s="36"/>
      <c r="U34" s="36"/>
      <c r="V34" s="36"/>
      <c r="W34" s="36"/>
      <c r="X34" s="36"/>
      <c r="Y34" s="36"/>
      <c r="Z34" s="36"/>
      <c r="AA34" s="36"/>
      <c r="AB34" s="36"/>
      <c r="AC34" s="36"/>
      <c r="AD34" s="36"/>
      <c r="AE34" s="36"/>
      <c r="AF34" s="289" t="s">
        <v>482</v>
      </c>
      <c r="AG34" s="295">
        <v>192</v>
      </c>
      <c r="AH34" s="291">
        <v>41.1</v>
      </c>
      <c r="AI34" s="293">
        <v>1.97</v>
      </c>
      <c r="AJ34" s="291">
        <v>17.6</v>
      </c>
      <c r="AK34" s="293">
        <v>3.54</v>
      </c>
      <c r="AL34" s="294">
        <v>4.49</v>
      </c>
      <c r="AM34" s="36"/>
    </row>
    <row r="35" spans="1:39" ht="12.75">
      <c r="A35" s="18"/>
      <c r="B35" s="9"/>
      <c r="C35" s="43" t="s">
        <v>11</v>
      </c>
      <c r="D35" s="159">
        <v>0</v>
      </c>
      <c r="E35" s="107" t="s">
        <v>229</v>
      </c>
      <c r="F35" s="99" t="s">
        <v>203</v>
      </c>
      <c r="G35" s="21"/>
      <c r="H35" s="1"/>
      <c r="I35" s="11"/>
      <c r="J35" s="36"/>
      <c r="K35" s="33">
        <v>10</v>
      </c>
      <c r="L35" s="33"/>
      <c r="M35" s="49" t="s">
        <v>781</v>
      </c>
      <c r="N35" s="69" t="str">
        <f>IF($D$17&gt;0,$N$34-$D$24/2,"N.A.")</f>
        <v>N.A.</v>
      </c>
      <c r="O35" s="30" t="s">
        <v>229</v>
      </c>
      <c r="P35" s="30" t="s">
        <v>226</v>
      </c>
      <c r="R35" s="8"/>
      <c r="S35" s="36"/>
      <c r="T35" s="36"/>
      <c r="U35" s="36"/>
      <c r="V35" s="36"/>
      <c r="W35" s="36"/>
      <c r="X35" s="36"/>
      <c r="Y35" s="36"/>
      <c r="Z35" s="36"/>
      <c r="AA35" s="36"/>
      <c r="AB35" s="36"/>
      <c r="AC35" s="36"/>
      <c r="AD35" s="36"/>
      <c r="AE35" s="36"/>
      <c r="AF35" s="289" t="s">
        <v>483</v>
      </c>
      <c r="AG35" s="295">
        <v>156</v>
      </c>
      <c r="AH35" s="291">
        <v>39.8</v>
      </c>
      <c r="AI35" s="293">
        <v>1.61</v>
      </c>
      <c r="AJ35" s="291">
        <v>17.2</v>
      </c>
      <c r="AK35" s="293">
        <v>2.91</v>
      </c>
      <c r="AL35" s="294">
        <v>3.86</v>
      </c>
      <c r="AM35" s="36"/>
    </row>
    <row r="36" spans="1:39" ht="12.75">
      <c r="A36" s="18"/>
      <c r="B36" s="9"/>
      <c r="C36" s="43" t="s">
        <v>12</v>
      </c>
      <c r="D36" s="159">
        <v>0</v>
      </c>
      <c r="E36" s="107" t="s">
        <v>229</v>
      </c>
      <c r="F36" s="9"/>
      <c r="G36" s="9"/>
      <c r="H36" s="9"/>
      <c r="I36" s="13"/>
      <c r="J36" s="36"/>
      <c r="K36" s="83">
        <v>11</v>
      </c>
      <c r="L36" s="33"/>
      <c r="M36" s="49" t="s">
        <v>782</v>
      </c>
      <c r="N36" s="69" t="str">
        <f>IF($D$17&gt;0,MIN(($D$47-$D$33)/2,($D$20-$D$33)/2,1.25*$N$34),"N.A.")</f>
        <v>N.A.</v>
      </c>
      <c r="O36" s="30" t="s">
        <v>229</v>
      </c>
      <c r="P36" s="30" t="s">
        <v>76</v>
      </c>
      <c r="R36" s="8"/>
      <c r="S36" s="36"/>
      <c r="T36" s="36"/>
      <c r="U36" s="36"/>
      <c r="V36" s="36"/>
      <c r="W36" s="36"/>
      <c r="X36" s="36"/>
      <c r="Y36" s="36"/>
      <c r="Z36" s="36"/>
      <c r="AA36" s="36"/>
      <c r="AB36" s="36"/>
      <c r="AC36" s="36"/>
      <c r="AD36" s="36"/>
      <c r="AE36" s="36"/>
      <c r="AF36" s="289" t="s">
        <v>484</v>
      </c>
      <c r="AG36" s="295">
        <v>143</v>
      </c>
      <c r="AH36" s="291">
        <v>39.3</v>
      </c>
      <c r="AI36" s="293">
        <v>1.5</v>
      </c>
      <c r="AJ36" s="291">
        <v>17.1</v>
      </c>
      <c r="AK36" s="293">
        <v>2.68</v>
      </c>
      <c r="AL36" s="294">
        <v>3.63</v>
      </c>
      <c r="AM36" s="36"/>
    </row>
    <row r="37" spans="1:39" ht="12.75">
      <c r="A37" s="18"/>
      <c r="B37" s="9"/>
      <c r="C37" s="43" t="s">
        <v>50</v>
      </c>
      <c r="D37" s="159">
        <v>0</v>
      </c>
      <c r="E37" s="106" t="s">
        <v>229</v>
      </c>
      <c r="F37" s="351" t="s">
        <v>238</v>
      </c>
      <c r="G37" s="9"/>
      <c r="H37" s="9"/>
      <c r="I37" s="13"/>
      <c r="J37" s="36"/>
      <c r="K37" s="83">
        <v>12</v>
      </c>
      <c r="L37" s="33"/>
      <c r="M37" s="32" t="s">
        <v>125</v>
      </c>
      <c r="N37" s="70" t="str">
        <f>IF($D$17&gt;0,$N$36+$D$24/2,"N.A.")</f>
        <v>N.A.</v>
      </c>
      <c r="O37" s="30" t="s">
        <v>229</v>
      </c>
      <c r="P37" s="30" t="s">
        <v>231</v>
      </c>
      <c r="R37" s="8"/>
      <c r="S37" s="36"/>
      <c r="T37" s="36"/>
      <c r="U37" s="36"/>
      <c r="V37" s="36"/>
      <c r="W37" s="36"/>
      <c r="X37" s="36"/>
      <c r="Y37" s="36"/>
      <c r="Z37" s="36"/>
      <c r="AA37" s="36"/>
      <c r="AB37" s="36"/>
      <c r="AC37" s="36"/>
      <c r="AD37" s="36"/>
      <c r="AE37" s="36"/>
      <c r="AF37" s="289" t="s">
        <v>485</v>
      </c>
      <c r="AG37" s="295">
        <v>130</v>
      </c>
      <c r="AH37" s="291">
        <v>38.9</v>
      </c>
      <c r="AI37" s="293">
        <v>1.36</v>
      </c>
      <c r="AJ37" s="291">
        <v>17</v>
      </c>
      <c r="AK37" s="293">
        <v>2.44</v>
      </c>
      <c r="AL37" s="294">
        <v>3.39</v>
      </c>
      <c r="AM37" s="36"/>
    </row>
    <row r="38" spans="1:38" ht="12.75">
      <c r="A38" s="18"/>
      <c r="B38" s="9"/>
      <c r="C38" s="43" t="s">
        <v>51</v>
      </c>
      <c r="D38" s="161">
        <v>36</v>
      </c>
      <c r="E38" s="106" t="s">
        <v>229</v>
      </c>
      <c r="F38" s="57" t="s">
        <v>239</v>
      </c>
      <c r="G38" s="144">
        <f>MIN($B$74,$B$109,$B$113,$B$117,$B$123,$B$136,$B$143,$B$156,$B$170,$B$193)</f>
        <v>76.10136863893376</v>
      </c>
      <c r="H38" s="115" t="s">
        <v>206</v>
      </c>
      <c r="I38" s="352"/>
      <c r="K38" s="83" t="s">
        <v>267</v>
      </c>
      <c r="L38" s="33"/>
      <c r="M38" s="73" t="s">
        <v>126</v>
      </c>
      <c r="N38" s="70" t="str">
        <f>IF($D$17&gt;0,$N$35/$N$37,"N.A.")</f>
        <v>N.A.</v>
      </c>
      <c r="P38" s="74" t="s">
        <v>220</v>
      </c>
      <c r="R38" s="8"/>
      <c r="AF38" s="289" t="s">
        <v>486</v>
      </c>
      <c r="AG38" s="295">
        <v>116</v>
      </c>
      <c r="AH38" s="291">
        <v>38.4</v>
      </c>
      <c r="AI38" s="293">
        <v>1.22</v>
      </c>
      <c r="AJ38" s="291">
        <v>16.8</v>
      </c>
      <c r="AK38" s="293">
        <v>2.2</v>
      </c>
      <c r="AL38" s="294">
        <v>3.15</v>
      </c>
    </row>
    <row r="39" spans="1:38" ht="12.75">
      <c r="A39" s="18"/>
      <c r="B39" s="9"/>
      <c r="C39" s="9"/>
      <c r="D39" s="9"/>
      <c r="E39" s="9"/>
      <c r="F39" s="57" t="s">
        <v>240</v>
      </c>
      <c r="G39" s="168">
        <f>$D$16</f>
        <v>40</v>
      </c>
      <c r="H39" s="115" t="s">
        <v>206</v>
      </c>
      <c r="I39" s="352"/>
      <c r="K39" s="83" t="s">
        <v>53</v>
      </c>
      <c r="L39" s="33"/>
      <c r="M39" s="32" t="s">
        <v>217</v>
      </c>
      <c r="N39" s="110" t="str">
        <f>IF($D$17&gt;0,IF($D$28="Standard",VLOOKUP($D$24,$W$17:$X$22,2,FALSE),IF($D$28="Oversized",VLOOKUP($D$24,$W$17:$Y$22,3,FALSE),0)),"N.A.")</f>
        <v>N.A.</v>
      </c>
      <c r="O39" s="30" t="s">
        <v>229</v>
      </c>
      <c r="P39" s="30" t="s">
        <v>397</v>
      </c>
      <c r="R39" s="8"/>
      <c r="AF39" s="289" t="s">
        <v>487</v>
      </c>
      <c r="AG39" s="295">
        <v>106</v>
      </c>
      <c r="AH39" s="291">
        <v>38</v>
      </c>
      <c r="AI39" s="293">
        <v>1.12</v>
      </c>
      <c r="AJ39" s="291">
        <v>16.7</v>
      </c>
      <c r="AK39" s="293">
        <v>2.01</v>
      </c>
      <c r="AL39" s="294">
        <v>2.96</v>
      </c>
    </row>
    <row r="40" spans="1:38" ht="12.75">
      <c r="A40" s="18"/>
      <c r="B40" s="9"/>
      <c r="C40" s="9"/>
      <c r="D40" s="9"/>
      <c r="E40" s="9"/>
      <c r="F40" s="57" t="s">
        <v>241</v>
      </c>
      <c r="G40" s="144">
        <f>$G$39/$G$38</f>
        <v>0.5256147256665216</v>
      </c>
      <c r="H40" s="85"/>
      <c r="I40" s="251" t="str">
        <f>IF($G$40&lt;=1,"S.R. &lt;= 1.0,  O.K.","S.R. &gt; 1.0, N.G.")</f>
        <v>S.R. &lt;= 1.0,  O.K.</v>
      </c>
      <c r="K40" s="110">
        <v>0.125</v>
      </c>
      <c r="L40" s="33"/>
      <c r="M40" s="73" t="s">
        <v>127</v>
      </c>
      <c r="N40" s="70" t="str">
        <f>IF($D$17&gt;0,1-$N$39/$N$33,"N.A.")</f>
        <v>N.A.</v>
      </c>
      <c r="P40" s="74" t="s">
        <v>299</v>
      </c>
      <c r="R40" s="8"/>
      <c r="AF40" s="289" t="s">
        <v>488</v>
      </c>
      <c r="AG40" s="290">
        <v>97</v>
      </c>
      <c r="AH40" s="291">
        <v>37.7</v>
      </c>
      <c r="AI40" s="293">
        <v>1.02</v>
      </c>
      <c r="AJ40" s="291">
        <v>16.6</v>
      </c>
      <c r="AK40" s="293">
        <v>1.85</v>
      </c>
      <c r="AL40" s="294">
        <v>2.8</v>
      </c>
    </row>
    <row r="41" spans="1:38" ht="12.75">
      <c r="A41" s="18"/>
      <c r="B41" s="9"/>
      <c r="C41" s="9"/>
      <c r="D41" s="9"/>
      <c r="E41" s="9"/>
      <c r="F41" s="79">
        <f>IF(($D$29-1)*$D$31+2*$D$32&lt;($B$45-2*$B$49)/2,"Connection Length &lt; (d-2*k)/2","")</f>
      </c>
      <c r="G41" s="9"/>
      <c r="H41" s="9"/>
      <c r="I41" s="53"/>
      <c r="K41" s="110">
        <v>0.1875</v>
      </c>
      <c r="L41" s="33"/>
      <c r="M41" s="73" t="s">
        <v>192</v>
      </c>
      <c r="N41" s="42" t="str">
        <f>IF($N$16&gt;0,(1/$N$38)*(MAX($N$30,$N$30)/$N$16-1),"N.A.")</f>
        <v>N.A.</v>
      </c>
      <c r="P41" s="74" t="s">
        <v>281</v>
      </c>
      <c r="R41" s="8"/>
      <c r="AF41" s="289" t="s">
        <v>489</v>
      </c>
      <c r="AG41" s="290">
        <v>88.8</v>
      </c>
      <c r="AH41" s="291">
        <v>37.3</v>
      </c>
      <c r="AI41" s="292">
        <v>0.945</v>
      </c>
      <c r="AJ41" s="291">
        <v>16.7</v>
      </c>
      <c r="AK41" s="293">
        <v>1.68</v>
      </c>
      <c r="AL41" s="294">
        <v>2.63</v>
      </c>
    </row>
    <row r="42" spans="1:39" ht="12.75">
      <c r="A42" s="63" t="s">
        <v>64</v>
      </c>
      <c r="B42" s="9"/>
      <c r="C42" s="9"/>
      <c r="D42" s="9"/>
      <c r="E42" s="9"/>
      <c r="F42" s="96">
        <f>IF(AND($D$34=0,$D$35=0,$D$36=0),IF($B$45&lt;($D$29-1)*$D$31+2*$D$32+2*$D$23+2*$B$49,"Connection too long, reduce Nr!",""),IF(AND($D$34&gt;0,$D$35&gt;0,$D$36=0),IF($B$45-$D$35&lt;($D$29-1)*$D$31+2*$D$32+2*$D$23+1*$B$49,"Connection too long, reduce Nr!",""),IF(AND($D$34&gt;0,$D$35&gt;0,$D$36&gt;0),IF($B$45-($D$35+$D$36)&lt;($D$29-1)*$D$31+2*$D$32+2*$D$23,"Connection too long, reduce Nr!",""))))</f>
      </c>
      <c r="G42" s="9"/>
      <c r="H42" s="9"/>
      <c r="I42" s="53"/>
      <c r="J42" s="36"/>
      <c r="K42" s="110">
        <v>0.25</v>
      </c>
      <c r="L42" s="33"/>
      <c r="M42" s="73" t="s">
        <v>219</v>
      </c>
      <c r="N42" s="70" t="str">
        <f>IF($N$16&gt;0,IF($N$41&gt;=1,1,MIN(1,(1/$N$40)*($N$41/(1-$N$41)))),"N.A.")</f>
        <v>N.A.</v>
      </c>
      <c r="P42" s="47" t="s">
        <v>258</v>
      </c>
      <c r="R42" s="8"/>
      <c r="S42" s="36"/>
      <c r="T42" s="36"/>
      <c r="U42" s="36"/>
      <c r="V42" s="36"/>
      <c r="W42" s="36"/>
      <c r="X42" s="36"/>
      <c r="Y42" s="36"/>
      <c r="Z42" s="36"/>
      <c r="AA42" s="36"/>
      <c r="AB42" s="36"/>
      <c r="AC42" s="36"/>
      <c r="AD42" s="36"/>
      <c r="AE42" s="36"/>
      <c r="AF42" s="289" t="s">
        <v>490</v>
      </c>
      <c r="AG42" s="290">
        <v>82.9</v>
      </c>
      <c r="AH42" s="291">
        <v>37.1</v>
      </c>
      <c r="AI42" s="292">
        <v>0.885</v>
      </c>
      <c r="AJ42" s="291">
        <v>16.6</v>
      </c>
      <c r="AK42" s="293">
        <v>1.57</v>
      </c>
      <c r="AL42" s="294">
        <v>2.52</v>
      </c>
      <c r="AM42" s="36"/>
    </row>
    <row r="43" spans="1:40" ht="12.75">
      <c r="A43" s="18"/>
      <c r="B43" s="87" t="s">
        <v>65</v>
      </c>
      <c r="C43" s="9"/>
      <c r="D43" s="87" t="s">
        <v>137</v>
      </c>
      <c r="E43" s="9"/>
      <c r="F43" s="79">
        <f>IF(AND($D$34&gt;0,$D$34&gt;2*$B$45),"c MUST BE &lt;= 2*d = "&amp;2*$B$45&amp;" in.!","")</f>
      </c>
      <c r="G43" s="95"/>
      <c r="H43" s="9"/>
      <c r="I43" s="53"/>
      <c r="J43" s="36"/>
      <c r="K43" s="110">
        <v>0.3125</v>
      </c>
      <c r="L43" s="33"/>
      <c r="M43" s="32" t="s">
        <v>800</v>
      </c>
      <c r="N43" s="38" t="str">
        <f>IF($N$16&gt;0,SQRT(6.66*$N$16*$N$35/($N$33*$N$8*(1+$N$40*$N$42))),"N.A.")</f>
        <v>N.A.</v>
      </c>
      <c r="O43" s="30" t="s">
        <v>229</v>
      </c>
      <c r="P43" s="30" t="s">
        <v>799</v>
      </c>
      <c r="R43" s="8"/>
      <c r="S43" s="36"/>
      <c r="T43" s="36"/>
      <c r="U43" s="36"/>
      <c r="V43" s="36"/>
      <c r="W43" s="36"/>
      <c r="X43" s="36"/>
      <c r="Y43" s="36"/>
      <c r="Z43" s="36"/>
      <c r="AA43" s="36"/>
      <c r="AB43" s="36"/>
      <c r="AC43" s="36"/>
      <c r="AD43" s="36"/>
      <c r="AE43" s="36"/>
      <c r="AF43" s="289" t="s">
        <v>491</v>
      </c>
      <c r="AG43" s="290">
        <v>77</v>
      </c>
      <c r="AH43" s="291">
        <v>36.9</v>
      </c>
      <c r="AI43" s="292">
        <v>0.84</v>
      </c>
      <c r="AJ43" s="291">
        <v>16.6</v>
      </c>
      <c r="AK43" s="293">
        <v>1.44</v>
      </c>
      <c r="AL43" s="294">
        <v>2.39</v>
      </c>
      <c r="AM43" s="36"/>
      <c r="AN43" s="49"/>
    </row>
    <row r="44" spans="1:40" ht="12.75">
      <c r="A44" s="61" t="s">
        <v>200</v>
      </c>
      <c r="B44" s="162">
        <f>VLOOKUP($D$10,$AF$6:$AL$406,ROWS(B$44:B44)+1,FALSE)</f>
        <v>14.7</v>
      </c>
      <c r="C44" s="57" t="s">
        <v>200</v>
      </c>
      <c r="D44" s="162">
        <f>VLOOKUP($D$11,$AF$6:$AL$336,ROWS(D$44:D44)+1,FALSE)</f>
        <v>18.3</v>
      </c>
      <c r="E44" s="107" t="s">
        <v>210</v>
      </c>
      <c r="F44" s="79">
        <f>IF(AND($D$35&gt;0,$D$36=0,$D$35&gt;$B$45/2),"dc1 MUST BE &lt;= d/2 = "&amp;$B$45/2&amp;" in.!",IF(AND($D$35&gt;0,$D$36&gt;0,$D$35&gt;0.2*$B$45),"dc1 MUST BE &lt;= 0.2*d = "&amp;0.2*$B$45&amp;" in.!",""))</f>
      </c>
      <c r="G44" s="9"/>
      <c r="H44" s="9"/>
      <c r="I44" s="64"/>
      <c r="J44" s="36"/>
      <c r="L44" s="33"/>
      <c r="M44" s="32" t="s">
        <v>218</v>
      </c>
      <c r="N44" s="38" t="str">
        <f>IF($N$16&gt;0,SQRT(6.66*IF($D$26="SC",$N$30,$N$30)*$N$35/($N$33*$N$8)),"N.A.")</f>
        <v>N.A.</v>
      </c>
      <c r="O44" s="30" t="s">
        <v>229</v>
      </c>
      <c r="P44" s="47" t="s">
        <v>84</v>
      </c>
      <c r="R44" s="8"/>
      <c r="S44" s="36"/>
      <c r="T44" s="36"/>
      <c r="U44" s="36"/>
      <c r="V44" s="36"/>
      <c r="W44" s="36"/>
      <c r="X44" s="36"/>
      <c r="Y44" s="36"/>
      <c r="Z44" s="36"/>
      <c r="AA44" s="36"/>
      <c r="AB44" s="36"/>
      <c r="AC44" s="36"/>
      <c r="AD44" s="36"/>
      <c r="AE44" s="36"/>
      <c r="AF44" s="289" t="s">
        <v>492</v>
      </c>
      <c r="AG44" s="290">
        <v>72.5</v>
      </c>
      <c r="AH44" s="291">
        <v>36.7</v>
      </c>
      <c r="AI44" s="292">
        <v>0.8</v>
      </c>
      <c r="AJ44" s="291">
        <v>16.5</v>
      </c>
      <c r="AK44" s="293">
        <v>1.35</v>
      </c>
      <c r="AL44" s="294">
        <v>2.3</v>
      </c>
      <c r="AM44" s="36"/>
      <c r="AN44" s="49"/>
    </row>
    <row r="45" spans="1:40" ht="12.75">
      <c r="A45" s="68" t="s">
        <v>115</v>
      </c>
      <c r="B45" s="320">
        <f>VLOOKUP($D$10,$AF$6:$AL$406,ROWS(B$44:B45)+1,FALSE)</f>
        <v>18</v>
      </c>
      <c r="C45" s="57" t="s">
        <v>115</v>
      </c>
      <c r="D45" s="320">
        <f>VLOOKUP($D$11,$AF$6:$AL$336,ROWS(D$44:D45)+1,FALSE)</f>
        <v>21</v>
      </c>
      <c r="E45" s="107" t="s">
        <v>229</v>
      </c>
      <c r="F45" s="79">
        <f>IF(AND($D$36&gt;0,$D$36&gt;0.2*$B$45),"dc2 MUST BE &lt;= 0.2*d = "&amp;0.2*$B$45&amp;" in.!","")</f>
      </c>
      <c r="G45" s="9"/>
      <c r="H45" s="9"/>
      <c r="I45" s="53"/>
      <c r="J45" s="36"/>
      <c r="L45" s="33"/>
      <c r="M45" s="73" t="s">
        <v>219</v>
      </c>
      <c r="N45" s="70" t="str">
        <f>IF($N$16&gt;0,1/($N$40*(1+$N$38))*(($N$44/$D$21)^2-1),"N.A.")</f>
        <v>N.A.</v>
      </c>
      <c r="P45" s="74" t="s">
        <v>804</v>
      </c>
      <c r="R45" s="8"/>
      <c r="S45" s="36"/>
      <c r="T45" s="36"/>
      <c r="U45" s="36"/>
      <c r="V45" s="36"/>
      <c r="W45" s="36"/>
      <c r="X45" s="36"/>
      <c r="Y45" s="36"/>
      <c r="Z45" s="36"/>
      <c r="AA45" s="36"/>
      <c r="AB45" s="36"/>
      <c r="AC45" s="36"/>
      <c r="AD45" s="36"/>
      <c r="AE45" s="36"/>
      <c r="AF45" s="289" t="s">
        <v>493</v>
      </c>
      <c r="AG45" s="290">
        <v>68.1</v>
      </c>
      <c r="AH45" s="291">
        <v>36.5</v>
      </c>
      <c r="AI45" s="292">
        <v>0.76</v>
      </c>
      <c r="AJ45" s="291">
        <v>16.5</v>
      </c>
      <c r="AK45" s="293">
        <v>1.26</v>
      </c>
      <c r="AL45" s="294">
        <v>2.21</v>
      </c>
      <c r="AM45" s="36"/>
      <c r="AN45" s="49"/>
    </row>
    <row r="46" spans="1:40" ht="12.75">
      <c r="A46" s="68" t="s">
        <v>312</v>
      </c>
      <c r="B46" s="163">
        <f>VLOOKUP($D$10,$AF$6:$AL$406,ROWS(B$44:B46)+1,FALSE)</f>
        <v>0.355</v>
      </c>
      <c r="C46" s="57" t="s">
        <v>312</v>
      </c>
      <c r="D46" s="163">
        <f>VLOOKUP($D$11,$AF$6:$AL$336,ROWS(D$44:D46)+1,FALSE)</f>
        <v>0.4</v>
      </c>
      <c r="E46" s="107" t="s">
        <v>229</v>
      </c>
      <c r="F46" s="79">
        <f>IF(AND($D$35&gt;0,$D$35&lt;$B$49),"dc1 MUST BE &gt;= k = "&amp;$B$49&amp;" in.!","")</f>
      </c>
      <c r="G46" s="9"/>
      <c r="H46" s="9"/>
      <c r="I46" s="65"/>
      <c r="J46" s="36"/>
      <c r="L46" s="33"/>
      <c r="M46" s="32" t="s">
        <v>237</v>
      </c>
      <c r="N46" s="40" t="str">
        <f>IF($N$16&gt;0,IF($N$45&lt;0,IF($D$26="SC",$N$13*$N$30,$N$13*$N$30),IF($N$45&lt;=1,IF($D$26="SC",$N$13*$N$30,$N$13*$N$30)*($D$21/$N$44)^2*(1+$N$40*$N$45),IF($N$45&gt;1,IF($D$26="SC",$N$13*$N$30,$N$13*$N$30)*($D$21/$N$44)^2*(1+$N$40)))),"N.A.")</f>
        <v>N.A.</v>
      </c>
      <c r="O46" s="30" t="s">
        <v>206</v>
      </c>
      <c r="P46" s="36" t="s">
        <v>805</v>
      </c>
      <c r="R46" s="8"/>
      <c r="S46" s="36"/>
      <c r="T46" s="36"/>
      <c r="U46" s="36"/>
      <c r="V46" s="36"/>
      <c r="W46" s="36"/>
      <c r="X46" s="36"/>
      <c r="Y46" s="36"/>
      <c r="Z46" s="36"/>
      <c r="AA46" s="36"/>
      <c r="AB46" s="36"/>
      <c r="AC46" s="36"/>
      <c r="AD46" s="36"/>
      <c r="AE46" s="36"/>
      <c r="AF46" s="289" t="s">
        <v>494</v>
      </c>
      <c r="AG46" s="290">
        <v>75.4</v>
      </c>
      <c r="AH46" s="291">
        <v>37.4</v>
      </c>
      <c r="AI46" s="292">
        <v>0.96</v>
      </c>
      <c r="AJ46" s="291">
        <v>12.2</v>
      </c>
      <c r="AK46" s="293">
        <v>1.73</v>
      </c>
      <c r="AL46" s="294">
        <v>2.48</v>
      </c>
      <c r="AM46" s="36"/>
      <c r="AN46" s="49"/>
    </row>
    <row r="47" spans="1:40" ht="12.75">
      <c r="A47" s="68" t="s">
        <v>255</v>
      </c>
      <c r="B47" s="163">
        <f>VLOOKUP($D$10,$AF$6:$AL$406,ROWS(B$44:B47)+1,FALSE)</f>
        <v>7.5</v>
      </c>
      <c r="C47" s="57" t="s">
        <v>255</v>
      </c>
      <c r="D47" s="163">
        <f>VLOOKUP($D$11,$AF$6:$AL$336,ROWS(D$44:D47)+1,FALSE)</f>
        <v>8.24</v>
      </c>
      <c r="E47" s="107" t="s">
        <v>229</v>
      </c>
      <c r="F47" s="79">
        <f>IF(AND($D$36&gt;0,$D$36&lt;$B$49),"dc2 MUST BE &gt;= k = "&amp;$B$49&amp;" in.!","")</f>
      </c>
      <c r="G47" s="9"/>
      <c r="H47" s="9"/>
      <c r="I47" s="65"/>
      <c r="J47" s="36"/>
      <c r="L47" s="33"/>
      <c r="M47" s="49"/>
      <c r="N47" s="83"/>
      <c r="O47" s="37"/>
      <c r="P47" s="36" t="s">
        <v>806</v>
      </c>
      <c r="R47" s="8"/>
      <c r="S47" s="36"/>
      <c r="T47" s="36"/>
      <c r="U47" s="36"/>
      <c r="V47" s="36"/>
      <c r="W47" s="36"/>
      <c r="X47" s="36"/>
      <c r="Y47" s="36"/>
      <c r="Z47" s="36"/>
      <c r="AA47" s="36"/>
      <c r="AB47" s="36"/>
      <c r="AC47" s="36"/>
      <c r="AD47" s="36"/>
      <c r="AE47" s="36"/>
      <c r="AF47" s="289" t="s">
        <v>495</v>
      </c>
      <c r="AG47" s="290">
        <v>68.1</v>
      </c>
      <c r="AH47" s="291">
        <v>37.1</v>
      </c>
      <c r="AI47" s="292">
        <v>0.87</v>
      </c>
      <c r="AJ47" s="291">
        <v>12.1</v>
      </c>
      <c r="AK47" s="293">
        <v>1.57</v>
      </c>
      <c r="AL47" s="294">
        <v>2.32</v>
      </c>
      <c r="AM47" s="36"/>
      <c r="AN47" s="49"/>
    </row>
    <row r="48" spans="1:40" ht="12.75">
      <c r="A48" s="68" t="s">
        <v>174</v>
      </c>
      <c r="B48" s="163">
        <f>VLOOKUP($D$10,$AF$6:$AL$406,ROWS(B$44:B48)+1,FALSE)</f>
        <v>0.57</v>
      </c>
      <c r="C48" s="57" t="s">
        <v>174</v>
      </c>
      <c r="D48" s="163">
        <f>VLOOKUP($D$11,$AF$6:$AL$336,ROWS(D$44:D48)+1,FALSE)</f>
        <v>0.615</v>
      </c>
      <c r="E48" s="107" t="s">
        <v>229</v>
      </c>
      <c r="F48" s="79">
        <f>IF($D$23&lt;$N$72,"Fillet weld size &lt; "&amp;$N$72&amp;" in. (min.)!","")</f>
      </c>
      <c r="G48" s="9"/>
      <c r="H48" s="9"/>
      <c r="I48" s="13"/>
      <c r="J48" s="36"/>
      <c r="K48" s="33"/>
      <c r="L48" s="33"/>
      <c r="M48" s="37" t="s">
        <v>77</v>
      </c>
      <c r="N48" s="83"/>
      <c r="O48" s="30"/>
      <c r="S48" s="36"/>
      <c r="T48" s="36"/>
      <c r="U48" s="36"/>
      <c r="V48" s="36"/>
      <c r="W48" s="36"/>
      <c r="X48" s="36"/>
      <c r="Y48" s="36"/>
      <c r="Z48" s="36"/>
      <c r="AA48" s="36"/>
      <c r="AB48" s="36"/>
      <c r="AC48" s="36"/>
      <c r="AD48" s="36"/>
      <c r="AE48" s="36"/>
      <c r="AF48" s="289" t="s">
        <v>496</v>
      </c>
      <c r="AG48" s="290">
        <v>61.8</v>
      </c>
      <c r="AH48" s="291">
        <v>36.7</v>
      </c>
      <c r="AI48" s="292">
        <v>0.83</v>
      </c>
      <c r="AJ48" s="291">
        <v>12.2</v>
      </c>
      <c r="AK48" s="293">
        <v>1.36</v>
      </c>
      <c r="AL48" s="294">
        <v>2.11</v>
      </c>
      <c r="AM48" s="36"/>
      <c r="AN48" s="49"/>
    </row>
    <row r="49" spans="1:40" ht="12.75">
      <c r="A49" s="86" t="s">
        <v>292</v>
      </c>
      <c r="B49" s="321">
        <f>VLOOKUP($D$10,$AF$6:$AL$406,ROWS(B$44:B49)+1,FALSE)</f>
        <v>0.972</v>
      </c>
      <c r="C49" s="57" t="s">
        <v>292</v>
      </c>
      <c r="D49" s="321">
        <f>VLOOKUP($D$11,$AF$6:$AL$336,ROWS(D$44:D49)+1,FALSE)</f>
        <v>1.12</v>
      </c>
      <c r="E49" s="107" t="s">
        <v>229</v>
      </c>
      <c r="F49" s="79">
        <f>IF($D$32&lt;VLOOKUP($D$24,$AA$17:$AB$24,2,FALSE),"Edge distance does not meet Table J3.2!","")</f>
      </c>
      <c r="G49" s="9"/>
      <c r="H49" s="9"/>
      <c r="I49" s="13"/>
      <c r="K49" s="33"/>
      <c r="L49" s="33"/>
      <c r="M49" s="49" t="s">
        <v>260</v>
      </c>
      <c r="N49" s="255" t="str">
        <f>IF($D$28="Oversized",IF($D$24&lt;=0.875,0.0625,IF($D$24=1,0.125,IF($D$24&gt;=1.125,0.125))),"N.A.")</f>
        <v>N.A.</v>
      </c>
      <c r="O49" s="37" t="s">
        <v>229</v>
      </c>
      <c r="P49" s="56">
        <f>IF($N$49="N.A.","","C2 = Edge distance increment from AISC Table J3.5, page 16.1-108")</f>
      </c>
      <c r="AF49" s="289" t="s">
        <v>497</v>
      </c>
      <c r="AG49" s="290">
        <v>57</v>
      </c>
      <c r="AH49" s="291">
        <v>36.5</v>
      </c>
      <c r="AI49" s="292">
        <v>0.765</v>
      </c>
      <c r="AJ49" s="291">
        <v>12.1</v>
      </c>
      <c r="AK49" s="293">
        <v>1.26</v>
      </c>
      <c r="AL49" s="294">
        <v>2.01</v>
      </c>
      <c r="AN49" s="49"/>
    </row>
    <row r="50" spans="1:40" ht="12.75">
      <c r="A50" s="19"/>
      <c r="B50" s="20"/>
      <c r="C50" s="20"/>
      <c r="D50" s="20"/>
      <c r="E50" s="20"/>
      <c r="F50" s="20"/>
      <c r="G50" s="20"/>
      <c r="H50" s="20"/>
      <c r="I50" s="122" t="s">
        <v>122</v>
      </c>
      <c r="L50" s="33"/>
      <c r="M50" s="49" t="s">
        <v>398</v>
      </c>
      <c r="N50" s="42">
        <f>IF($N$49="N.A.",$D$32-0.5*$N$5,$D$32-0.5*$N$5-$N$49)</f>
        <v>0.78125</v>
      </c>
      <c r="O50" s="37" t="s">
        <v>229</v>
      </c>
      <c r="P50" s="56" t="str">
        <f>IF($N$49="N.A.","Lce = Clear distance between edge bolt hole and edge","Lce = Clear distance between edge bolt hole and edge - C2")</f>
        <v>Lce = Clear distance between edge bolt hole and edge</v>
      </c>
      <c r="AF50" s="289" t="s">
        <v>498</v>
      </c>
      <c r="AG50" s="290">
        <v>53.6</v>
      </c>
      <c r="AH50" s="291">
        <v>36.3</v>
      </c>
      <c r="AI50" s="292">
        <v>0.725</v>
      </c>
      <c r="AJ50" s="291">
        <v>12.1</v>
      </c>
      <c r="AK50" s="293">
        <v>1.18</v>
      </c>
      <c r="AL50" s="294">
        <v>1.93</v>
      </c>
      <c r="AN50" s="49"/>
    </row>
    <row r="51" spans="1:40" ht="12.75">
      <c r="A51" s="342" t="s">
        <v>205</v>
      </c>
      <c r="B51" s="17"/>
      <c r="C51" s="118"/>
      <c r="D51" s="17"/>
      <c r="E51" s="17"/>
      <c r="F51" s="17"/>
      <c r="G51" s="17"/>
      <c r="H51" s="184"/>
      <c r="I51" s="178"/>
      <c r="L51" s="33"/>
      <c r="M51" s="49" t="s">
        <v>399</v>
      </c>
      <c r="N51" s="42">
        <f>$D$31-$N$5</f>
        <v>2.0625</v>
      </c>
      <c r="O51" s="37" t="s">
        <v>229</v>
      </c>
      <c r="P51" s="56" t="s">
        <v>400</v>
      </c>
      <c r="AF51" s="289" t="s">
        <v>499</v>
      </c>
      <c r="AG51" s="290">
        <v>50.1</v>
      </c>
      <c r="AH51" s="291">
        <v>36.2</v>
      </c>
      <c r="AI51" s="292">
        <v>0.68</v>
      </c>
      <c r="AJ51" s="291">
        <v>12</v>
      </c>
      <c r="AK51" s="293">
        <v>1.1</v>
      </c>
      <c r="AL51" s="294">
        <v>1.85</v>
      </c>
      <c r="AN51" s="49"/>
    </row>
    <row r="52" spans="1:40" ht="12.75">
      <c r="A52" s="18"/>
      <c r="B52" s="51"/>
      <c r="C52" s="44"/>
      <c r="D52" s="44"/>
      <c r="E52" s="44"/>
      <c r="F52" s="44"/>
      <c r="G52" s="44"/>
      <c r="H52" s="87"/>
      <c r="I52" s="179"/>
      <c r="L52" s="110"/>
      <c r="M52" s="256" t="s">
        <v>119</v>
      </c>
      <c r="N52" s="60">
        <f>MIN(1.2*$N$50*$N$8*$D$21,2.4*$D$24*$D$21*$N$8)/2</f>
        <v>10.1953125</v>
      </c>
      <c r="O52" s="37" t="s">
        <v>206</v>
      </c>
      <c r="P52" s="71" t="s">
        <v>807</v>
      </c>
      <c r="AF52" s="289" t="s">
        <v>500</v>
      </c>
      <c r="AG52" s="290">
        <v>47</v>
      </c>
      <c r="AH52" s="291">
        <v>36</v>
      </c>
      <c r="AI52" s="292">
        <v>0.65</v>
      </c>
      <c r="AJ52" s="291">
        <v>12</v>
      </c>
      <c r="AK52" s="293">
        <v>1.02</v>
      </c>
      <c r="AL52" s="294">
        <v>1.77</v>
      </c>
      <c r="AN52" s="49"/>
    </row>
    <row r="53" spans="1:40" ht="12.75">
      <c r="A53" s="10" t="s">
        <v>191</v>
      </c>
      <c r="B53" s="9"/>
      <c r="C53" s="9"/>
      <c r="D53" s="9"/>
      <c r="E53" s="36"/>
      <c r="F53" s="36"/>
      <c r="G53" s="36"/>
      <c r="H53" s="87"/>
      <c r="I53" s="183"/>
      <c r="L53" s="110"/>
      <c r="M53" s="256" t="s">
        <v>291</v>
      </c>
      <c r="N53" s="60">
        <f>MIN(1.2*$N$51*$N$8*$D$21,2.4*$D$24*$D$21*$N$8)/2</f>
        <v>22.837500000000002</v>
      </c>
      <c r="O53" s="37" t="s">
        <v>206</v>
      </c>
      <c r="P53" s="71" t="s">
        <v>808</v>
      </c>
      <c r="AF53" s="289" t="s">
        <v>501</v>
      </c>
      <c r="AG53" s="290">
        <v>44.2</v>
      </c>
      <c r="AH53" s="291">
        <v>35.9</v>
      </c>
      <c r="AI53" s="292">
        <v>0.625</v>
      </c>
      <c r="AJ53" s="291">
        <v>12</v>
      </c>
      <c r="AK53" s="292">
        <v>0.94</v>
      </c>
      <c r="AL53" s="294">
        <v>1.69</v>
      </c>
      <c r="AN53" s="49"/>
    </row>
    <row r="54" spans="1:40" ht="12.75">
      <c r="A54" s="72" t="s">
        <v>10</v>
      </c>
      <c r="B54" s="9"/>
      <c r="C54" s="9"/>
      <c r="D54" s="9"/>
      <c r="E54" s="9"/>
      <c r="F54" s="9"/>
      <c r="G54" s="9"/>
      <c r="H54" s="9"/>
      <c r="I54" s="13"/>
      <c r="L54" s="110"/>
      <c r="M54" s="49" t="s">
        <v>301</v>
      </c>
      <c r="N54" s="60">
        <f>2*($N$52+($D$29-1)*$N$53)</f>
        <v>157.415625</v>
      </c>
      <c r="O54" s="37" t="s">
        <v>206</v>
      </c>
      <c r="P54" s="47" t="s">
        <v>401</v>
      </c>
      <c r="AF54" s="289" t="s">
        <v>502</v>
      </c>
      <c r="AG54" s="290">
        <v>39.7</v>
      </c>
      <c r="AH54" s="291">
        <v>35.6</v>
      </c>
      <c r="AI54" s="292">
        <v>0.6</v>
      </c>
      <c r="AJ54" s="291">
        <v>12</v>
      </c>
      <c r="AK54" s="292">
        <v>0.79</v>
      </c>
      <c r="AL54" s="294">
        <v>1.54</v>
      </c>
      <c r="AN54" s="49"/>
    </row>
    <row r="55" spans="1:40" ht="12.75">
      <c r="A55" s="68" t="s">
        <v>254</v>
      </c>
      <c r="B55" s="338">
        <f>$N$5</f>
        <v>0.9375</v>
      </c>
      <c r="C55" s="107" t="s">
        <v>229</v>
      </c>
      <c r="D55" s="51" t="str">
        <f>$P$5</f>
        <v>dh1 = Nominal hole dimensions from Table J3.3 (in shear plate)</v>
      </c>
      <c r="E55" s="9"/>
      <c r="F55" s="9"/>
      <c r="G55" s="9"/>
      <c r="H55" s="9"/>
      <c r="I55" s="13"/>
      <c r="L55" s="110"/>
      <c r="M55" s="28" t="s">
        <v>82</v>
      </c>
      <c r="O55" s="33"/>
      <c r="AF55" s="289" t="s">
        <v>503</v>
      </c>
      <c r="AG55" s="295">
        <v>114</v>
      </c>
      <c r="AH55" s="291">
        <v>36</v>
      </c>
      <c r="AI55" s="293">
        <v>1.26</v>
      </c>
      <c r="AJ55" s="291">
        <v>16.2</v>
      </c>
      <c r="AK55" s="293">
        <v>2.28</v>
      </c>
      <c r="AL55" s="294">
        <v>3.07</v>
      </c>
      <c r="AN55" s="49"/>
    </row>
    <row r="56" spans="1:40" ht="12.75">
      <c r="A56" s="68" t="s">
        <v>194</v>
      </c>
      <c r="B56" s="322">
        <f>$N$6</f>
        <v>0.9375</v>
      </c>
      <c r="C56" s="107" t="s">
        <v>229</v>
      </c>
      <c r="D56" s="51" t="str">
        <f>$P$6</f>
        <v>dh2 = Nominal hole dimensions from Table J3.3 (in col. flange)</v>
      </c>
      <c r="E56" s="9"/>
      <c r="F56" s="9"/>
      <c r="G56" s="9"/>
      <c r="H56" s="9"/>
      <c r="I56" s="13"/>
      <c r="L56" s="110"/>
      <c r="M56" s="32" t="s">
        <v>117</v>
      </c>
      <c r="N56" s="38">
        <f>2*(($D$29-1)*$D$31+(2*$D$32))*$D$21</f>
        <v>8.625</v>
      </c>
      <c r="O56" s="30" t="s">
        <v>210</v>
      </c>
      <c r="P56" s="47" t="s">
        <v>81</v>
      </c>
      <c r="AF56" s="289" t="s">
        <v>504</v>
      </c>
      <c r="AG56" s="295">
        <v>104</v>
      </c>
      <c r="AH56" s="291">
        <v>35.6</v>
      </c>
      <c r="AI56" s="293">
        <v>1.16</v>
      </c>
      <c r="AJ56" s="291">
        <v>16.1</v>
      </c>
      <c r="AK56" s="293">
        <v>2.09</v>
      </c>
      <c r="AL56" s="294">
        <v>2.88</v>
      </c>
      <c r="AN56" s="49"/>
    </row>
    <row r="57" spans="1:40" ht="12.75">
      <c r="A57" s="68" t="s">
        <v>41</v>
      </c>
      <c r="B57" s="164">
        <f>$N$7</f>
        <v>0.6013204688511713</v>
      </c>
      <c r="C57" s="107" t="s">
        <v>210</v>
      </c>
      <c r="D57" s="51" t="s">
        <v>256</v>
      </c>
      <c r="E57" s="9"/>
      <c r="F57" s="9"/>
      <c r="G57" s="9"/>
      <c r="H57" s="9"/>
      <c r="I57" s="13"/>
      <c r="L57" s="110"/>
      <c r="M57" s="32" t="s">
        <v>221</v>
      </c>
      <c r="N57" s="40">
        <f>(1/1.5)*0.6*$D$22*$N$56</f>
        <v>124.19999999999999</v>
      </c>
      <c r="O57" s="30" t="s">
        <v>206</v>
      </c>
      <c r="P57" s="28" t="s">
        <v>83</v>
      </c>
      <c r="AF57" s="289" t="s">
        <v>505</v>
      </c>
      <c r="AG57" s="290">
        <v>93.6</v>
      </c>
      <c r="AH57" s="291">
        <v>35.2</v>
      </c>
      <c r="AI57" s="293">
        <v>1.04</v>
      </c>
      <c r="AJ57" s="291">
        <v>16</v>
      </c>
      <c r="AK57" s="293">
        <v>1.89</v>
      </c>
      <c r="AL57" s="294">
        <v>2.68</v>
      </c>
      <c r="AN57" s="49"/>
    </row>
    <row r="58" spans="1:40" ht="12.75">
      <c r="A58" s="68" t="s">
        <v>80</v>
      </c>
      <c r="B58" s="165">
        <f>$N$8</f>
        <v>58</v>
      </c>
      <c r="C58" s="107" t="s">
        <v>212</v>
      </c>
      <c r="D58" s="51" t="str">
        <f>$P$8</f>
        <v>Fup = 58 for Fyp = 36 (for shear plate)</v>
      </c>
      <c r="E58" s="9"/>
      <c r="F58" s="9"/>
      <c r="G58" s="9"/>
      <c r="H58" s="9"/>
      <c r="I58" s="13"/>
      <c r="L58" s="110"/>
      <c r="M58" s="28" t="s">
        <v>87</v>
      </c>
      <c r="O58" s="33"/>
      <c r="AF58" s="289" t="s">
        <v>506</v>
      </c>
      <c r="AG58" s="290">
        <v>85.7</v>
      </c>
      <c r="AH58" s="291">
        <v>34.8</v>
      </c>
      <c r="AI58" s="292">
        <v>0.96</v>
      </c>
      <c r="AJ58" s="291">
        <v>15.9</v>
      </c>
      <c r="AK58" s="293">
        <v>1.73</v>
      </c>
      <c r="AL58" s="294">
        <v>2.52</v>
      </c>
      <c r="AN58" s="49"/>
    </row>
    <row r="59" spans="1:40" ht="12.75">
      <c r="A59" s="68" t="s">
        <v>188</v>
      </c>
      <c r="B59" s="165">
        <f>$N$9</f>
        <v>65</v>
      </c>
      <c r="C59" s="107" t="s">
        <v>212</v>
      </c>
      <c r="D59" s="51" t="str">
        <f>$P$9</f>
        <v>Fub = 65 for Fyb = 50 (for beam)</v>
      </c>
      <c r="E59" s="9"/>
      <c r="F59" s="9"/>
      <c r="G59" s="9"/>
      <c r="H59" s="9"/>
      <c r="I59" s="13"/>
      <c r="L59" s="110"/>
      <c r="M59" s="32" t="s">
        <v>222</v>
      </c>
      <c r="N59" s="38">
        <f>$N$56-2*($D$29*($N$5+1/16)*$D$21)</f>
        <v>5.625</v>
      </c>
      <c r="O59" s="30" t="s">
        <v>210</v>
      </c>
      <c r="P59" s="37" t="s">
        <v>89</v>
      </c>
      <c r="AF59" s="289" t="s">
        <v>507</v>
      </c>
      <c r="AG59" s="290">
        <v>77.5</v>
      </c>
      <c r="AH59" s="291">
        <v>34.5</v>
      </c>
      <c r="AI59" s="292">
        <v>0.87</v>
      </c>
      <c r="AJ59" s="291">
        <v>15.8</v>
      </c>
      <c r="AK59" s="293">
        <v>1.57</v>
      </c>
      <c r="AL59" s="294">
        <v>2.36</v>
      </c>
      <c r="AN59" s="49"/>
    </row>
    <row r="60" spans="1:40" ht="12.75">
      <c r="A60" s="61" t="s">
        <v>24</v>
      </c>
      <c r="B60" s="166">
        <f>$N$10</f>
        <v>65</v>
      </c>
      <c r="C60" s="107" t="s">
        <v>212</v>
      </c>
      <c r="D60" s="51" t="str">
        <f>$P$10</f>
        <v>Fuc = 65 for Fyc = 50 (for column)</v>
      </c>
      <c r="E60" s="9"/>
      <c r="F60" s="9"/>
      <c r="G60" s="9"/>
      <c r="H60" s="9"/>
      <c r="I60" s="13"/>
      <c r="M60" s="32" t="s">
        <v>223</v>
      </c>
      <c r="N60" s="40">
        <f>0.5*0.6*$N$8*$N$59</f>
        <v>97.87499999999999</v>
      </c>
      <c r="O60" s="30" t="s">
        <v>206</v>
      </c>
      <c r="P60" s="30" t="s">
        <v>85</v>
      </c>
      <c r="AF60" s="289" t="s">
        <v>508</v>
      </c>
      <c r="AG60" s="290">
        <v>71</v>
      </c>
      <c r="AH60" s="291">
        <v>34.2</v>
      </c>
      <c r="AI60" s="292">
        <v>0.83</v>
      </c>
      <c r="AJ60" s="291">
        <v>15.9</v>
      </c>
      <c r="AK60" s="293">
        <v>1.4</v>
      </c>
      <c r="AL60" s="294">
        <v>2.19</v>
      </c>
      <c r="AN60" s="49"/>
    </row>
    <row r="61" spans="1:40" ht="12.75">
      <c r="A61" s="18"/>
      <c r="B61" s="9"/>
      <c r="C61" s="9"/>
      <c r="D61" s="9"/>
      <c r="E61" s="9"/>
      <c r="F61" s="9"/>
      <c r="G61" s="9"/>
      <c r="H61" s="9"/>
      <c r="I61" s="13"/>
      <c r="M61" s="36" t="s">
        <v>91</v>
      </c>
      <c r="O61" s="33"/>
      <c r="AF61" s="289" t="s">
        <v>509</v>
      </c>
      <c r="AG61" s="290">
        <v>65.2</v>
      </c>
      <c r="AH61" s="291">
        <v>33.9</v>
      </c>
      <c r="AI61" s="292">
        <v>0.775</v>
      </c>
      <c r="AJ61" s="291">
        <v>15.8</v>
      </c>
      <c r="AK61" s="293">
        <v>1.28</v>
      </c>
      <c r="AL61" s="294">
        <v>2.06</v>
      </c>
      <c r="AN61" s="49"/>
    </row>
    <row r="62" spans="1:40" ht="12.75">
      <c r="A62" s="84" t="s">
        <v>109</v>
      </c>
      <c r="B62" s="9"/>
      <c r="C62" s="9"/>
      <c r="D62" s="9"/>
      <c r="E62" s="9"/>
      <c r="F62" s="9"/>
      <c r="G62" s="9"/>
      <c r="H62" s="9"/>
      <c r="I62" s="13"/>
      <c r="M62" s="32" t="s">
        <v>402</v>
      </c>
      <c r="N62" s="38">
        <f>2*((($D$32+($D$29-1)*$D$31)-(($D$29-1)*($N$5+1/16)+($N$5+1/16)/2))*$D$21)</f>
        <v>5.0625</v>
      </c>
      <c r="O62" s="30" t="s">
        <v>210</v>
      </c>
      <c r="P62" s="30" t="s">
        <v>88</v>
      </c>
      <c r="AF62" s="289" t="s">
        <v>510</v>
      </c>
      <c r="AG62" s="290">
        <v>59.2</v>
      </c>
      <c r="AH62" s="291">
        <v>33.7</v>
      </c>
      <c r="AI62" s="292">
        <v>0.715</v>
      </c>
      <c r="AJ62" s="291">
        <v>15.7</v>
      </c>
      <c r="AK62" s="293">
        <v>1.15</v>
      </c>
      <c r="AL62" s="294">
        <v>1.94</v>
      </c>
      <c r="AN62" s="49"/>
    </row>
    <row r="63" spans="1:40" ht="12.75">
      <c r="A63" s="72" t="s">
        <v>257</v>
      </c>
      <c r="B63" s="20"/>
      <c r="C63" s="106"/>
      <c r="D63" s="51"/>
      <c r="E63" s="54"/>
      <c r="F63" s="54"/>
      <c r="G63" s="9"/>
      <c r="H63" s="9"/>
      <c r="I63" s="13"/>
      <c r="M63" s="32" t="s">
        <v>403</v>
      </c>
      <c r="N63" s="38">
        <f>2*($D$32+($D$29-1)*$D$31)*$D$21</f>
        <v>7.6875</v>
      </c>
      <c r="O63" s="30" t="s">
        <v>210</v>
      </c>
      <c r="P63" s="30" t="s">
        <v>90</v>
      </c>
      <c r="AF63" s="289" t="s">
        <v>511</v>
      </c>
      <c r="AG63" s="290">
        <v>49.5</v>
      </c>
      <c r="AH63" s="291">
        <v>33.8</v>
      </c>
      <c r="AI63" s="292">
        <v>0.67</v>
      </c>
      <c r="AJ63" s="291">
        <v>11.5</v>
      </c>
      <c r="AK63" s="293">
        <v>1.22</v>
      </c>
      <c r="AL63" s="294">
        <v>1.92</v>
      </c>
      <c r="AN63" s="49"/>
    </row>
    <row r="64" spans="1:40" ht="12.75">
      <c r="A64" s="68" t="s">
        <v>261</v>
      </c>
      <c r="B64" s="167">
        <f>$N$13</f>
        <v>8</v>
      </c>
      <c r="C64" s="107" t="s">
        <v>277</v>
      </c>
      <c r="D64" s="51" t="str">
        <f>$P$13</f>
        <v>Nb = 2*Nr  (total number of bolts at support connection)</v>
      </c>
      <c r="E64" s="54"/>
      <c r="F64" s="54"/>
      <c r="G64" s="9"/>
      <c r="H64" s="9"/>
      <c r="I64" s="13"/>
      <c r="M64" s="32" t="s">
        <v>404</v>
      </c>
      <c r="N64" s="38">
        <f>2*(($D$20-$D$33)/2-(($N$5+1/16)/2))*$D$21</f>
        <v>0.5625</v>
      </c>
      <c r="O64" s="30" t="s">
        <v>210</v>
      </c>
      <c r="P64" s="28" t="s">
        <v>92</v>
      </c>
      <c r="AF64" s="289" t="s">
        <v>512</v>
      </c>
      <c r="AG64" s="290">
        <v>44.8</v>
      </c>
      <c r="AH64" s="291">
        <v>33.5</v>
      </c>
      <c r="AI64" s="292">
        <v>0.635</v>
      </c>
      <c r="AJ64" s="291">
        <v>11.6</v>
      </c>
      <c r="AK64" s="293">
        <v>1.06</v>
      </c>
      <c r="AL64" s="294">
        <v>1.76</v>
      </c>
      <c r="AN64" s="49"/>
    </row>
    <row r="65" spans="1:40" ht="12.75">
      <c r="A65" s="68" t="s">
        <v>279</v>
      </c>
      <c r="B65" s="168">
        <f>$N$14</f>
        <v>5</v>
      </c>
      <c r="C65" s="107" t="s">
        <v>211</v>
      </c>
      <c r="D65" s="51" t="str">
        <f>$P$14</f>
        <v>vb = R/Nb (actual shear/bolt)</v>
      </c>
      <c r="E65" s="54"/>
      <c r="F65" s="36"/>
      <c r="G65" s="9"/>
      <c r="H65" s="9"/>
      <c r="I65" s="13"/>
      <c r="M65" s="32" t="s">
        <v>193</v>
      </c>
      <c r="N65" s="40">
        <f>MIN(0.3*$N$8*$N$62+0.5*$N$8*$N$64,0.3*$D$22*$N$63+0.5*$N$8*$N$64)</f>
        <v>99.33749999999999</v>
      </c>
      <c r="O65" s="30" t="s">
        <v>206</v>
      </c>
      <c r="P65" s="30" t="s">
        <v>86</v>
      </c>
      <c r="AF65" s="289" t="s">
        <v>513</v>
      </c>
      <c r="AG65" s="290">
        <v>41.6</v>
      </c>
      <c r="AH65" s="291">
        <v>33.3</v>
      </c>
      <c r="AI65" s="292">
        <v>0.605</v>
      </c>
      <c r="AJ65" s="291">
        <v>11.5</v>
      </c>
      <c r="AK65" s="292">
        <v>0.96</v>
      </c>
      <c r="AL65" s="294">
        <v>1.66</v>
      </c>
      <c r="AN65" s="49"/>
    </row>
    <row r="66" spans="1:40" ht="12.75">
      <c r="A66" s="68" t="s">
        <v>201</v>
      </c>
      <c r="B66" s="169">
        <f>$N$15</f>
        <v>8.315033761535757</v>
      </c>
      <c r="C66" s="107" t="s">
        <v>212</v>
      </c>
      <c r="D66" s="51" t="str">
        <f>$P$15</f>
        <v>fv = vb/Ab (actual bolt shear stress)</v>
      </c>
      <c r="E66" s="54"/>
      <c r="F66" s="54"/>
      <c r="G66" s="9"/>
      <c r="H66" s="9"/>
      <c r="I66" s="53"/>
      <c r="M66" s="93" t="s">
        <v>110</v>
      </c>
      <c r="AF66" s="289" t="s">
        <v>514</v>
      </c>
      <c r="AG66" s="290">
        <v>38.3</v>
      </c>
      <c r="AH66" s="291">
        <v>33.1</v>
      </c>
      <c r="AI66" s="292">
        <v>0.58</v>
      </c>
      <c r="AJ66" s="291">
        <v>11.5</v>
      </c>
      <c r="AK66" s="292">
        <v>0.855</v>
      </c>
      <c r="AL66" s="294">
        <v>1.56</v>
      </c>
      <c r="AN66" s="49"/>
    </row>
    <row r="67" spans="1:40" ht="12.75">
      <c r="A67" s="325" t="s">
        <v>407</v>
      </c>
      <c r="B67" s="169" t="str">
        <f>$N$18</f>
        <v>N.A.</v>
      </c>
      <c r="C67" s="9"/>
      <c r="D67" s="9">
        <f>$P$18</f>
      </c>
      <c r="E67" s="9"/>
      <c r="F67" s="9"/>
      <c r="G67" s="9"/>
      <c r="H67" s="9"/>
      <c r="I67" s="13"/>
      <c r="M67" s="32" t="s">
        <v>282</v>
      </c>
      <c r="N67" s="42">
        <f>($D$29-1)*$D$31+2*$D$32-2*$D$23</f>
        <v>11</v>
      </c>
      <c r="O67" s="30" t="s">
        <v>43</v>
      </c>
      <c r="P67" s="37" t="s">
        <v>96</v>
      </c>
      <c r="V67" s="30"/>
      <c r="AF67" s="289" t="s">
        <v>515</v>
      </c>
      <c r="AG67" s="290">
        <v>34.7</v>
      </c>
      <c r="AH67" s="291">
        <v>32.9</v>
      </c>
      <c r="AI67" s="292">
        <v>0.55</v>
      </c>
      <c r="AJ67" s="291">
        <v>11.5</v>
      </c>
      <c r="AK67" s="292">
        <v>0.74</v>
      </c>
      <c r="AL67" s="294">
        <v>1.44</v>
      </c>
      <c r="AN67" s="49"/>
    </row>
    <row r="68" spans="1:40" ht="12.75">
      <c r="A68" s="68" t="s">
        <v>313</v>
      </c>
      <c r="B68" s="168" t="str">
        <f>$N$19</f>
        <v>N.A.</v>
      </c>
      <c r="C68" s="115" t="s">
        <v>287</v>
      </c>
      <c r="D68" s="4">
        <f>$P$19</f>
      </c>
      <c r="E68" s="36"/>
      <c r="F68" s="54"/>
      <c r="G68" s="9"/>
      <c r="H68" s="9"/>
      <c r="I68" s="53"/>
      <c r="M68" s="32" t="s">
        <v>42</v>
      </c>
      <c r="N68" s="60">
        <f>SQRT($D$16^2+$D$17^2)</f>
        <v>40</v>
      </c>
      <c r="O68" s="30" t="s">
        <v>206</v>
      </c>
      <c r="P68" s="36" t="s">
        <v>93</v>
      </c>
      <c r="V68" s="30"/>
      <c r="AF68" s="289" t="s">
        <v>516</v>
      </c>
      <c r="AG68" s="295">
        <v>115</v>
      </c>
      <c r="AH68" s="291">
        <v>33.2</v>
      </c>
      <c r="AI68" s="293">
        <v>1.36</v>
      </c>
      <c r="AJ68" s="291">
        <v>15.6</v>
      </c>
      <c r="AK68" s="293">
        <v>2.44</v>
      </c>
      <c r="AL68" s="294">
        <v>3.23</v>
      </c>
      <c r="AN68" s="49"/>
    </row>
    <row r="69" spans="1:40" ht="12.75">
      <c r="A69" s="50" t="s">
        <v>385</v>
      </c>
      <c r="B69" s="169">
        <f>$N$20</f>
        <v>48</v>
      </c>
      <c r="C69" s="107" t="s">
        <v>212</v>
      </c>
      <c r="D69" s="343" t="str">
        <f>$P$20</f>
        <v>Fnv  = Nominal shear stress for A325-N from AISC Table J3.2, page 16.1-104</v>
      </c>
      <c r="E69" s="9"/>
      <c r="F69" s="9"/>
      <c r="G69" s="9"/>
      <c r="H69" s="9"/>
      <c r="I69" s="13"/>
      <c r="M69" s="73" t="s">
        <v>61</v>
      </c>
      <c r="N69" s="42">
        <f>IF($D$17&gt;0,90-(ATAN($D$16/$D$17)*(180/PI())),0)</f>
        <v>0</v>
      </c>
      <c r="O69" s="30" t="s">
        <v>230</v>
      </c>
      <c r="P69" s="109" t="s">
        <v>62</v>
      </c>
      <c r="V69" s="30"/>
      <c r="AF69" s="289" t="s">
        <v>517</v>
      </c>
      <c r="AG69" s="295">
        <v>105</v>
      </c>
      <c r="AH69" s="291">
        <v>32.8</v>
      </c>
      <c r="AI69" s="293">
        <v>1.24</v>
      </c>
      <c r="AJ69" s="291">
        <v>15.5</v>
      </c>
      <c r="AK69" s="293">
        <v>2.24</v>
      </c>
      <c r="AL69" s="294">
        <v>3.03</v>
      </c>
      <c r="AN69" s="49"/>
    </row>
    <row r="70" spans="1:40" ht="12.75">
      <c r="A70" s="50" t="s">
        <v>386</v>
      </c>
      <c r="B70" s="169">
        <f>$N$21</f>
        <v>48</v>
      </c>
      <c r="C70" s="107" t="s">
        <v>212</v>
      </c>
      <c r="D70" s="4" t="str">
        <f>$P$21</f>
        <v>Fnv' = Fnv (no reduction needed for comb. effects)</v>
      </c>
      <c r="E70" s="9"/>
      <c r="F70" s="9"/>
      <c r="G70" s="9"/>
      <c r="H70" s="9"/>
      <c r="I70" s="13"/>
      <c r="M70" s="32" t="s">
        <v>815</v>
      </c>
      <c r="N70" s="40">
        <f>1+0.5*(SIN(RADIANS($N$69)))^1.5</f>
        <v>1</v>
      </c>
      <c r="P70" s="30" t="s">
        <v>816</v>
      </c>
      <c r="V70" s="30"/>
      <c r="AF70" s="289" t="s">
        <v>518</v>
      </c>
      <c r="AG70" s="290">
        <v>95.8</v>
      </c>
      <c r="AH70" s="291">
        <v>32.4</v>
      </c>
      <c r="AI70" s="293">
        <v>1.14</v>
      </c>
      <c r="AJ70" s="291">
        <v>15.4</v>
      </c>
      <c r="AK70" s="293">
        <v>2.05</v>
      </c>
      <c r="AL70" s="294">
        <v>2.84</v>
      </c>
      <c r="AN70" s="49"/>
    </row>
    <row r="71" spans="1:38" ht="12.75">
      <c r="A71" s="68" t="s">
        <v>214</v>
      </c>
      <c r="B71" s="168">
        <f>$N$22</f>
        <v>24</v>
      </c>
      <c r="C71" s="107" t="s">
        <v>212</v>
      </c>
      <c r="D71" s="4" t="str">
        <f>$P$22</f>
        <v>Fv = Fnv' / 2 (allowable bolt shear stress)</v>
      </c>
      <c r="E71" s="36"/>
      <c r="F71" s="36"/>
      <c r="G71" s="9"/>
      <c r="H71" s="9"/>
      <c r="I71" s="13"/>
      <c r="M71" s="73" t="s">
        <v>232</v>
      </c>
      <c r="N71" s="69">
        <f>(2*$N$68/2)/(0.6*70*0.707*$N$67)</f>
        <v>0.12246122571440816</v>
      </c>
      <c r="O71" s="37" t="s">
        <v>280</v>
      </c>
      <c r="P71" s="74" t="s">
        <v>232</v>
      </c>
      <c r="Q71" s="30" t="s">
        <v>95</v>
      </c>
      <c r="AF71" s="289" t="s">
        <v>519</v>
      </c>
      <c r="AG71" s="290">
        <v>85.9</v>
      </c>
      <c r="AH71" s="291">
        <v>32</v>
      </c>
      <c r="AI71" s="293">
        <v>1.02</v>
      </c>
      <c r="AJ71" s="291">
        <v>15.3</v>
      </c>
      <c r="AK71" s="293">
        <v>1.85</v>
      </c>
      <c r="AL71" s="294">
        <v>2.64</v>
      </c>
    </row>
    <row r="72" spans="1:41" ht="12.75">
      <c r="A72" s="329" t="s">
        <v>387</v>
      </c>
      <c r="B72" s="169" t="str">
        <f>$N$23</f>
        <v>N.A.</v>
      </c>
      <c r="C72" s="9"/>
      <c r="D72" s="4" t="str">
        <f>$P$23</f>
        <v>ks = not applicable for N or X bolts</v>
      </c>
      <c r="E72" s="9"/>
      <c r="F72" s="9"/>
      <c r="G72" s="9"/>
      <c r="H72" s="9"/>
      <c r="I72" s="13"/>
      <c r="M72" s="73" t="s">
        <v>289</v>
      </c>
      <c r="N72" s="110">
        <f>IF(MIN($D$21,$B$46)&lt;=0.25,0.125,IF(MIN($D$21,$B$46)&lt;=0.5,0.1875,IF(MIN($D$21,$B$46)&lt;=0.75,0.25,IF(MIN($D$21,$B$46)&gt;0.75,0.3125))))</f>
        <v>0.1875</v>
      </c>
      <c r="O72" s="30" t="s">
        <v>229</v>
      </c>
      <c r="P72" s="74" t="s">
        <v>323</v>
      </c>
      <c r="AF72" s="289" t="s">
        <v>520</v>
      </c>
      <c r="AG72" s="290">
        <v>76.9</v>
      </c>
      <c r="AH72" s="291">
        <v>31.6</v>
      </c>
      <c r="AI72" s="292">
        <v>0.93</v>
      </c>
      <c r="AJ72" s="291">
        <v>15.2</v>
      </c>
      <c r="AK72" s="293">
        <v>1.65</v>
      </c>
      <c r="AL72" s="294">
        <v>2.44</v>
      </c>
      <c r="AN72" s="49"/>
      <c r="AO72" s="98"/>
    </row>
    <row r="73" spans="1:41" ht="12.75">
      <c r="A73" s="68" t="s">
        <v>198</v>
      </c>
      <c r="B73" s="169">
        <f>$N$24</f>
        <v>14.431691252428111</v>
      </c>
      <c r="C73" s="107" t="s">
        <v>211</v>
      </c>
      <c r="D73" s="4" t="str">
        <f>$P$24</f>
        <v>Vb = Ab*Fv (allowable shear/bolt)</v>
      </c>
      <c r="E73" s="36"/>
      <c r="F73" s="36"/>
      <c r="G73" s="36"/>
      <c r="H73" s="9"/>
      <c r="I73" s="45"/>
      <c r="K73" s="60"/>
      <c r="M73" s="73" t="s">
        <v>224</v>
      </c>
      <c r="N73" s="110">
        <f>IF($D$21=1/4,1/4,$D$21-1/16)</f>
        <v>0.3125</v>
      </c>
      <c r="O73" s="30" t="s">
        <v>229</v>
      </c>
      <c r="P73" s="74" t="s">
        <v>94</v>
      </c>
      <c r="AF73" s="289" t="s">
        <v>521</v>
      </c>
      <c r="AG73" s="290">
        <v>69.2</v>
      </c>
      <c r="AH73" s="291">
        <v>31.3</v>
      </c>
      <c r="AI73" s="292">
        <v>0.83</v>
      </c>
      <c r="AJ73" s="291">
        <v>15.1</v>
      </c>
      <c r="AK73" s="293">
        <v>1.5</v>
      </c>
      <c r="AL73" s="294">
        <v>2.29</v>
      </c>
      <c r="AN73" s="49"/>
      <c r="AO73" s="98"/>
    </row>
    <row r="74" spans="1:41" ht="12.75">
      <c r="A74" s="50" t="s">
        <v>303</v>
      </c>
      <c r="B74" s="168">
        <f>$N$25</f>
        <v>115.45353001942489</v>
      </c>
      <c r="C74" s="107" t="s">
        <v>287</v>
      </c>
      <c r="D74" s="4" t="str">
        <f>$P$25</f>
        <v>Rbv = Nb*Vb (allow. shear load)</v>
      </c>
      <c r="E74" s="9"/>
      <c r="F74" s="9"/>
      <c r="G74" s="9"/>
      <c r="H74" s="79"/>
      <c r="I74" s="251" t="str">
        <f>IF($B$74&gt;=$D$16,"Rbv &gt;= R,  O.K.  ","Rbv &lt; R, N.G.  ")</f>
        <v>Rbv &gt;= R,  O.K.  </v>
      </c>
      <c r="M74" s="32" t="s">
        <v>288</v>
      </c>
      <c r="N74" s="40">
        <f>(1/2)*2*0.6*$N$70*70*0.707*$D$23*$N$67</f>
        <v>81.6585</v>
      </c>
      <c r="O74" s="30" t="s">
        <v>206</v>
      </c>
      <c r="P74" s="90" t="s">
        <v>817</v>
      </c>
      <c r="AF74" s="289" t="s">
        <v>522</v>
      </c>
      <c r="AG74" s="290">
        <v>62.2</v>
      </c>
      <c r="AH74" s="291">
        <v>30.9</v>
      </c>
      <c r="AI74" s="292">
        <v>0.775</v>
      </c>
      <c r="AJ74" s="291">
        <v>15.1</v>
      </c>
      <c r="AK74" s="293">
        <v>1.32</v>
      </c>
      <c r="AL74" s="294">
        <v>2.1</v>
      </c>
      <c r="AN74" s="49" t="s">
        <v>278</v>
      </c>
      <c r="AO74" s="98">
        <f>$D$16/$B$74</f>
        <v>0.3464597400639899</v>
      </c>
    </row>
    <row r="75" spans="1:41" ht="12.75">
      <c r="A75" s="68" t="s">
        <v>40</v>
      </c>
      <c r="B75" s="168">
        <f>$N$16</f>
        <v>0</v>
      </c>
      <c r="C75" s="107" t="s">
        <v>211</v>
      </c>
      <c r="D75" s="51" t="str">
        <f>$P$16</f>
        <v>T = P/Nb  (actual tension/bolt)</v>
      </c>
      <c r="E75" s="9"/>
      <c r="F75" s="9"/>
      <c r="G75" s="9"/>
      <c r="H75" s="9"/>
      <c r="I75" s="251"/>
      <c r="M75" s="32" t="s">
        <v>406</v>
      </c>
      <c r="N75" s="42">
        <f>6.19*16*$N$70*$D$23/$N$10</f>
        <v>0.3809230769230769</v>
      </c>
      <c r="O75" s="28" t="s">
        <v>229</v>
      </c>
      <c r="P75" s="28" t="s">
        <v>820</v>
      </c>
      <c r="AF75" s="289" t="s">
        <v>523</v>
      </c>
      <c r="AG75" s="290">
        <v>56.3</v>
      </c>
      <c r="AH75" s="291">
        <v>30.7</v>
      </c>
      <c r="AI75" s="292">
        <v>0.71</v>
      </c>
      <c r="AJ75" s="291">
        <v>15</v>
      </c>
      <c r="AK75" s="293">
        <v>1.19</v>
      </c>
      <c r="AL75" s="294">
        <v>1.97</v>
      </c>
      <c r="AN75" s="49"/>
      <c r="AO75" s="98"/>
    </row>
    <row r="76" spans="1:38" ht="12.75">
      <c r="A76" s="68" t="s">
        <v>39</v>
      </c>
      <c r="B76" s="169">
        <f>$N$17</f>
        <v>0</v>
      </c>
      <c r="C76" s="107" t="s">
        <v>212</v>
      </c>
      <c r="D76" s="51" t="str">
        <f>$P$17</f>
        <v>ft = T/Ab  (actual bolt tension stress)</v>
      </c>
      <c r="E76" s="9"/>
      <c r="F76" s="9"/>
      <c r="G76" s="36"/>
      <c r="H76" s="9"/>
      <c r="I76" s="251"/>
      <c r="L76" s="42"/>
      <c r="M76" s="32" t="s">
        <v>810</v>
      </c>
      <c r="N76" s="33" t="str">
        <f>IF($N$75&gt;$B$46,"Yes","No")</f>
        <v>Yes</v>
      </c>
      <c r="P76" s="28" t="s">
        <v>324</v>
      </c>
      <c r="AF76" s="289" t="s">
        <v>524</v>
      </c>
      <c r="AG76" s="290">
        <v>51</v>
      </c>
      <c r="AH76" s="291">
        <v>30.4</v>
      </c>
      <c r="AI76" s="292">
        <v>0.655</v>
      </c>
      <c r="AJ76" s="291">
        <v>15</v>
      </c>
      <c r="AK76" s="293">
        <v>1.07</v>
      </c>
      <c r="AL76" s="294">
        <v>1.85</v>
      </c>
    </row>
    <row r="77" spans="1:41" ht="12.75">
      <c r="A77" s="329" t="s">
        <v>290</v>
      </c>
      <c r="B77" s="164">
        <f>$N$26</f>
        <v>0.4617332579068646</v>
      </c>
      <c r="C77" s="107" t="s">
        <v>210</v>
      </c>
      <c r="D77" s="339" t="s">
        <v>321</v>
      </c>
      <c r="E77" s="9"/>
      <c r="F77" s="9"/>
      <c r="G77" s="9"/>
      <c r="H77" s="9"/>
      <c r="I77" s="251"/>
      <c r="M77" s="32" t="s">
        <v>405</v>
      </c>
      <c r="N77" s="60">
        <f>IF($N$76="No",$N$74,$N$74*$B$46/$N$75)</f>
        <v>76.10136863893376</v>
      </c>
      <c r="O77" s="30" t="s">
        <v>206</v>
      </c>
      <c r="P77" s="142" t="str">
        <f>IF($N$76="No","Rwr' = Rwr, tmin &lt; twb, no reduction in strength is needed","Rwr' = Rwr*twb/tmin")</f>
        <v>Rwr' = Rwr*twb/tmin</v>
      </c>
      <c r="Q77" s="37"/>
      <c r="AF77" s="289" t="s">
        <v>525</v>
      </c>
      <c r="AG77" s="290">
        <v>43.5</v>
      </c>
      <c r="AH77" s="291">
        <v>30.7</v>
      </c>
      <c r="AI77" s="292">
        <v>0.65</v>
      </c>
      <c r="AJ77" s="291">
        <v>10.5</v>
      </c>
      <c r="AK77" s="293">
        <v>1.18</v>
      </c>
      <c r="AL77" s="294">
        <v>1.83</v>
      </c>
      <c r="AN77" s="49"/>
      <c r="AO77" s="98"/>
    </row>
    <row r="78" spans="1:41" ht="12.75">
      <c r="A78" s="50" t="s">
        <v>390</v>
      </c>
      <c r="B78" s="169">
        <f>$N$27</f>
        <v>90</v>
      </c>
      <c r="C78" s="107" t="s">
        <v>212</v>
      </c>
      <c r="D78" s="349" t="str">
        <f>$P$27</f>
        <v>Fnt  = Nominal tension stress for A325 bolts from AISC Table J3.2, page 16.1-104</v>
      </c>
      <c r="E78" s="9"/>
      <c r="F78" s="9"/>
      <c r="G78" s="9"/>
      <c r="H78" s="9"/>
      <c r="I78" s="251"/>
      <c r="M78" s="93" t="s">
        <v>253</v>
      </c>
      <c r="O78" s="33"/>
      <c r="R78" s="135" t="s">
        <v>296</v>
      </c>
      <c r="AF78" s="289" t="s">
        <v>526</v>
      </c>
      <c r="AG78" s="290">
        <v>38.9</v>
      </c>
      <c r="AH78" s="291">
        <v>30.3</v>
      </c>
      <c r="AI78" s="292">
        <v>0.615</v>
      </c>
      <c r="AJ78" s="291">
        <v>10.5</v>
      </c>
      <c r="AK78" s="293">
        <v>1</v>
      </c>
      <c r="AL78" s="294">
        <v>1.65</v>
      </c>
      <c r="AN78" s="49"/>
      <c r="AO78" s="98"/>
    </row>
    <row r="79" spans="1:41" ht="12.75">
      <c r="A79" s="50" t="s">
        <v>392</v>
      </c>
      <c r="B79" s="169">
        <f>$N$28</f>
        <v>90</v>
      </c>
      <c r="C79" s="107" t="s">
        <v>212</v>
      </c>
      <c r="D79" s="4" t="str">
        <f>$P$28</f>
        <v>Fnt' = Fnt (no reduction needed for comb. effects</v>
      </c>
      <c r="E79" s="9"/>
      <c r="F79" s="9"/>
      <c r="G79" s="9"/>
      <c r="H79" s="9"/>
      <c r="I79" s="251"/>
      <c r="M79" s="28" t="s">
        <v>413</v>
      </c>
      <c r="N79" s="56"/>
      <c r="AF79" s="289" t="s">
        <v>527</v>
      </c>
      <c r="AG79" s="290">
        <v>36.5</v>
      </c>
      <c r="AH79" s="291">
        <v>30.2</v>
      </c>
      <c r="AI79" s="292">
        <v>0.585</v>
      </c>
      <c r="AJ79" s="291">
        <v>10.5</v>
      </c>
      <c r="AK79" s="292">
        <v>0.93</v>
      </c>
      <c r="AL79" s="294">
        <v>1.58</v>
      </c>
      <c r="AN79" s="49"/>
      <c r="AO79" s="98"/>
    </row>
    <row r="80" spans="1:41" ht="12.75">
      <c r="A80" s="61" t="s">
        <v>300</v>
      </c>
      <c r="B80" s="168">
        <f>$N$29</f>
        <v>45</v>
      </c>
      <c r="C80" s="107" t="s">
        <v>212</v>
      </c>
      <c r="D80" s="141" t="str">
        <f>$P$29</f>
        <v>Ft = Fnt' / 2 (allowable bolt tension stress)</v>
      </c>
      <c r="E80" s="9"/>
      <c r="F80" s="9"/>
      <c r="G80" s="9"/>
      <c r="H80" s="9"/>
      <c r="I80" s="251"/>
      <c r="M80" s="49" t="s">
        <v>222</v>
      </c>
      <c r="N80" s="42" t="str">
        <f>IF(AND($D$34=0,$D$35=0,$D$36=0),"N.A.","N.A.")</f>
        <v>N.A.</v>
      </c>
      <c r="O80" s="37" t="s">
        <v>210</v>
      </c>
      <c r="P80" s="30" t="s">
        <v>841</v>
      </c>
      <c r="AF80" s="289" t="s">
        <v>528</v>
      </c>
      <c r="AG80" s="290">
        <v>34.2</v>
      </c>
      <c r="AH80" s="291">
        <v>30</v>
      </c>
      <c r="AI80" s="292">
        <v>0.565</v>
      </c>
      <c r="AJ80" s="291">
        <v>10.5</v>
      </c>
      <c r="AK80" s="292">
        <v>0.85</v>
      </c>
      <c r="AL80" s="294">
        <v>1.5</v>
      </c>
      <c r="AN80" s="49"/>
      <c r="AO80" s="98"/>
    </row>
    <row r="81" spans="1:41" ht="12.75">
      <c r="A81" s="68" t="s">
        <v>779</v>
      </c>
      <c r="B81" s="168">
        <f>$N$30</f>
        <v>27.059421098302707</v>
      </c>
      <c r="C81" s="107" t="s">
        <v>211</v>
      </c>
      <c r="D81" s="4" t="str">
        <f>$P$30</f>
        <v>B = Ft*Ab (allow. tension load per bolt)</v>
      </c>
      <c r="E81" s="36"/>
      <c r="F81" s="36"/>
      <c r="G81" s="9"/>
      <c r="H81" s="9"/>
      <c r="I81" s="251"/>
      <c r="M81" s="32" t="s">
        <v>223</v>
      </c>
      <c r="N81" s="40" t="str">
        <f>"N.A."</f>
        <v>N.A.</v>
      </c>
      <c r="O81" s="30" t="s">
        <v>206</v>
      </c>
      <c r="P81" s="28" t="s">
        <v>840</v>
      </c>
      <c r="AF81" s="289" t="s">
        <v>529</v>
      </c>
      <c r="AG81" s="290">
        <v>31.7</v>
      </c>
      <c r="AH81" s="291">
        <v>29.8</v>
      </c>
      <c r="AI81" s="292">
        <v>0.545</v>
      </c>
      <c r="AJ81" s="291">
        <v>10.5</v>
      </c>
      <c r="AK81" s="292">
        <v>0.76</v>
      </c>
      <c r="AL81" s="294">
        <v>1.41</v>
      </c>
      <c r="AN81" s="49"/>
      <c r="AO81" s="98"/>
    </row>
    <row r="82" spans="1:41" ht="12.75">
      <c r="A82" s="50" t="s">
        <v>268</v>
      </c>
      <c r="B82" s="344">
        <f>$N$31</f>
        <v>216.47536878642165</v>
      </c>
      <c r="C82" s="107" t="s">
        <v>287</v>
      </c>
      <c r="D82" s="4" t="str">
        <f>$P$31</f>
        <v>Rba = Nb*B  (allow. tension load)</v>
      </c>
      <c r="E82" s="9"/>
      <c r="F82" s="9"/>
      <c r="G82" s="9"/>
      <c r="H82" s="79"/>
      <c r="I82" s="251">
        <f>IF($D$17&gt;0,IF($B$82&gt;=$D$17,"Rba &gt;= P,  O.K.  ","Rba &lt; P, N.G.  "),"")</f>
      </c>
      <c r="M82" s="56" t="s">
        <v>44</v>
      </c>
      <c r="O82" s="33"/>
      <c r="AF82" s="289" t="s">
        <v>530</v>
      </c>
      <c r="AG82" s="290">
        <v>29.1</v>
      </c>
      <c r="AH82" s="291">
        <v>29.7</v>
      </c>
      <c r="AI82" s="292">
        <v>0.52</v>
      </c>
      <c r="AJ82" s="291">
        <v>10.5</v>
      </c>
      <c r="AK82" s="292">
        <v>0.67</v>
      </c>
      <c r="AL82" s="294">
        <v>1.32</v>
      </c>
      <c r="AN82" s="49" t="str">
        <f>IF(AO82="","N.A.","SR =")</f>
        <v>N.A.</v>
      </c>
      <c r="AO82" s="98">
        <f>IF($D$17&gt;0,$D$17/$B$82,"")</f>
      </c>
    </row>
    <row r="83" spans="1:41" ht="12.75">
      <c r="A83" s="18"/>
      <c r="B83" s="9"/>
      <c r="C83" s="9"/>
      <c r="D83" s="9"/>
      <c r="E83" s="9"/>
      <c r="F83" s="9"/>
      <c r="G83" s="9"/>
      <c r="H83" s="9"/>
      <c r="I83" s="251"/>
      <c r="M83" s="49" t="s">
        <v>46</v>
      </c>
      <c r="N83" s="42">
        <f>IF(AND($D$34=0,$D$35=0,$D$36=0),$N$67*$B$46,"N.A.")</f>
        <v>3.905</v>
      </c>
      <c r="O83" s="37" t="s">
        <v>210</v>
      </c>
      <c r="P83" s="47" t="s">
        <v>99</v>
      </c>
      <c r="AF83" s="289" t="s">
        <v>531</v>
      </c>
      <c r="AG83" s="290">
        <v>26.4</v>
      </c>
      <c r="AH83" s="291">
        <v>29.5</v>
      </c>
      <c r="AI83" s="292">
        <v>0.47</v>
      </c>
      <c r="AJ83" s="291">
        <v>10.4</v>
      </c>
      <c r="AK83" s="292">
        <v>0.61</v>
      </c>
      <c r="AL83" s="294">
        <v>1.26</v>
      </c>
      <c r="AN83" s="49"/>
      <c r="AO83" s="98"/>
    </row>
    <row r="84" spans="1:41" ht="12.75">
      <c r="A84" s="66" t="s">
        <v>114</v>
      </c>
      <c r="B84" s="54"/>
      <c r="C84" s="115"/>
      <c r="D84" s="54"/>
      <c r="E84" s="9"/>
      <c r="F84" s="9"/>
      <c r="G84" s="9"/>
      <c r="H84" s="9"/>
      <c r="I84" s="251"/>
      <c r="M84" s="49" t="s">
        <v>47</v>
      </c>
      <c r="N84" s="60">
        <f>IF(AND($D$34=0,$D$35=0,$D$36=0),(0.6*$D$12*$N$83),"N.A.")</f>
        <v>117.14999999999999</v>
      </c>
      <c r="O84" s="37" t="s">
        <v>206</v>
      </c>
      <c r="P84" s="37" t="s">
        <v>839</v>
      </c>
      <c r="AF84" s="289" t="s">
        <v>532</v>
      </c>
      <c r="AG84" s="295">
        <v>159</v>
      </c>
      <c r="AH84" s="291">
        <v>32.5</v>
      </c>
      <c r="AI84" s="293">
        <v>1.97</v>
      </c>
      <c r="AJ84" s="291">
        <v>15.3</v>
      </c>
      <c r="AK84" s="293">
        <v>3.54</v>
      </c>
      <c r="AL84" s="294">
        <v>4.33</v>
      </c>
      <c r="AN84" s="49"/>
      <c r="AO84" s="98"/>
    </row>
    <row r="85" spans="1:41" ht="12.75">
      <c r="A85" s="68" t="s">
        <v>16</v>
      </c>
      <c r="B85" s="171" t="str">
        <f>IF($D$17&gt;0,$N$33,"N.A.")</f>
        <v>N.A.</v>
      </c>
      <c r="C85" s="51" t="s">
        <v>229</v>
      </c>
      <c r="D85" s="51" t="str">
        <f>$P$33</f>
        <v>p = Min. of: S  or  S/2+ED  (tributary end plate length/bolt)</v>
      </c>
      <c r="E85" s="9"/>
      <c r="F85" s="9"/>
      <c r="G85" s="9"/>
      <c r="H85" s="9"/>
      <c r="I85" s="251"/>
      <c r="M85" s="82" t="s">
        <v>415</v>
      </c>
      <c r="O85" s="33"/>
      <c r="W85" s="36"/>
      <c r="X85" s="36"/>
      <c r="Y85" s="36"/>
      <c r="Z85" s="36"/>
      <c r="AA85" s="36"/>
      <c r="AB85" s="36"/>
      <c r="AC85" s="36"/>
      <c r="AD85" s="360"/>
      <c r="AF85" s="289" t="s">
        <v>533</v>
      </c>
      <c r="AG85" s="295">
        <v>108</v>
      </c>
      <c r="AH85" s="291">
        <v>30.4</v>
      </c>
      <c r="AI85" s="293">
        <v>1.38</v>
      </c>
      <c r="AJ85" s="291">
        <v>14.7</v>
      </c>
      <c r="AK85" s="293">
        <v>2.48</v>
      </c>
      <c r="AL85" s="294">
        <v>3.27</v>
      </c>
      <c r="AN85" s="49"/>
      <c r="AO85" s="98"/>
    </row>
    <row r="86" spans="1:41" ht="12.75">
      <c r="A86" s="68" t="s">
        <v>780</v>
      </c>
      <c r="B86" s="164" t="str">
        <f>IF($D$17&gt;0,$N$34,"N.A.")</f>
        <v>N.A.</v>
      </c>
      <c r="C86" s="107" t="s">
        <v>229</v>
      </c>
      <c r="D86" s="51" t="str">
        <f>$P$34</f>
        <v>b = (g-tw)/2</v>
      </c>
      <c r="E86" s="9"/>
      <c r="F86" s="9"/>
      <c r="G86" s="9"/>
      <c r="H86" s="9"/>
      <c r="I86" s="251"/>
      <c r="M86" s="82" t="s">
        <v>416</v>
      </c>
      <c r="O86" s="33"/>
      <c r="W86" s="36"/>
      <c r="X86" s="36"/>
      <c r="Y86" s="36"/>
      <c r="Z86" s="36"/>
      <c r="AA86" s="36"/>
      <c r="AB86" s="36"/>
      <c r="AC86" s="36"/>
      <c r="AD86" s="360"/>
      <c r="AF86" s="289" t="s">
        <v>534</v>
      </c>
      <c r="AG86" s="290">
        <v>98.9</v>
      </c>
      <c r="AH86" s="291">
        <v>30</v>
      </c>
      <c r="AI86" s="293">
        <v>1.26</v>
      </c>
      <c r="AJ86" s="291">
        <v>14.6</v>
      </c>
      <c r="AK86" s="293">
        <v>2.28</v>
      </c>
      <c r="AL86" s="294">
        <v>3.07</v>
      </c>
      <c r="AN86" s="49"/>
      <c r="AO86" s="98"/>
    </row>
    <row r="87" spans="1:41" ht="12.75">
      <c r="A87" s="68" t="s">
        <v>781</v>
      </c>
      <c r="B87" s="164" t="str">
        <f>IF($D$17&gt;0,$N$35,"N.A.")</f>
        <v>N.A.</v>
      </c>
      <c r="C87" s="107" t="s">
        <v>229</v>
      </c>
      <c r="D87" s="51" t="str">
        <f>$P$35</f>
        <v>b' = b-db/2</v>
      </c>
      <c r="E87" s="9"/>
      <c r="F87" s="9"/>
      <c r="G87" s="9"/>
      <c r="H87" s="9"/>
      <c r="I87" s="251"/>
      <c r="L87" s="42"/>
      <c r="M87" s="93" t="s">
        <v>252</v>
      </c>
      <c r="O87" s="33"/>
      <c r="R87" s="135" t="s">
        <v>297</v>
      </c>
      <c r="W87" s="36"/>
      <c r="X87" s="36"/>
      <c r="Y87" s="36"/>
      <c r="Z87" s="36"/>
      <c r="AA87" s="36"/>
      <c r="AB87" s="36"/>
      <c r="AC87" s="36"/>
      <c r="AD87" s="361"/>
      <c r="AF87" s="289" t="s">
        <v>535</v>
      </c>
      <c r="AG87" s="290">
        <v>90.4</v>
      </c>
      <c r="AH87" s="291">
        <v>29.6</v>
      </c>
      <c r="AI87" s="293">
        <v>1.16</v>
      </c>
      <c r="AJ87" s="291">
        <v>14.4</v>
      </c>
      <c r="AK87" s="293">
        <v>2.09</v>
      </c>
      <c r="AL87" s="294">
        <v>2.88</v>
      </c>
      <c r="AN87" s="49"/>
      <c r="AO87" s="98"/>
    </row>
    <row r="88" spans="1:41" ht="12.75">
      <c r="A88" s="68" t="s">
        <v>782</v>
      </c>
      <c r="B88" s="164" t="str">
        <f>IF($D$17&gt;0,$N$36,"N.A.")</f>
        <v>N.A.</v>
      </c>
      <c r="C88" s="107" t="s">
        <v>229</v>
      </c>
      <c r="D88" s="51" t="str">
        <f>$P$36</f>
        <v>a = minimum of: (bfc-g)/2 , (Lc-g)/2 , or  1.25*b</v>
      </c>
      <c r="E88" s="9"/>
      <c r="F88" s="9"/>
      <c r="G88" s="9"/>
      <c r="H88" s="9"/>
      <c r="I88" s="251"/>
      <c r="M88" s="28" t="s">
        <v>417</v>
      </c>
      <c r="W88" s="36"/>
      <c r="X88" s="36"/>
      <c r="Y88" s="36"/>
      <c r="Z88" s="36"/>
      <c r="AA88" s="36"/>
      <c r="AB88" s="36"/>
      <c r="AC88" s="36"/>
      <c r="AD88" s="361"/>
      <c r="AF88" s="289" t="s">
        <v>536</v>
      </c>
      <c r="AG88" s="290">
        <v>82.9</v>
      </c>
      <c r="AH88" s="291">
        <v>29.3</v>
      </c>
      <c r="AI88" s="293">
        <v>1.06</v>
      </c>
      <c r="AJ88" s="291">
        <v>14.4</v>
      </c>
      <c r="AK88" s="293">
        <v>1.93</v>
      </c>
      <c r="AL88" s="294">
        <v>2.72</v>
      </c>
      <c r="AN88" s="49"/>
      <c r="AO88" s="98"/>
    </row>
    <row r="89" spans="1:38" ht="12.75">
      <c r="A89" s="76" t="s">
        <v>125</v>
      </c>
      <c r="B89" s="164" t="str">
        <f>IF($D$17&gt;0,$N$37,"N.A.")</f>
        <v>N.A.</v>
      </c>
      <c r="C89" s="107" t="s">
        <v>229</v>
      </c>
      <c r="D89" s="51" t="str">
        <f>$P$37</f>
        <v>a' = a+db/2</v>
      </c>
      <c r="E89" s="54"/>
      <c r="F89" s="54"/>
      <c r="G89" s="9"/>
      <c r="H89" s="9"/>
      <c r="I89" s="251"/>
      <c r="M89" s="49" t="s">
        <v>222</v>
      </c>
      <c r="N89" s="42" t="str">
        <f>IF(AND($D$34&gt;0,$D$35&gt;0,$D$35&lt;=0.5*$B$45,$D$36=0),$N$67*$B$46,IF(AND($D$34&gt;0,$D$35&gt;0,$D$36=0,$D$35&gt;0.5*$B$45),"ERROR","N.A."))</f>
        <v>N.A.</v>
      </c>
      <c r="O89" s="37" t="s">
        <v>210</v>
      </c>
      <c r="P89" s="30" t="s">
        <v>97</v>
      </c>
      <c r="W89" s="36"/>
      <c r="X89" s="36"/>
      <c r="Y89" s="36"/>
      <c r="Z89" s="36"/>
      <c r="AA89" s="36"/>
      <c r="AB89" s="36"/>
      <c r="AC89" s="36"/>
      <c r="AD89" s="360"/>
      <c r="AF89" s="289" t="s">
        <v>537</v>
      </c>
      <c r="AG89" s="290">
        <v>76</v>
      </c>
      <c r="AH89" s="291">
        <v>29</v>
      </c>
      <c r="AI89" s="292">
        <v>0.98</v>
      </c>
      <c r="AJ89" s="291">
        <v>14.3</v>
      </c>
      <c r="AK89" s="293">
        <v>1.77</v>
      </c>
      <c r="AL89" s="294">
        <v>2.56</v>
      </c>
    </row>
    <row r="90" spans="1:41" ht="12.75">
      <c r="A90" s="80" t="s">
        <v>38</v>
      </c>
      <c r="B90" s="164" t="str">
        <f>IF($D$17&gt;0,$N$38,"N.A.")</f>
        <v>N.A.</v>
      </c>
      <c r="C90" s="115"/>
      <c r="D90" s="81" t="s">
        <v>20</v>
      </c>
      <c r="E90" s="54"/>
      <c r="F90" s="54"/>
      <c r="G90" s="9"/>
      <c r="H90" s="9"/>
      <c r="I90" s="251"/>
      <c r="M90" s="32" t="s">
        <v>223</v>
      </c>
      <c r="N90" s="40" t="str">
        <f>IF(AND($D$34&gt;0,$D$35&gt;0,$D$35&lt;=0.5*$B$45,$D$36=0),(1/2)*0.6*$N$9*$N$89,IF(AND($D$34&gt;0,$D$35&gt;0,$D$36=0,$D$35&gt;0.5*$B$45),"ERROR","N.A."))</f>
        <v>N.A.</v>
      </c>
      <c r="O90" s="30" t="s">
        <v>206</v>
      </c>
      <c r="P90" s="28" t="s">
        <v>414</v>
      </c>
      <c r="W90" s="36"/>
      <c r="X90" s="36"/>
      <c r="Y90" s="36"/>
      <c r="Z90" s="36"/>
      <c r="AA90" s="36"/>
      <c r="AB90" s="36"/>
      <c r="AC90" s="36"/>
      <c r="AD90" s="360"/>
      <c r="AF90" s="289" t="s">
        <v>538</v>
      </c>
      <c r="AG90" s="290">
        <v>69.4</v>
      </c>
      <c r="AH90" s="291">
        <v>28.7</v>
      </c>
      <c r="AI90" s="292">
        <v>0.91</v>
      </c>
      <c r="AJ90" s="291">
        <v>14.2</v>
      </c>
      <c r="AK90" s="293">
        <v>1.61</v>
      </c>
      <c r="AL90" s="294">
        <v>2.4</v>
      </c>
      <c r="AN90" s="49"/>
      <c r="AO90" s="98"/>
    </row>
    <row r="91" spans="1:41" ht="12.75">
      <c r="A91" s="76" t="s">
        <v>217</v>
      </c>
      <c r="B91" s="164" t="str">
        <f>IF($D$17&gt;0,$N$39,"N.A.")</f>
        <v>N.A.</v>
      </c>
      <c r="C91" s="115"/>
      <c r="D91" s="51" t="str">
        <f>$P$39</f>
        <v>d' = Nominal hole dimensions from Table J3.3</v>
      </c>
      <c r="E91" s="54"/>
      <c r="F91" s="54"/>
      <c r="G91" s="9"/>
      <c r="H91" s="9"/>
      <c r="I91" s="251"/>
      <c r="K91" s="41"/>
      <c r="L91" s="2"/>
      <c r="M91" s="56" t="s">
        <v>285</v>
      </c>
      <c r="O91" s="33"/>
      <c r="W91" s="36"/>
      <c r="X91" s="36"/>
      <c r="Y91" s="36"/>
      <c r="Z91" s="36"/>
      <c r="AA91" s="36"/>
      <c r="AB91" s="36"/>
      <c r="AC91" s="36"/>
      <c r="AD91" s="361"/>
      <c r="AF91" s="289" t="s">
        <v>539</v>
      </c>
      <c r="AG91" s="290">
        <v>64</v>
      </c>
      <c r="AH91" s="291">
        <v>28.4</v>
      </c>
      <c r="AI91" s="292">
        <v>0.83</v>
      </c>
      <c r="AJ91" s="291">
        <v>14.1</v>
      </c>
      <c r="AK91" s="293">
        <v>1.5</v>
      </c>
      <c r="AL91" s="294">
        <v>2.29</v>
      </c>
      <c r="AN91" s="49"/>
      <c r="AO91" s="98"/>
    </row>
    <row r="92" spans="1:41" ht="12.75">
      <c r="A92" s="80" t="s">
        <v>18</v>
      </c>
      <c r="B92" s="164" t="str">
        <f>IF($D$17&gt;0,$N$40,"N.A.")</f>
        <v>N.A.</v>
      </c>
      <c r="C92" s="115"/>
      <c r="D92" s="81" t="s">
        <v>259</v>
      </c>
      <c r="E92" s="54"/>
      <c r="F92" s="54"/>
      <c r="G92" s="9"/>
      <c r="H92" s="9"/>
      <c r="I92" s="251"/>
      <c r="K92" s="41"/>
      <c r="L92" s="2"/>
      <c r="M92" s="49" t="s">
        <v>46</v>
      </c>
      <c r="N92" s="42" t="str">
        <f>IF(AND($D$34&gt;0,$D$35&gt;0,$D$35&lt;=0.5*$B$45,$D$36=0),$N$89,IF(AND($D$34&gt;0,$D$35&gt;0,$D$36=0,$D$35&gt;0.5*$B$45),"ERROR","N.A."))</f>
        <v>N.A.</v>
      </c>
      <c r="O92" s="37" t="s">
        <v>210</v>
      </c>
      <c r="P92" s="47" t="s">
        <v>99</v>
      </c>
      <c r="W92" s="36"/>
      <c r="X92" s="36"/>
      <c r="Y92" s="36"/>
      <c r="Z92" s="36"/>
      <c r="AA92" s="36"/>
      <c r="AB92" s="36"/>
      <c r="AC92" s="36"/>
      <c r="AD92" s="341"/>
      <c r="AF92" s="289" t="s">
        <v>540</v>
      </c>
      <c r="AG92" s="290">
        <v>57.2</v>
      </c>
      <c r="AH92" s="291">
        <v>28.1</v>
      </c>
      <c r="AI92" s="292">
        <v>0.75</v>
      </c>
      <c r="AJ92" s="291">
        <v>14</v>
      </c>
      <c r="AK92" s="293">
        <v>1.34</v>
      </c>
      <c r="AL92" s="294">
        <v>2.13</v>
      </c>
      <c r="AN92" s="49"/>
      <c r="AO92" s="98"/>
    </row>
    <row r="93" spans="1:38" ht="12.75">
      <c r="A93" s="80" t="s">
        <v>123</v>
      </c>
      <c r="B93" s="163" t="str">
        <f>IF($D$17&gt;0,$N$41,"N.A.")</f>
        <v>N.A.</v>
      </c>
      <c r="C93" s="115"/>
      <c r="D93" s="81" t="s">
        <v>124</v>
      </c>
      <c r="E93" s="54"/>
      <c r="F93" s="54"/>
      <c r="G93" s="54"/>
      <c r="H93" s="9"/>
      <c r="I93" s="251"/>
      <c r="M93" s="49" t="s">
        <v>47</v>
      </c>
      <c r="N93" s="60" t="str">
        <f>IF(AND($D$34&gt;0,$D$35&gt;0,$D$35&lt;=0.5*$B$45,$D$36=0),(0.6*$D$12*$N$92)*IF(1-($D$16/$N$90)^2&gt;0,(1-($D$16/$N$90)^2),0.0001),IF(AND($D$34&gt;0,$D$35&gt;0,$D$36=0,$D$35&gt;0.5*$B$45),"ERROR","N.A."))</f>
        <v>N.A.</v>
      </c>
      <c r="O93" s="37" t="s">
        <v>206</v>
      </c>
      <c r="P93" s="37" t="s">
        <v>98</v>
      </c>
      <c r="Q93" s="56"/>
      <c r="W93" s="112"/>
      <c r="X93" s="112"/>
      <c r="Y93" s="112"/>
      <c r="Z93" s="112"/>
      <c r="AA93" s="112"/>
      <c r="AB93" s="112"/>
      <c r="AC93" s="112"/>
      <c r="AD93" s="341"/>
      <c r="AF93" s="289" t="s">
        <v>541</v>
      </c>
      <c r="AG93" s="290">
        <v>52.5</v>
      </c>
      <c r="AH93" s="291">
        <v>27.8</v>
      </c>
      <c r="AI93" s="292">
        <v>0.725</v>
      </c>
      <c r="AJ93" s="291">
        <v>14.1</v>
      </c>
      <c r="AK93" s="293">
        <v>1.19</v>
      </c>
      <c r="AL93" s="294">
        <v>1.98</v>
      </c>
    </row>
    <row r="94" spans="1:41" ht="12.75">
      <c r="A94" s="80" t="s">
        <v>19</v>
      </c>
      <c r="B94" s="164" t="str">
        <f>IF($D$17&gt;0,$N$42,"N.A.")</f>
        <v>N.A.</v>
      </c>
      <c r="C94" s="115"/>
      <c r="D94" s="51" t="s">
        <v>37</v>
      </c>
      <c r="E94" s="54"/>
      <c r="F94" s="54"/>
      <c r="G94" s="54"/>
      <c r="H94" s="54"/>
      <c r="I94" s="251"/>
      <c r="M94" s="56" t="s">
        <v>418</v>
      </c>
      <c r="O94" s="33"/>
      <c r="W94" s="112"/>
      <c r="X94" s="112"/>
      <c r="Y94" s="362"/>
      <c r="Z94" s="112"/>
      <c r="AA94" s="112"/>
      <c r="AB94" s="362"/>
      <c r="AC94" s="112"/>
      <c r="AD94" s="354"/>
      <c r="AF94" s="289" t="s">
        <v>542</v>
      </c>
      <c r="AG94" s="290">
        <v>47.6</v>
      </c>
      <c r="AH94" s="291">
        <v>27.6</v>
      </c>
      <c r="AI94" s="292">
        <v>0.66</v>
      </c>
      <c r="AJ94" s="291">
        <v>14</v>
      </c>
      <c r="AK94" s="293">
        <v>1.08</v>
      </c>
      <c r="AL94" s="294">
        <v>1.87</v>
      </c>
      <c r="AN94" s="49"/>
      <c r="AO94" s="98"/>
    </row>
    <row r="95" spans="1:41" ht="12.75">
      <c r="A95" s="76" t="s">
        <v>800</v>
      </c>
      <c r="B95" s="163" t="str">
        <f>IF($D$17&gt;0,$N$43,"N.A.")</f>
        <v>N.A.</v>
      </c>
      <c r="C95" s="107" t="s">
        <v>229</v>
      </c>
      <c r="D95" s="62" t="s">
        <v>799</v>
      </c>
      <c r="E95" s="54"/>
      <c r="F95" s="54"/>
      <c r="G95" s="54"/>
      <c r="H95" s="79"/>
      <c r="I95" s="251">
        <f>IF($D$17&gt;0,IF($D$21&gt;=$B$95,"tp &gt;= tp(req'd),  O.K.  ","tp &lt; tp(req'd), N.G.  "),"")</f>
      </c>
      <c r="M95" s="32" t="s">
        <v>128</v>
      </c>
      <c r="N95" s="42" t="str">
        <f>IF(AND($D$34&gt;0,$D$35&gt;0,$D$35&lt;=0.5*$B$45,$D$36=0),$B$45-$D$35,IF(AND($D$34&gt;0,$D$35&gt;0,$D$36=0,$D$35&gt;0.5*$B$45),"ERROR","N.A."))</f>
        <v>N.A.</v>
      </c>
      <c r="O95" s="30" t="s">
        <v>229</v>
      </c>
      <c r="P95" s="37" t="s">
        <v>227</v>
      </c>
      <c r="Q95" s="56"/>
      <c r="W95" s="139"/>
      <c r="X95" s="139"/>
      <c r="Y95" s="139"/>
      <c r="Z95" s="139"/>
      <c r="AA95" s="139"/>
      <c r="AB95" s="139"/>
      <c r="AC95" s="139"/>
      <c r="AD95" s="364"/>
      <c r="AF95" s="289" t="s">
        <v>543</v>
      </c>
      <c r="AG95" s="290">
        <v>43.1</v>
      </c>
      <c r="AH95" s="291">
        <v>27.4</v>
      </c>
      <c r="AI95" s="292">
        <v>0.605</v>
      </c>
      <c r="AJ95" s="291">
        <v>14</v>
      </c>
      <c r="AK95" s="292">
        <v>0.975</v>
      </c>
      <c r="AL95" s="294">
        <v>1.76</v>
      </c>
      <c r="AN95" s="49" t="str">
        <f>IF(AO95="","N.A.","SR =")</f>
        <v>N.A.</v>
      </c>
      <c r="AO95" s="98">
        <f>IF($D$17&gt;0,$B$95/$D$21,"")</f>
      </c>
    </row>
    <row r="96" spans="1:41" ht="12.75">
      <c r="A96" s="76" t="s">
        <v>218</v>
      </c>
      <c r="B96" s="163" t="str">
        <f>IF($D$17&gt;0,$N$44,"N.A.")</f>
        <v>N.A.</v>
      </c>
      <c r="C96" s="107" t="s">
        <v>229</v>
      </c>
      <c r="D96" s="51" t="str">
        <f>$P$44</f>
        <v>tc = SQRT(6.66*B*b'/(p*Fup))  (to develop 'B' in bolts/no prying)</v>
      </c>
      <c r="E96" s="54"/>
      <c r="F96" s="54"/>
      <c r="G96" s="54"/>
      <c r="H96" s="54"/>
      <c r="I96" s="251"/>
      <c r="M96" s="32" t="s">
        <v>251</v>
      </c>
      <c r="N96" s="42" t="str">
        <f>IF(AND($D$34&gt;0,$D$35&gt;0,$D$35&lt;=0.5*$B$45,$D$36=0),$D$34+$D$21,IF(AND($D$34&gt;0,$D$35&gt;0,$D$36=0,$D$35&gt;0.5*$B$45),"ERROR","N.A."))</f>
        <v>N.A.</v>
      </c>
      <c r="O96" s="30" t="s">
        <v>229</v>
      </c>
      <c r="P96" s="37" t="s">
        <v>100</v>
      </c>
      <c r="Q96" s="56"/>
      <c r="W96" s="132"/>
      <c r="X96" s="132"/>
      <c r="Y96" s="132"/>
      <c r="Z96" s="132"/>
      <c r="AA96" s="133"/>
      <c r="AB96" s="133"/>
      <c r="AC96" s="133"/>
      <c r="AD96" s="369"/>
      <c r="AF96" s="289" t="s">
        <v>544</v>
      </c>
      <c r="AG96" s="290">
        <v>37.8</v>
      </c>
      <c r="AH96" s="291">
        <v>27.6</v>
      </c>
      <c r="AI96" s="292">
        <v>0.61</v>
      </c>
      <c r="AJ96" s="291">
        <v>10</v>
      </c>
      <c r="AK96" s="293">
        <v>1.1</v>
      </c>
      <c r="AL96" s="294">
        <v>1.7</v>
      </c>
      <c r="AN96" s="49"/>
      <c r="AO96" s="98"/>
    </row>
    <row r="97" spans="1:41" ht="12.75">
      <c r="A97" s="80" t="s">
        <v>19</v>
      </c>
      <c r="B97" s="164" t="str">
        <f>IF($D$17&gt;0,$N$45,"N.A.")</f>
        <v>N.A.</v>
      </c>
      <c r="C97" s="115"/>
      <c r="D97" s="81" t="s">
        <v>801</v>
      </c>
      <c r="E97" s="54"/>
      <c r="F97" s="54"/>
      <c r="G97" s="54"/>
      <c r="H97" s="44"/>
      <c r="I97" s="251"/>
      <c r="L97" s="60"/>
      <c r="M97" s="32" t="s">
        <v>17</v>
      </c>
      <c r="N97" s="42" t="str">
        <f>IF(AND($D$34&gt;0,$D$35&gt;0,$D$35&lt;=0.5*$B$45,$D$36=0),($B$47*$B$48^2/2+($N$95-$B$48)*$B$46*($B$48+($N$95-$B$48)/2))/(($N$95-$B$48)*$B$46+$B$47*$B$48),IF(AND($D$34&gt;0,$D$35&gt;0,$D$36=0,$D$35&gt;0.5*$B$45),"ERROR","N.A."))</f>
        <v>N.A.</v>
      </c>
      <c r="O97" s="30" t="s">
        <v>229</v>
      </c>
      <c r="P97" s="37" t="s">
        <v>228</v>
      </c>
      <c r="Q97" s="56"/>
      <c r="W97" s="132"/>
      <c r="X97" s="132"/>
      <c r="Y97" s="132"/>
      <c r="Z97" s="132"/>
      <c r="AA97" s="133"/>
      <c r="AB97" s="133"/>
      <c r="AC97" s="133"/>
      <c r="AD97" s="369"/>
      <c r="AF97" s="289" t="s">
        <v>545</v>
      </c>
      <c r="AG97" s="290">
        <v>33.5</v>
      </c>
      <c r="AH97" s="291">
        <v>27.3</v>
      </c>
      <c r="AI97" s="292">
        <v>0.57</v>
      </c>
      <c r="AJ97" s="291">
        <v>10.1</v>
      </c>
      <c r="AK97" s="292">
        <v>0.93</v>
      </c>
      <c r="AL97" s="294">
        <v>1.53</v>
      </c>
      <c r="AN97" s="49"/>
      <c r="AO97" s="98"/>
    </row>
    <row r="98" spans="1:38" ht="12.75">
      <c r="A98" s="68" t="s">
        <v>237</v>
      </c>
      <c r="B98" s="172" t="str">
        <f>IF($D$17&gt;0,$N$46,"N.A.")</f>
        <v>N.A.</v>
      </c>
      <c r="C98" s="107" t="s">
        <v>206</v>
      </c>
      <c r="D98" s="54" t="s">
        <v>802</v>
      </c>
      <c r="E98" s="54"/>
      <c r="F98" s="54"/>
      <c r="G98" s="54"/>
      <c r="H98" s="44"/>
      <c r="I98" s="251"/>
      <c r="M98" s="32" t="s">
        <v>286</v>
      </c>
      <c r="N98" s="60" t="str">
        <f>IF(AND($D$34&gt;0,$D$35&gt;0,$D$35&lt;=0.5*$B$45,$D$36=0),$B$47*$B$48^3/12+$B$47*$B$48*($N$97-$B$48/2)^2+$B$46*($N$95-$B$48)^3/12+($N$95-$B$48)*$B$46*($B$48+($N$95-$B$48)/2-$N$97)^2,IF(AND($D$34&gt;0,$D$35&gt;0,$D$36=0,$D$35&gt;0.5*$B$45),"ERROR","N.A."))</f>
        <v>N.A.</v>
      </c>
      <c r="O98" s="30" t="s">
        <v>309</v>
      </c>
      <c r="P98" s="37" t="s">
        <v>63</v>
      </c>
      <c r="Q98" s="56"/>
      <c r="W98" s="132"/>
      <c r="X98" s="132"/>
      <c r="Y98" s="132"/>
      <c r="Z98" s="132"/>
      <c r="AA98" s="133"/>
      <c r="AB98" s="133"/>
      <c r="AC98" s="133"/>
      <c r="AD98" s="369"/>
      <c r="AF98" s="289" t="s">
        <v>546</v>
      </c>
      <c r="AG98" s="290">
        <v>30</v>
      </c>
      <c r="AH98" s="291">
        <v>27.1</v>
      </c>
      <c r="AI98" s="292">
        <v>0.515</v>
      </c>
      <c r="AJ98" s="291">
        <v>10</v>
      </c>
      <c r="AK98" s="292">
        <v>0.83</v>
      </c>
      <c r="AL98" s="294">
        <v>1.43</v>
      </c>
    </row>
    <row r="99" spans="1:41" ht="12.75">
      <c r="A99" s="78"/>
      <c r="B99" s="54"/>
      <c r="C99" s="115"/>
      <c r="D99" s="54" t="s">
        <v>803</v>
      </c>
      <c r="E99" s="54"/>
      <c r="F99" s="54"/>
      <c r="G99" s="54"/>
      <c r="H99" s="79"/>
      <c r="I99" s="251">
        <f>IF($D$17&gt;0,IF($B$98&gt;=$D$17,"Ra &gt;= P,  O.K.  ","Ra &lt; P, N.G.  "),"")</f>
      </c>
      <c r="M99" s="32" t="s">
        <v>187</v>
      </c>
      <c r="N99" s="60" t="str">
        <f>IF(AND($D$34&gt;0,$D$35&gt;0,$D$35&lt;=0.5*$B$45,$D$36=0),$N$98/($N$95-$N$97),IF(AND($D$34&gt;0,$D$35&gt;0,$D$36=0,$D$35&gt;0.5*$B$45),"ERROR","N.A."))</f>
        <v>N.A.</v>
      </c>
      <c r="O99" s="30" t="s">
        <v>308</v>
      </c>
      <c r="P99" s="56" t="s">
        <v>245</v>
      </c>
      <c r="Q99" s="56"/>
      <c r="W99" s="132"/>
      <c r="X99" s="132"/>
      <c r="Y99" s="132"/>
      <c r="Z99" s="132"/>
      <c r="AA99" s="132"/>
      <c r="AB99" s="133"/>
      <c r="AC99" s="365"/>
      <c r="AD99" s="369"/>
      <c r="AF99" s="289" t="s">
        <v>547</v>
      </c>
      <c r="AG99" s="290">
        <v>27.7</v>
      </c>
      <c r="AH99" s="291">
        <v>26.9</v>
      </c>
      <c r="AI99" s="292">
        <v>0.49</v>
      </c>
      <c r="AJ99" s="291">
        <v>10</v>
      </c>
      <c r="AK99" s="292">
        <v>0.745</v>
      </c>
      <c r="AL99" s="294">
        <v>1.34</v>
      </c>
      <c r="AN99" s="49" t="str">
        <f>IF(AO99="","N.A.","SR =")</f>
        <v>N.A.</v>
      </c>
      <c r="AO99" s="98">
        <f>IF($D$17&gt;0,$D$17/$B$98,"")</f>
      </c>
    </row>
    <row r="100" spans="1:38" ht="12.75">
      <c r="A100" s="19"/>
      <c r="B100" s="20"/>
      <c r="C100" s="119"/>
      <c r="D100" s="20"/>
      <c r="E100" s="20"/>
      <c r="F100" s="20"/>
      <c r="G100" s="20"/>
      <c r="H100" s="20"/>
      <c r="I100" s="122" t="s">
        <v>122</v>
      </c>
      <c r="M100" s="32" t="s">
        <v>129</v>
      </c>
      <c r="N100" s="60" t="str">
        <f>IF(AND($D$34&gt;0,$D$35&gt;0,$D$35&lt;=0.5*$B$45,$D$36=0),(1/2)*$N$9*IF(1-$D$17/(0.6*$D$12*$N$92)&gt;0,(1-$D$17/(0.6*$D$12*$N$92)),0.0001),IF(AND($D$34&gt;0,$D$35&gt;0,$D$36=0,$D$35&gt;0.5*$B$45),"ERROR","N.A."))</f>
        <v>N.A.</v>
      </c>
      <c r="O100" s="37" t="s">
        <v>212</v>
      </c>
      <c r="P100" s="37" t="s">
        <v>914</v>
      </c>
      <c r="W100" s="132"/>
      <c r="X100" s="132"/>
      <c r="Y100" s="132"/>
      <c r="Z100" s="132"/>
      <c r="AA100" s="132"/>
      <c r="AB100" s="133"/>
      <c r="AC100" s="133"/>
      <c r="AD100" s="369"/>
      <c r="AF100" s="289" t="s">
        <v>548</v>
      </c>
      <c r="AG100" s="290">
        <v>24.8</v>
      </c>
      <c r="AH100" s="291">
        <v>26.7</v>
      </c>
      <c r="AI100" s="292">
        <v>0.46</v>
      </c>
      <c r="AJ100" s="291">
        <v>10</v>
      </c>
      <c r="AK100" s="292">
        <v>0.64</v>
      </c>
      <c r="AL100" s="294">
        <v>1.24</v>
      </c>
    </row>
    <row r="101" spans="1:41" ht="12.75">
      <c r="A101" s="16"/>
      <c r="B101" s="17"/>
      <c r="C101" s="118"/>
      <c r="D101" s="17"/>
      <c r="E101" s="17"/>
      <c r="F101" s="17"/>
      <c r="G101" s="17"/>
      <c r="H101" s="184"/>
      <c r="I101" s="178"/>
      <c r="M101" s="32" t="s">
        <v>120</v>
      </c>
      <c r="N101" s="60" t="str">
        <f>IF(AND($D$34&gt;0,$D$35&gt;0,$D$34&lt;=$B$45/2,$D$36=0),$N$100*$N$99/$N$96,IF(AND($D$34&gt;0,$D$35&gt;0,$D$36=0,$D$35&gt;0.5*$B$45),"ERROR","N.A."))</f>
        <v>N.A.</v>
      </c>
      <c r="O101" s="30" t="s">
        <v>206</v>
      </c>
      <c r="P101" s="37" t="s">
        <v>311</v>
      </c>
      <c r="W101" s="132"/>
      <c r="X101" s="132"/>
      <c r="Y101" s="132"/>
      <c r="Z101" s="132"/>
      <c r="AA101" s="132"/>
      <c r="AB101" s="365"/>
      <c r="AC101" s="365"/>
      <c r="AD101" s="369"/>
      <c r="AF101" s="289" t="s">
        <v>549</v>
      </c>
      <c r="AG101" s="295">
        <v>109</v>
      </c>
      <c r="AH101" s="291">
        <v>28</v>
      </c>
      <c r="AI101" s="293">
        <v>1.52</v>
      </c>
      <c r="AJ101" s="291">
        <v>13.7</v>
      </c>
      <c r="AK101" s="293">
        <v>2.72</v>
      </c>
      <c r="AL101" s="294">
        <v>3.22</v>
      </c>
      <c r="AN101" s="49"/>
      <c r="AO101" s="98"/>
    </row>
    <row r="102" spans="1:41" ht="12.75">
      <c r="A102" s="84" t="s">
        <v>113</v>
      </c>
      <c r="B102" s="9"/>
      <c r="C102" s="106"/>
      <c r="D102" s="9"/>
      <c r="E102" s="9"/>
      <c r="F102" s="9"/>
      <c r="G102" s="9"/>
      <c r="H102" s="87"/>
      <c r="I102" s="251"/>
      <c r="M102" s="56" t="s">
        <v>419</v>
      </c>
      <c r="O102" s="33"/>
      <c r="W102" s="132"/>
      <c r="X102" s="132"/>
      <c r="Y102" s="132"/>
      <c r="Z102" s="132"/>
      <c r="AA102" s="132"/>
      <c r="AB102" s="132"/>
      <c r="AC102" s="365"/>
      <c r="AD102" s="369"/>
      <c r="AF102" s="289" t="s">
        <v>550</v>
      </c>
      <c r="AG102" s="290">
        <v>98.4</v>
      </c>
      <c r="AH102" s="291">
        <v>27.5</v>
      </c>
      <c r="AI102" s="293">
        <v>1.38</v>
      </c>
      <c r="AJ102" s="291">
        <v>13.5</v>
      </c>
      <c r="AK102" s="293">
        <v>2.48</v>
      </c>
      <c r="AL102" s="294">
        <v>2.98</v>
      </c>
      <c r="AN102" s="49"/>
      <c r="AO102" s="98"/>
    </row>
    <row r="103" spans="1:41" ht="12.75">
      <c r="A103" s="66" t="s">
        <v>77</v>
      </c>
      <c r="B103" s="9"/>
      <c r="C103" s="106"/>
      <c r="D103" s="9"/>
      <c r="E103" s="54"/>
      <c r="F103" s="54"/>
      <c r="G103" s="54"/>
      <c r="H103" s="54"/>
      <c r="I103" s="251"/>
      <c r="M103" s="32" t="s">
        <v>30</v>
      </c>
      <c r="N103" s="42" t="str">
        <f>IF(AND($D$34&gt;0,$D$35&gt;0,$D$35&lt;=0.5*$B$45,$D$36=0),$D$34/$B$45,IF(AND($D$34&gt;0,$D$35&gt;0,$D$36=0,$D$35&gt;0.5*$B$45),"ERROR","N.A."))</f>
        <v>N.A.</v>
      </c>
      <c r="O103" s="30"/>
      <c r="P103" s="37" t="s">
        <v>33</v>
      </c>
      <c r="Q103" s="56"/>
      <c r="V103" s="56"/>
      <c r="W103" s="132"/>
      <c r="X103" s="132"/>
      <c r="Y103" s="132"/>
      <c r="Z103" s="132"/>
      <c r="AA103" s="132"/>
      <c r="AB103" s="132"/>
      <c r="AC103" s="132"/>
      <c r="AD103" s="369"/>
      <c r="AF103" s="289" t="s">
        <v>551</v>
      </c>
      <c r="AG103" s="290">
        <v>89.8</v>
      </c>
      <c r="AH103" s="291">
        <v>27.1</v>
      </c>
      <c r="AI103" s="293">
        <v>1.26</v>
      </c>
      <c r="AJ103" s="291">
        <v>13.4</v>
      </c>
      <c r="AK103" s="293">
        <v>2.28</v>
      </c>
      <c r="AL103" s="294">
        <v>2.78</v>
      </c>
      <c r="AN103" s="49"/>
      <c r="AO103" s="98"/>
    </row>
    <row r="104" spans="1:41" ht="12.75">
      <c r="A104" s="50" t="s">
        <v>260</v>
      </c>
      <c r="B104" s="323" t="str">
        <f>$N$49</f>
        <v>N.A.</v>
      </c>
      <c r="C104" s="105" t="s">
        <v>229</v>
      </c>
      <c r="D104" s="44">
        <f>$P$49</f>
      </c>
      <c r="E104" s="9"/>
      <c r="F104" s="9"/>
      <c r="G104" s="9"/>
      <c r="H104" s="9"/>
      <c r="I104" s="251"/>
      <c r="M104" s="32" t="s">
        <v>262</v>
      </c>
      <c r="N104" s="42" t="str">
        <f>IF(AND($D$34&gt;0,$D$35&gt;0,$D$35&lt;=0.5*$B$45,$D$36=0),IF($N$103&lt;=1,2*$N$103,1+$N$103),IF(AND($D$34&gt;0,$D$35&gt;0,$D$36=0,$D$35&gt;0.5*$B$45),"ERROR","N.A."))</f>
        <v>N.A.</v>
      </c>
      <c r="O104" s="30"/>
      <c r="P104" s="37" t="s">
        <v>34</v>
      </c>
      <c r="Q104" s="56"/>
      <c r="V104" s="42"/>
      <c r="W104" s="132"/>
      <c r="X104" s="132"/>
      <c r="Y104" s="132"/>
      <c r="Z104" s="132"/>
      <c r="AA104" s="132"/>
      <c r="AB104" s="132"/>
      <c r="AC104" s="132"/>
      <c r="AD104" s="369"/>
      <c r="AF104" s="289" t="s">
        <v>552</v>
      </c>
      <c r="AG104" s="290">
        <v>82</v>
      </c>
      <c r="AH104" s="291">
        <v>26.7</v>
      </c>
      <c r="AI104" s="293">
        <v>1.16</v>
      </c>
      <c r="AJ104" s="291">
        <v>13.3</v>
      </c>
      <c r="AK104" s="293">
        <v>2.09</v>
      </c>
      <c r="AL104" s="294">
        <v>2.59</v>
      </c>
      <c r="AN104" s="49"/>
      <c r="AO104" s="98"/>
    </row>
    <row r="105" spans="1:41" ht="12.75">
      <c r="A105" s="50" t="s">
        <v>398</v>
      </c>
      <c r="B105" s="163">
        <f>$N$50</f>
        <v>0.78125</v>
      </c>
      <c r="C105" s="105" t="s">
        <v>229</v>
      </c>
      <c r="D105" s="44" t="str">
        <f>$P$50</f>
        <v>Lce = Clear distance between edge bolt hole and edge</v>
      </c>
      <c r="E105" s="44"/>
      <c r="F105" s="9"/>
      <c r="G105" s="9"/>
      <c r="H105" s="9"/>
      <c r="I105" s="251"/>
      <c r="M105" s="32" t="s">
        <v>29</v>
      </c>
      <c r="N105" s="42" t="str">
        <f>IF(AND($D$34&gt;0,$D$35&gt;0,$D$35&lt;=0.5*$B$45,$D$36=0),$D$34/$N$95,IF(AND($D$34&gt;0,$D$35&gt;0,$D$36=0,$D$35&gt;0.5*$B$45),"ERROR","N.A."))</f>
        <v>N.A.</v>
      </c>
      <c r="O105" s="30"/>
      <c r="P105" s="37" t="s">
        <v>31</v>
      </c>
      <c r="Q105" s="56"/>
      <c r="V105" s="42"/>
      <c r="W105" s="132"/>
      <c r="X105" s="132"/>
      <c r="Y105" s="132"/>
      <c r="Z105" s="132"/>
      <c r="AA105" s="132"/>
      <c r="AB105" s="132"/>
      <c r="AC105" s="132"/>
      <c r="AD105" s="369"/>
      <c r="AF105" s="289" t="s">
        <v>553</v>
      </c>
      <c r="AG105" s="290">
        <v>73.5</v>
      </c>
      <c r="AH105" s="291">
        <v>26.3</v>
      </c>
      <c r="AI105" s="293">
        <v>1.04</v>
      </c>
      <c r="AJ105" s="291">
        <v>13.2</v>
      </c>
      <c r="AK105" s="293">
        <v>1.89</v>
      </c>
      <c r="AL105" s="294">
        <v>2.39</v>
      </c>
      <c r="AN105" s="49"/>
      <c r="AO105" s="98"/>
    </row>
    <row r="106" spans="1:38" ht="12.75">
      <c r="A106" s="50" t="s">
        <v>399</v>
      </c>
      <c r="B106" s="163">
        <f>$N$51</f>
        <v>2.0625</v>
      </c>
      <c r="C106" s="105" t="s">
        <v>229</v>
      </c>
      <c r="D106" s="44" t="str">
        <f>$P$51</f>
        <v>Lcs = Clear distance between bolt holes</v>
      </c>
      <c r="E106" s="44"/>
      <c r="F106" s="9"/>
      <c r="G106" s="9"/>
      <c r="H106" s="9"/>
      <c r="I106" s="251"/>
      <c r="M106" s="32" t="s">
        <v>292</v>
      </c>
      <c r="N106" s="42" t="str">
        <f>IF(AND($D$34&gt;0,$D$35&gt;0,$D$35&lt;=0.5*$B$45,$D$36=0),IF($N$105&lt;=1,2.2*($N$95/$D$34)^1.65,2.2*($N$95/$D$34)),IF(AND($D$34&gt;0,$D$35&gt;0,$D$36=0,$D$35&gt;0.5*$B$45),"ERROR","N.A."))</f>
        <v>N.A.</v>
      </c>
      <c r="O106" s="30"/>
      <c r="P106" s="37" t="s">
        <v>32</v>
      </c>
      <c r="Q106" s="56"/>
      <c r="V106" s="42"/>
      <c r="W106" s="132"/>
      <c r="X106" s="132"/>
      <c r="Y106" s="132"/>
      <c r="Z106" s="132"/>
      <c r="AA106" s="132"/>
      <c r="AB106" s="132"/>
      <c r="AC106" s="132"/>
      <c r="AD106" s="369"/>
      <c r="AF106" s="289" t="s">
        <v>554</v>
      </c>
      <c r="AG106" s="290">
        <v>67.2</v>
      </c>
      <c r="AH106" s="291">
        <v>26</v>
      </c>
      <c r="AI106" s="292">
        <v>0.96</v>
      </c>
      <c r="AJ106" s="291">
        <v>13.1</v>
      </c>
      <c r="AK106" s="293">
        <v>1.73</v>
      </c>
      <c r="AL106" s="294">
        <v>2.23</v>
      </c>
    </row>
    <row r="107" spans="1:41" ht="12.75">
      <c r="A107" s="324" t="s">
        <v>119</v>
      </c>
      <c r="B107" s="168">
        <f>$N$52</f>
        <v>10.1953125</v>
      </c>
      <c r="C107" s="107" t="s">
        <v>206</v>
      </c>
      <c r="D107" s="147" t="str">
        <f>$P$52</f>
        <v>Rpe = (1/2)*min{ (1.2*Lce*tp*Fup), (2.4*db*tp*Fup) }</v>
      </c>
      <c r="E107" s="44"/>
      <c r="F107" s="54"/>
      <c r="G107" s="54"/>
      <c r="H107" s="54"/>
      <c r="I107" s="251"/>
      <c r="M107" s="32" t="s">
        <v>129</v>
      </c>
      <c r="N107" s="60" t="str">
        <f>IF(AND($D$34&gt;0,$D$35&gt;0,$D$35&lt;=0.5*$B$45,$D$36=0),(1/1.67)*MIN(26210*$N$104*$N$106*($B$46/$N$95)^2,$D$12)*IF(1-$D$17/(0.6*$D$12*$N$92)&gt;0,(1-$D$17/(0.6*$D$12*$N$92)),0.0001),IF(AND($D$34&gt;0,$D$35&gt;0,$D$36=0,$D$35&gt;0.5*$B$45),"ERROR","N.A."))</f>
        <v>N.A.</v>
      </c>
      <c r="O107" s="37" t="s">
        <v>212</v>
      </c>
      <c r="P107" s="37" t="s">
        <v>811</v>
      </c>
      <c r="V107" s="56"/>
      <c r="W107" s="132"/>
      <c r="X107" s="132"/>
      <c r="Y107" s="132"/>
      <c r="Z107" s="132"/>
      <c r="AA107" s="132"/>
      <c r="AB107" s="132"/>
      <c r="AC107" s="132"/>
      <c r="AD107" s="369"/>
      <c r="AF107" s="289" t="s">
        <v>555</v>
      </c>
      <c r="AG107" s="290">
        <v>60.7</v>
      </c>
      <c r="AH107" s="291">
        <v>25.7</v>
      </c>
      <c r="AI107" s="292">
        <v>0.87</v>
      </c>
      <c r="AJ107" s="291">
        <v>13</v>
      </c>
      <c r="AK107" s="293">
        <v>1.57</v>
      </c>
      <c r="AL107" s="294">
        <v>2.07</v>
      </c>
      <c r="AN107" s="49"/>
      <c r="AO107" s="98"/>
    </row>
    <row r="108" spans="1:41" ht="12.75">
      <c r="A108" s="324" t="s">
        <v>291</v>
      </c>
      <c r="B108" s="168">
        <f>$N$53</f>
        <v>22.837500000000002</v>
      </c>
      <c r="C108" s="107" t="s">
        <v>206</v>
      </c>
      <c r="D108" s="147" t="str">
        <f>$P$53</f>
        <v>Rps = (1/2)*min{ (1.2*Lcs*tp*Fup), (2.4*db*tp*Fup) }</v>
      </c>
      <c r="E108" s="44"/>
      <c r="F108" s="54"/>
      <c r="G108" s="54"/>
      <c r="H108" s="54"/>
      <c r="I108" s="251"/>
      <c r="M108" s="32" t="s">
        <v>120</v>
      </c>
      <c r="N108" s="60" t="str">
        <f>IF(AND($D$34&gt;0,$D$35&gt;0,$D$35&lt;=0.5*$B$45,$D$36=0),$N$107*$N$99/$N$96,IF(AND($D$34&gt;0,$D$35&gt;0,$D$36=0,$D$35&gt;0.5*$B$45),"ERROR","N.A."))</f>
        <v>N.A.</v>
      </c>
      <c r="O108" s="30" t="s">
        <v>206</v>
      </c>
      <c r="P108" s="37" t="s">
        <v>311</v>
      </c>
      <c r="V108" s="42"/>
      <c r="W108" s="132"/>
      <c r="X108" s="132"/>
      <c r="Y108" s="132"/>
      <c r="Z108" s="132"/>
      <c r="AA108" s="132"/>
      <c r="AB108" s="132"/>
      <c r="AC108" s="132"/>
      <c r="AD108" s="369"/>
      <c r="AF108" s="289" t="s">
        <v>556</v>
      </c>
      <c r="AG108" s="290">
        <v>56.3</v>
      </c>
      <c r="AH108" s="291">
        <v>25.5</v>
      </c>
      <c r="AI108" s="292">
        <v>0.81</v>
      </c>
      <c r="AJ108" s="291">
        <v>13</v>
      </c>
      <c r="AK108" s="293">
        <v>1.46</v>
      </c>
      <c r="AL108" s="294">
        <v>1.96</v>
      </c>
      <c r="AN108" s="49"/>
      <c r="AO108" s="98"/>
    </row>
    <row r="109" spans="1:41" ht="12.75">
      <c r="A109" s="50" t="s">
        <v>301</v>
      </c>
      <c r="B109" s="172">
        <f>$N$54</f>
        <v>157.415625</v>
      </c>
      <c r="C109" s="107" t="s">
        <v>206</v>
      </c>
      <c r="D109" s="44" t="str">
        <f>$P$54</f>
        <v>Rpv = 2*{ Rpe+(Nb-1)*Rps }</v>
      </c>
      <c r="E109" s="44"/>
      <c r="F109" s="54"/>
      <c r="G109" s="54"/>
      <c r="H109" s="58"/>
      <c r="I109" s="251" t="str">
        <f>IF($B$109&gt;=$D$16,"Rpv &gt;= R,  O.K.  ","Rpv &lt; R, N.G.  ")</f>
        <v>Rpv &gt;= R,  O.K.  </v>
      </c>
      <c r="M109" s="93" t="s">
        <v>209</v>
      </c>
      <c r="O109" s="33"/>
      <c r="R109" s="135" t="s">
        <v>298</v>
      </c>
      <c r="V109" s="42"/>
      <c r="W109" s="132"/>
      <c r="X109" s="132"/>
      <c r="Y109" s="132"/>
      <c r="Z109" s="132"/>
      <c r="AA109" s="132"/>
      <c r="AB109" s="132"/>
      <c r="AC109" s="132"/>
      <c r="AD109" s="369"/>
      <c r="AF109" s="289" t="s">
        <v>557</v>
      </c>
      <c r="AG109" s="290">
        <v>51.7</v>
      </c>
      <c r="AH109" s="291">
        <v>25.2</v>
      </c>
      <c r="AI109" s="292">
        <v>0.75</v>
      </c>
      <c r="AJ109" s="291">
        <v>12.9</v>
      </c>
      <c r="AK109" s="293">
        <v>1.34</v>
      </c>
      <c r="AL109" s="294">
        <v>1.84</v>
      </c>
      <c r="AN109" s="49" t="s">
        <v>278</v>
      </c>
      <c r="AO109" s="98">
        <f>$D$16/$B$109</f>
        <v>0.2541043813153872</v>
      </c>
    </row>
    <row r="110" spans="1:41" ht="12.75">
      <c r="A110" s="18"/>
      <c r="B110" s="9"/>
      <c r="C110" s="9"/>
      <c r="D110" s="9"/>
      <c r="E110" s="44"/>
      <c r="F110" s="9"/>
      <c r="G110" s="9"/>
      <c r="H110" s="87"/>
      <c r="I110" s="251"/>
      <c r="K110" s="41"/>
      <c r="M110" s="28" t="s">
        <v>421</v>
      </c>
      <c r="O110" s="33"/>
      <c r="V110" s="42"/>
      <c r="W110" s="132"/>
      <c r="X110" s="132"/>
      <c r="Y110" s="132"/>
      <c r="Z110" s="132"/>
      <c r="AA110" s="132"/>
      <c r="AB110" s="132"/>
      <c r="AC110" s="132"/>
      <c r="AD110" s="369"/>
      <c r="AF110" s="289" t="s">
        <v>558</v>
      </c>
      <c r="AG110" s="290">
        <v>47.7</v>
      </c>
      <c r="AH110" s="291">
        <v>25</v>
      </c>
      <c r="AI110" s="292">
        <v>0.705</v>
      </c>
      <c r="AJ110" s="291">
        <v>13</v>
      </c>
      <c r="AK110" s="293">
        <v>1.22</v>
      </c>
      <c r="AL110" s="294">
        <v>1.72</v>
      </c>
      <c r="AN110" s="49"/>
      <c r="AO110" s="98"/>
    </row>
    <row r="111" spans="1:41" ht="12.75">
      <c r="A111" s="326" t="s">
        <v>82</v>
      </c>
      <c r="B111" s="9"/>
      <c r="C111" s="106"/>
      <c r="D111" s="9"/>
      <c r="E111" s="9"/>
      <c r="F111" s="9"/>
      <c r="G111" s="9"/>
      <c r="H111" s="87"/>
      <c r="I111" s="251"/>
      <c r="M111" s="49" t="s">
        <v>222</v>
      </c>
      <c r="N111" s="42" t="str">
        <f>IF(AND($D$34&gt;0,$D$35&gt;0,$D$36&gt;0),$N$67*$B$46,"N.A.")</f>
        <v>N.A.</v>
      </c>
      <c r="O111" s="37" t="s">
        <v>210</v>
      </c>
      <c r="P111" s="37" t="s">
        <v>97</v>
      </c>
      <c r="W111" s="138"/>
      <c r="X111" s="132"/>
      <c r="Y111" s="132"/>
      <c r="Z111" s="132"/>
      <c r="AA111" s="132"/>
      <c r="AB111" s="132"/>
      <c r="AC111" s="132"/>
      <c r="AD111" s="369"/>
      <c r="AF111" s="289" t="s">
        <v>559</v>
      </c>
      <c r="AG111" s="290">
        <v>43</v>
      </c>
      <c r="AH111" s="291">
        <v>24.7</v>
      </c>
      <c r="AI111" s="292">
        <v>0.65</v>
      </c>
      <c r="AJ111" s="291">
        <v>12.9</v>
      </c>
      <c r="AK111" s="293">
        <v>1.09</v>
      </c>
      <c r="AL111" s="294">
        <v>1.59</v>
      </c>
      <c r="AN111" s="49"/>
      <c r="AO111" s="98"/>
    </row>
    <row r="112" spans="1:41" ht="12.75">
      <c r="A112" s="68" t="s">
        <v>117</v>
      </c>
      <c r="B112" s="173">
        <f>$N$56</f>
        <v>8.625</v>
      </c>
      <c r="C112" s="107" t="s">
        <v>210</v>
      </c>
      <c r="D112" s="51" t="str">
        <f>$P$56</f>
        <v>Avg = 2*((Nr-1)*S+(2*ED))*tp</v>
      </c>
      <c r="E112" s="44"/>
      <c r="F112" s="9"/>
      <c r="G112" s="9"/>
      <c r="H112" s="9"/>
      <c r="I112" s="251"/>
      <c r="M112" s="32" t="s">
        <v>223</v>
      </c>
      <c r="N112" s="40" t="str">
        <f>IF(AND($D$34&gt;0,$D$35&gt;0,$D$36&gt;0),(1/2)*0.6*$N$9*$N$111,"N.A.")</f>
        <v>N.A.</v>
      </c>
      <c r="O112" s="30" t="s">
        <v>206</v>
      </c>
      <c r="P112" s="28" t="s">
        <v>414</v>
      </c>
      <c r="W112" s="138"/>
      <c r="X112" s="138"/>
      <c r="Y112" s="132"/>
      <c r="Z112" s="132"/>
      <c r="AA112" s="132"/>
      <c r="AB112" s="132"/>
      <c r="AC112" s="132"/>
      <c r="AD112" s="369"/>
      <c r="AF112" s="289" t="s">
        <v>560</v>
      </c>
      <c r="AG112" s="290">
        <v>38.5</v>
      </c>
      <c r="AH112" s="291">
        <v>24.5</v>
      </c>
      <c r="AI112" s="292">
        <v>0.605</v>
      </c>
      <c r="AJ112" s="291">
        <v>12.9</v>
      </c>
      <c r="AK112" s="292">
        <v>0.96</v>
      </c>
      <c r="AL112" s="294">
        <v>1.46</v>
      </c>
      <c r="AN112" s="49"/>
      <c r="AO112" s="98"/>
    </row>
    <row r="113" spans="1:41" ht="12.75">
      <c r="A113" s="68" t="s">
        <v>221</v>
      </c>
      <c r="B113" s="172">
        <f>$N$57</f>
        <v>124.19999999999999</v>
      </c>
      <c r="C113" s="107" t="s">
        <v>206</v>
      </c>
      <c r="D113" s="51" t="str">
        <f>$P$57</f>
        <v>Rvg = (1/1.5)*0.60*Fyp*Avg</v>
      </c>
      <c r="E113" s="44"/>
      <c r="F113" s="9"/>
      <c r="G113" s="9"/>
      <c r="H113" s="58"/>
      <c r="I113" s="251" t="str">
        <f>IF($B$113&gt;=$D$16,"Rvg &gt;= R,  O.K.  ","Rvg &lt; R, N.G.  ")</f>
        <v>Rvg &gt;= R,  O.K.  </v>
      </c>
      <c r="M113" s="56" t="s">
        <v>813</v>
      </c>
      <c r="O113" s="33"/>
      <c r="W113" s="133"/>
      <c r="X113" s="133"/>
      <c r="Y113" s="132"/>
      <c r="Z113" s="132"/>
      <c r="AA113" s="132"/>
      <c r="AB113" s="132"/>
      <c r="AC113" s="132"/>
      <c r="AD113" s="369"/>
      <c r="AF113" s="289" t="s">
        <v>561</v>
      </c>
      <c r="AG113" s="290">
        <v>34.4</v>
      </c>
      <c r="AH113" s="291">
        <v>24.3</v>
      </c>
      <c r="AI113" s="292">
        <v>0.55</v>
      </c>
      <c r="AJ113" s="291">
        <v>12.8</v>
      </c>
      <c r="AK113" s="292">
        <v>0.85</v>
      </c>
      <c r="AL113" s="294">
        <v>1.35</v>
      </c>
      <c r="AN113" s="49" t="s">
        <v>278</v>
      </c>
      <c r="AO113" s="98">
        <f>$D$16/$B$113</f>
        <v>0.32206119162640906</v>
      </c>
    </row>
    <row r="114" spans="1:38" ht="12.75">
      <c r="A114" s="18"/>
      <c r="B114" s="9"/>
      <c r="C114" s="9"/>
      <c r="D114" s="9"/>
      <c r="E114" s="9"/>
      <c r="F114" s="9"/>
      <c r="G114" s="9"/>
      <c r="H114" s="9"/>
      <c r="I114" s="251"/>
      <c r="L114" s="257"/>
      <c r="M114" s="49" t="s">
        <v>46</v>
      </c>
      <c r="N114" s="42" t="str">
        <f>IF(AND($D$34&gt;0,$D$35&gt;0,$D$36&gt;0),$N$111,"N.A.")</f>
        <v>N.A.</v>
      </c>
      <c r="O114" s="37" t="s">
        <v>210</v>
      </c>
      <c r="P114" s="37" t="s">
        <v>99</v>
      </c>
      <c r="W114" s="133"/>
      <c r="X114" s="133"/>
      <c r="Y114" s="132"/>
      <c r="Z114" s="132"/>
      <c r="AA114" s="132"/>
      <c r="AB114" s="132"/>
      <c r="AC114" s="132"/>
      <c r="AD114" s="369"/>
      <c r="AF114" s="289" t="s">
        <v>562</v>
      </c>
      <c r="AG114" s="290">
        <v>30.6</v>
      </c>
      <c r="AH114" s="291">
        <v>24.1</v>
      </c>
      <c r="AI114" s="292">
        <v>0.5</v>
      </c>
      <c r="AJ114" s="291">
        <v>12.8</v>
      </c>
      <c r="AK114" s="292">
        <v>0.75</v>
      </c>
      <c r="AL114" s="294">
        <v>1.25</v>
      </c>
    </row>
    <row r="115" spans="1:41" ht="12.75">
      <c r="A115" s="326" t="s">
        <v>87</v>
      </c>
      <c r="B115" s="44"/>
      <c r="C115" s="115"/>
      <c r="D115" s="51"/>
      <c r="E115" s="44"/>
      <c r="F115" s="9"/>
      <c r="G115" s="9"/>
      <c r="H115" s="9"/>
      <c r="I115" s="251"/>
      <c r="M115" s="49" t="s">
        <v>45</v>
      </c>
      <c r="N115" s="60" t="str">
        <f>IF(AND($D$34&gt;0,$D$35&gt;0,$D$36&gt;0),(0.6*$D$12*$N$114)*IF(1-($D$16/$N$112)^2&gt;0,(1-($D$16/$N$112)^2),0.0001),"N.A.")</f>
        <v>N.A.</v>
      </c>
      <c r="O115" s="37" t="s">
        <v>206</v>
      </c>
      <c r="P115" s="37" t="s">
        <v>812</v>
      </c>
      <c r="Q115" s="56"/>
      <c r="V115" s="42"/>
      <c r="W115" s="133"/>
      <c r="X115" s="133"/>
      <c r="Y115" s="132"/>
      <c r="Z115" s="132"/>
      <c r="AA115" s="132"/>
      <c r="AB115" s="132"/>
      <c r="AC115" s="132"/>
      <c r="AD115" s="369"/>
      <c r="AF115" s="289" t="s">
        <v>563</v>
      </c>
      <c r="AG115" s="290">
        <v>30.3</v>
      </c>
      <c r="AH115" s="291">
        <v>24.5</v>
      </c>
      <c r="AI115" s="292">
        <v>0.55</v>
      </c>
      <c r="AJ115" s="293">
        <v>9</v>
      </c>
      <c r="AK115" s="292">
        <v>0.98</v>
      </c>
      <c r="AL115" s="294">
        <v>1.48</v>
      </c>
      <c r="AN115" s="49"/>
      <c r="AO115" s="98"/>
    </row>
    <row r="116" spans="1:41" ht="12.75">
      <c r="A116" s="68" t="s">
        <v>222</v>
      </c>
      <c r="B116" s="173">
        <f>$N$59</f>
        <v>5.625</v>
      </c>
      <c r="C116" s="107" t="s">
        <v>210</v>
      </c>
      <c r="D116" s="51" t="str">
        <f>$P$59</f>
        <v>Avn = Avg-2*(Nr*(dh1+1/16)*tp)</v>
      </c>
      <c r="E116" s="44"/>
      <c r="F116" s="9"/>
      <c r="G116" s="9"/>
      <c r="H116" s="9"/>
      <c r="I116" s="251"/>
      <c r="M116" s="56" t="s">
        <v>422</v>
      </c>
      <c r="O116" s="33"/>
      <c r="V116" s="40"/>
      <c r="Y116" s="132"/>
      <c r="Z116" s="132"/>
      <c r="AA116" s="132"/>
      <c r="AB116" s="132"/>
      <c r="AC116" s="132"/>
      <c r="AD116" s="369"/>
      <c r="AF116" s="289" t="s">
        <v>564</v>
      </c>
      <c r="AG116" s="290">
        <v>27.7</v>
      </c>
      <c r="AH116" s="291">
        <v>24.3</v>
      </c>
      <c r="AI116" s="292">
        <v>0.515</v>
      </c>
      <c r="AJ116" s="293">
        <v>9.07</v>
      </c>
      <c r="AK116" s="292">
        <v>0.875</v>
      </c>
      <c r="AL116" s="294">
        <v>1.38</v>
      </c>
      <c r="AN116" s="49"/>
      <c r="AO116" s="98"/>
    </row>
    <row r="117" spans="1:41" ht="12.75">
      <c r="A117" s="68" t="s">
        <v>223</v>
      </c>
      <c r="B117" s="172">
        <f>$N$60</f>
        <v>97.87499999999999</v>
      </c>
      <c r="C117" s="107" t="s">
        <v>206</v>
      </c>
      <c r="D117" s="51" t="str">
        <f>$P$60</f>
        <v>Rvn = (1/2)*0.60*Fup*Avn</v>
      </c>
      <c r="E117" s="44"/>
      <c r="F117" s="44"/>
      <c r="G117" s="44"/>
      <c r="H117" s="58"/>
      <c r="I117" s="251" t="str">
        <f>IF($B$117&gt;=$D$16,"Rvn &gt;= R,  O.K.  ","Rvn &lt; R, N.G.  ")</f>
        <v>Rvn &gt;= R,  O.K.  </v>
      </c>
      <c r="M117" s="32" t="s">
        <v>128</v>
      </c>
      <c r="N117" s="42" t="str">
        <f>IF(AND($D$34&gt;0,$D$35&gt;0,$D$36&gt;0),$B$45-$D$35-$D$36,"N.A.")</f>
        <v>N.A.</v>
      </c>
      <c r="O117" s="30" t="s">
        <v>229</v>
      </c>
      <c r="P117" s="37" t="s">
        <v>420</v>
      </c>
      <c r="Q117" s="56"/>
      <c r="W117" s="112"/>
      <c r="X117" s="112"/>
      <c r="Y117" s="132"/>
      <c r="Z117" s="132"/>
      <c r="AA117" s="132"/>
      <c r="AB117" s="132"/>
      <c r="AC117" s="132"/>
      <c r="AD117" s="369"/>
      <c r="AF117" s="289" t="s">
        <v>565</v>
      </c>
      <c r="AG117" s="290">
        <v>24.7</v>
      </c>
      <c r="AH117" s="291">
        <v>24.1</v>
      </c>
      <c r="AI117" s="292">
        <v>0.47</v>
      </c>
      <c r="AJ117" s="293">
        <v>9.02</v>
      </c>
      <c r="AK117" s="292">
        <v>0.77</v>
      </c>
      <c r="AL117" s="294">
        <v>1.27</v>
      </c>
      <c r="AN117" s="49" t="s">
        <v>278</v>
      </c>
      <c r="AO117" s="98">
        <f>$D$16/$B$117</f>
        <v>0.4086845466155812</v>
      </c>
    </row>
    <row r="118" spans="1:41" ht="12.75">
      <c r="A118" s="18"/>
      <c r="B118" s="9"/>
      <c r="C118" s="9"/>
      <c r="D118" s="9"/>
      <c r="E118" s="9"/>
      <c r="F118" s="9"/>
      <c r="G118" s="9"/>
      <c r="H118" s="9"/>
      <c r="I118" s="251"/>
      <c r="M118" s="32" t="s">
        <v>251</v>
      </c>
      <c r="N118" s="42" t="str">
        <f>IF(AND($D$34&gt;0,$D$35&gt;0,$D$36&gt;0),$D$34+$D$21,"N.A.")</f>
        <v>N.A.</v>
      </c>
      <c r="O118" s="30" t="s">
        <v>229</v>
      </c>
      <c r="P118" s="37" t="s">
        <v>100</v>
      </c>
      <c r="Q118" s="56"/>
      <c r="W118" s="112"/>
      <c r="X118" s="112"/>
      <c r="Y118" s="132"/>
      <c r="Z118" s="132"/>
      <c r="AA118" s="132"/>
      <c r="AB118" s="132"/>
      <c r="AC118" s="132"/>
      <c r="AD118" s="369"/>
      <c r="AF118" s="289" t="s">
        <v>566</v>
      </c>
      <c r="AG118" s="290">
        <v>22.4</v>
      </c>
      <c r="AH118" s="291">
        <v>23.9</v>
      </c>
      <c r="AI118" s="292">
        <v>0.44</v>
      </c>
      <c r="AJ118" s="293">
        <v>8.99</v>
      </c>
      <c r="AK118" s="292">
        <v>0.68</v>
      </c>
      <c r="AL118" s="294">
        <v>1.18</v>
      </c>
      <c r="AN118" s="49"/>
      <c r="AO118" s="98"/>
    </row>
    <row r="119" spans="1:41" ht="12.75">
      <c r="A119" s="72" t="s">
        <v>91</v>
      </c>
      <c r="B119" s="9"/>
      <c r="C119" s="9"/>
      <c r="D119" s="9"/>
      <c r="E119" s="9"/>
      <c r="F119" s="9"/>
      <c r="G119" s="9"/>
      <c r="H119" s="9"/>
      <c r="I119" s="251"/>
      <c r="M119" s="32" t="s">
        <v>17</v>
      </c>
      <c r="N119" s="42" t="str">
        <f>IF(AND($D$34&gt;0,$D$35&gt;0,$D$36&gt;0),$N$117/2,"N.A.")</f>
        <v>N.A.</v>
      </c>
      <c r="O119" s="30" t="s">
        <v>229</v>
      </c>
      <c r="P119" s="71" t="s">
        <v>243</v>
      </c>
      <c r="Q119" s="56"/>
      <c r="W119" s="139"/>
      <c r="X119" s="139"/>
      <c r="Y119" s="138"/>
      <c r="Z119" s="138"/>
      <c r="AA119" s="138"/>
      <c r="AB119" s="138"/>
      <c r="AC119" s="138"/>
      <c r="AD119" s="370"/>
      <c r="AF119" s="289" t="s">
        <v>567</v>
      </c>
      <c r="AG119" s="290">
        <v>20.1</v>
      </c>
      <c r="AH119" s="291">
        <v>23.7</v>
      </c>
      <c r="AI119" s="292">
        <v>0.415</v>
      </c>
      <c r="AJ119" s="293">
        <v>8.97</v>
      </c>
      <c r="AK119" s="292">
        <v>0.585</v>
      </c>
      <c r="AL119" s="294">
        <v>1.09</v>
      </c>
      <c r="AN119" s="49"/>
      <c r="AO119" s="98"/>
    </row>
    <row r="120" spans="1:41" ht="12.75">
      <c r="A120" s="68" t="s">
        <v>402</v>
      </c>
      <c r="B120" s="173">
        <f>$N$62</f>
        <v>5.0625</v>
      </c>
      <c r="C120" s="107" t="s">
        <v>210</v>
      </c>
      <c r="D120" s="51" t="str">
        <f>$P$62</f>
        <v>Anv = 2* { (ED+(Nr-1)*S)-[(Nr-1)*(dh1+1/16)+(dh1+1/16)/2] }*tp</v>
      </c>
      <c r="E120" s="9"/>
      <c r="F120" s="9"/>
      <c r="G120" s="9"/>
      <c r="H120" s="9"/>
      <c r="I120" s="251"/>
      <c r="M120" s="32" t="s">
        <v>286</v>
      </c>
      <c r="N120" s="60" t="str">
        <f>IF(AND($D$34&gt;0,$D$35&gt;0,$D$36&gt;0),$B$46*$N$117^3/12,"N.A.")</f>
        <v>N.A.</v>
      </c>
      <c r="O120" s="30" t="s">
        <v>309</v>
      </c>
      <c r="P120" s="37" t="s">
        <v>244</v>
      </c>
      <c r="Q120" s="56"/>
      <c r="W120" s="133"/>
      <c r="X120" s="132"/>
      <c r="Y120" s="133"/>
      <c r="Z120" s="133"/>
      <c r="AA120" s="36"/>
      <c r="AB120" s="133"/>
      <c r="AC120" s="345"/>
      <c r="AD120" s="36"/>
      <c r="AF120" s="289" t="s">
        <v>568</v>
      </c>
      <c r="AG120" s="290">
        <v>18.2</v>
      </c>
      <c r="AH120" s="291">
        <v>23.7</v>
      </c>
      <c r="AI120" s="292">
        <v>0.43</v>
      </c>
      <c r="AJ120" s="293">
        <v>7.04</v>
      </c>
      <c r="AK120" s="292">
        <v>0.59</v>
      </c>
      <c r="AL120" s="294">
        <v>1.09</v>
      </c>
      <c r="AN120" s="49"/>
      <c r="AO120" s="98"/>
    </row>
    <row r="121" spans="1:41" ht="12.75">
      <c r="A121" s="68" t="s">
        <v>403</v>
      </c>
      <c r="B121" s="163">
        <f>$N$63</f>
        <v>7.6875</v>
      </c>
      <c r="C121" s="107" t="s">
        <v>210</v>
      </c>
      <c r="D121" s="51" t="str">
        <f>$P$63</f>
        <v>Agv = 2*(ED+(Nr-1)*S))*tp</v>
      </c>
      <c r="E121" s="9"/>
      <c r="F121" s="9"/>
      <c r="G121" s="9"/>
      <c r="H121" s="9"/>
      <c r="I121" s="251"/>
      <c r="M121" s="32" t="s">
        <v>187</v>
      </c>
      <c r="N121" s="60" t="str">
        <f>IF(AND($D$34&gt;0,$D$35&gt;0,$D$36&gt;0),$N$120/($N$117-$N$119),"N.A.")</f>
        <v>N.A.</v>
      </c>
      <c r="O121" s="30" t="s">
        <v>308</v>
      </c>
      <c r="P121" s="56" t="s">
        <v>245</v>
      </c>
      <c r="Q121" s="56"/>
      <c r="W121" s="133"/>
      <c r="X121" s="133"/>
      <c r="Y121" s="133"/>
      <c r="Z121" s="133"/>
      <c r="AA121" s="36"/>
      <c r="AB121" s="133"/>
      <c r="AC121" s="124"/>
      <c r="AD121" s="367"/>
      <c r="AF121" s="289" t="s">
        <v>569</v>
      </c>
      <c r="AG121" s="290">
        <v>16.2</v>
      </c>
      <c r="AH121" s="291">
        <v>23.6</v>
      </c>
      <c r="AI121" s="292">
        <v>0.395</v>
      </c>
      <c r="AJ121" s="293">
        <v>7.01</v>
      </c>
      <c r="AK121" s="292">
        <v>0.505</v>
      </c>
      <c r="AL121" s="294">
        <v>1.01</v>
      </c>
      <c r="AN121" s="49"/>
      <c r="AO121" s="98"/>
    </row>
    <row r="122" spans="1:41" ht="12.75">
      <c r="A122" s="68" t="s">
        <v>404</v>
      </c>
      <c r="B122" s="163">
        <f>$N$64</f>
        <v>0.5625</v>
      </c>
      <c r="C122" s="107" t="s">
        <v>210</v>
      </c>
      <c r="D122" s="51" t="str">
        <f>$P$64</f>
        <v>Ant = 2*{ (Lc-g)/2-(dh1+1/16)/2 }*tp</v>
      </c>
      <c r="E122" s="9"/>
      <c r="F122" s="9"/>
      <c r="G122" s="9"/>
      <c r="H122" s="9"/>
      <c r="I122" s="251"/>
      <c r="L122" s="226"/>
      <c r="M122" s="32" t="s">
        <v>129</v>
      </c>
      <c r="N122" s="60" t="str">
        <f>IF(AND($D$34&gt;0,$D$35&gt;0,$D$36&gt;0),(1/2)*$N$9*IF(1-$D$17/(0.6*$D$12*$N$111)&gt;0,(1-$D$17/(0.6*$D$12*$N$111)),0.0001),"N.A.")</f>
        <v>N.A.</v>
      </c>
      <c r="O122" s="37" t="s">
        <v>212</v>
      </c>
      <c r="P122" s="37" t="s">
        <v>914</v>
      </c>
      <c r="W122" s="132"/>
      <c r="X122" s="133"/>
      <c r="Y122" s="133"/>
      <c r="Z122" s="133"/>
      <c r="AA122" s="36"/>
      <c r="AB122" s="133"/>
      <c r="AC122" s="369"/>
      <c r="AD122" s="369"/>
      <c r="AF122" s="289" t="s">
        <v>570</v>
      </c>
      <c r="AG122" s="290">
        <v>59.2</v>
      </c>
      <c r="AH122" s="291">
        <v>23</v>
      </c>
      <c r="AI122" s="292">
        <v>0.91</v>
      </c>
      <c r="AJ122" s="291">
        <v>12.6</v>
      </c>
      <c r="AK122" s="293">
        <v>1.63</v>
      </c>
      <c r="AL122" s="294">
        <v>2.13</v>
      </c>
      <c r="AN122" s="49"/>
      <c r="AO122" s="98"/>
    </row>
    <row r="123" spans="1:41" ht="12.75">
      <c r="A123" s="68" t="s">
        <v>193</v>
      </c>
      <c r="B123" s="172">
        <f>$N$65</f>
        <v>99.33749999999999</v>
      </c>
      <c r="C123" s="107" t="s">
        <v>206</v>
      </c>
      <c r="D123" s="51" t="str">
        <f>$P$65</f>
        <v>Rbs = min(0.30*Fup*Anv+0.50*Fup*Ant, 0.30*Fyp*Agv+0.50*Fup*Ant)</v>
      </c>
      <c r="E123" s="9"/>
      <c r="F123" s="9"/>
      <c r="G123" s="9"/>
      <c r="H123" s="58"/>
      <c r="I123" s="251"/>
      <c r="L123" s="226"/>
      <c r="M123" s="32" t="s">
        <v>120</v>
      </c>
      <c r="N123" s="60" t="str">
        <f>IF(AND($D$34&gt;0,$D$35&gt;0,$D$36&gt;0),$N$122*$N$121/$N$118,"N.A.")</f>
        <v>N.A.</v>
      </c>
      <c r="O123" s="30" t="s">
        <v>206</v>
      </c>
      <c r="P123" s="37" t="s">
        <v>311</v>
      </c>
      <c r="V123" s="103"/>
      <c r="W123" s="133"/>
      <c r="X123" s="133"/>
      <c r="AF123" s="289" t="s">
        <v>571</v>
      </c>
      <c r="AG123" s="290">
        <v>53.6</v>
      </c>
      <c r="AH123" s="291">
        <v>22.7</v>
      </c>
      <c r="AI123" s="292">
        <v>0.83</v>
      </c>
      <c r="AJ123" s="291">
        <v>12.5</v>
      </c>
      <c r="AK123" s="293">
        <v>1.48</v>
      </c>
      <c r="AL123" s="294">
        <v>1.98</v>
      </c>
      <c r="AN123" s="49"/>
      <c r="AO123" s="98"/>
    </row>
    <row r="124" spans="1:41" ht="12.75">
      <c r="A124" s="18"/>
      <c r="B124" s="9"/>
      <c r="C124" s="9"/>
      <c r="D124" s="9"/>
      <c r="E124" s="9"/>
      <c r="F124" s="9"/>
      <c r="G124" s="9"/>
      <c r="H124" s="9"/>
      <c r="I124" s="251" t="str">
        <f>IF($B$123&gt;=$D$16,"Rbs &gt;= R,  O.K.  ","Rbs &lt; R, N.G.  ")</f>
        <v>Rbs &gt;= R,  O.K.  </v>
      </c>
      <c r="L124" s="226"/>
      <c r="M124" s="56" t="s">
        <v>423</v>
      </c>
      <c r="O124" s="33"/>
      <c r="W124" s="133"/>
      <c r="X124" s="133"/>
      <c r="Y124" s="112"/>
      <c r="Z124" s="112"/>
      <c r="AA124" s="112"/>
      <c r="AB124" s="112"/>
      <c r="AC124" s="112"/>
      <c r="AF124" s="289" t="s">
        <v>572</v>
      </c>
      <c r="AG124" s="290">
        <v>48.8</v>
      </c>
      <c r="AH124" s="291">
        <v>22.5</v>
      </c>
      <c r="AI124" s="292">
        <v>0.75</v>
      </c>
      <c r="AJ124" s="291">
        <v>12.4</v>
      </c>
      <c r="AK124" s="293">
        <v>1.36</v>
      </c>
      <c r="AL124" s="294">
        <v>1.86</v>
      </c>
      <c r="AN124" s="49" t="s">
        <v>278</v>
      </c>
      <c r="AO124" s="98">
        <f>$D$16/$B$123</f>
        <v>0.40266767333585</v>
      </c>
    </row>
    <row r="125" spans="1:38" ht="12.75">
      <c r="A125" s="84" t="s">
        <v>110</v>
      </c>
      <c r="B125" s="9"/>
      <c r="C125" s="9"/>
      <c r="D125" s="9"/>
      <c r="E125" s="9"/>
      <c r="F125" s="9"/>
      <c r="G125" s="9"/>
      <c r="H125" s="9"/>
      <c r="I125" s="251"/>
      <c r="L125" s="226"/>
      <c r="M125" s="49" t="s">
        <v>424</v>
      </c>
      <c r="N125" s="42" t="str">
        <f>IF(AND($D$34&gt;0,$D$35&gt;0,$D$36&gt;0),IF(AND($D$35&lt;=0.2*$B$45,$D$35=$D$36),3.5-7.5*$D$35/$B$45,"N.A."),"N.A.")</f>
        <v>N.A.</v>
      </c>
      <c r="O125" s="33"/>
      <c r="P125" s="37" t="s">
        <v>425</v>
      </c>
      <c r="W125" s="133"/>
      <c r="X125" s="133"/>
      <c r="Y125" s="362"/>
      <c r="Z125" s="112"/>
      <c r="AA125" s="112"/>
      <c r="AB125" s="362"/>
      <c r="AC125" s="112"/>
      <c r="AF125" s="289" t="s">
        <v>573</v>
      </c>
      <c r="AG125" s="290">
        <v>43.2</v>
      </c>
      <c r="AH125" s="291">
        <v>22.1</v>
      </c>
      <c r="AI125" s="292">
        <v>0.72</v>
      </c>
      <c r="AJ125" s="291">
        <v>12.5</v>
      </c>
      <c r="AK125" s="293">
        <v>1.15</v>
      </c>
      <c r="AL125" s="294">
        <v>1.65</v>
      </c>
    </row>
    <row r="126" spans="1:41" ht="12.75">
      <c r="A126" s="329" t="s">
        <v>282</v>
      </c>
      <c r="B126" s="162">
        <f>N67</f>
        <v>11</v>
      </c>
      <c r="C126" s="107" t="s">
        <v>229</v>
      </c>
      <c r="D126" s="328" t="s">
        <v>102</v>
      </c>
      <c r="E126" s="9"/>
      <c r="F126" s="9"/>
      <c r="G126" s="9"/>
      <c r="H126" s="9"/>
      <c r="I126" s="251"/>
      <c r="L126" s="226"/>
      <c r="M126" s="49" t="s">
        <v>426</v>
      </c>
      <c r="N126" s="42" t="str">
        <f>IF(AND($D$34&gt;0,$D$35&gt;0,$D$36&gt;0),IF($D$35&gt;0.2*$B$45,($N$117*SQRT($D$12))/(10*$B$46*sqrt*(475+280*($N$117/$D$34)^2)),"N.A."),"N.A.")</f>
        <v>N.A.</v>
      </c>
      <c r="O126" s="33"/>
      <c r="P126" s="28" t="s">
        <v>427</v>
      </c>
      <c r="W126" s="133"/>
      <c r="X126" s="133"/>
      <c r="Y126" s="139"/>
      <c r="Z126" s="139"/>
      <c r="AA126" s="139"/>
      <c r="AB126" s="139"/>
      <c r="AC126" s="139"/>
      <c r="AF126" s="289" t="s">
        <v>574</v>
      </c>
      <c r="AG126" s="290">
        <v>38.8</v>
      </c>
      <c r="AH126" s="291">
        <v>21.8</v>
      </c>
      <c r="AI126" s="292">
        <v>0.65</v>
      </c>
      <c r="AJ126" s="291">
        <v>12.4</v>
      </c>
      <c r="AK126" s="293">
        <v>1.04</v>
      </c>
      <c r="AL126" s="294">
        <v>1.54</v>
      </c>
      <c r="AN126" s="49"/>
      <c r="AO126" s="98"/>
    </row>
    <row r="127" spans="1:41" ht="12.75">
      <c r="A127" s="76" t="s">
        <v>42</v>
      </c>
      <c r="B127" s="168">
        <f>N68</f>
        <v>40</v>
      </c>
      <c r="C127" s="107" t="s">
        <v>206</v>
      </c>
      <c r="D127" s="328" t="str">
        <f>$P$68</f>
        <v>Pr = SQRT(R^2+P^2)  (total resultant load taken by 2 welds)</v>
      </c>
      <c r="E127" s="54"/>
      <c r="F127" s="9"/>
      <c r="G127" s="9"/>
      <c r="H127" s="9"/>
      <c r="I127" s="251"/>
      <c r="L127" s="258"/>
      <c r="M127" s="49" t="s">
        <v>428</v>
      </c>
      <c r="N127" s="42" t="str">
        <f>IF(AND($D$34&gt;0,$D$35&gt;0,$D$36&gt;0),IF($N$126="N.A.","N.A.",IF($N$126&lt;=0.7,1,IF($N$126&gt;1.41,1.3/($N$126^2),1.34-0.486*$N$126))),"N.A.")</f>
        <v>N.A.</v>
      </c>
      <c r="O127" s="33"/>
      <c r="P127" s="28" t="s">
        <v>429</v>
      </c>
      <c r="W127" s="132"/>
      <c r="X127" s="133"/>
      <c r="Y127" s="133"/>
      <c r="Z127" s="133"/>
      <c r="AA127" s="133"/>
      <c r="AB127" s="133"/>
      <c r="AC127" s="133"/>
      <c r="AF127" s="289" t="s">
        <v>575</v>
      </c>
      <c r="AG127" s="290">
        <v>35.9</v>
      </c>
      <c r="AH127" s="291">
        <v>21.7</v>
      </c>
      <c r="AI127" s="292">
        <v>0.6</v>
      </c>
      <c r="AJ127" s="291">
        <v>12.4</v>
      </c>
      <c r="AK127" s="292">
        <v>0.96</v>
      </c>
      <c r="AL127" s="294">
        <v>1.46</v>
      </c>
      <c r="AN127" s="49"/>
      <c r="AO127" s="98"/>
    </row>
    <row r="128" spans="1:41" ht="12.75">
      <c r="A128" s="80" t="s">
        <v>60</v>
      </c>
      <c r="B128" s="168">
        <f>$N$69</f>
        <v>0</v>
      </c>
      <c r="C128" s="107" t="s">
        <v>230</v>
      </c>
      <c r="D128" s="94" t="s">
        <v>266</v>
      </c>
      <c r="E128" s="54"/>
      <c r="F128" s="9"/>
      <c r="G128" s="9"/>
      <c r="H128" s="9"/>
      <c r="I128" s="251"/>
      <c r="L128" s="226"/>
      <c r="M128" s="49" t="s">
        <v>430</v>
      </c>
      <c r="N128" s="60" t="str">
        <f>IF(AND($D$34&gt;0,$D$35&gt;0,$D$36&gt;0),IF($N$126="N.A.",(1/1.67)*IF(1-$D$17/(0.6*$D$12*$N$111)&gt;0,(1-$D$17/(0.6*$D$12*$N$111)),0.0001)*MIN($D$12,(0.62*PI()*29000*($B$46^2)*$N$125)/($N$117*$D$34)),(1/1.67)*$N$127*$D$12*IF(1-$D$17/(0.6*$D$12*$N$111)&gt;0,(1-$D$17/(0.6*$D$12*$N$111)),0.0001)),"N.A.")</f>
        <v>N.A.</v>
      </c>
      <c r="O128" s="37" t="s">
        <v>212</v>
      </c>
      <c r="P128" s="28" t="str">
        <f>IF($N$126="N.A.","Fbc = (1/1.67)*(1-P/(0.60*Fy*Atn))*min{ [0.62*pi*29000*tw^2*fd] / (c*ho), Fy}","(1/1.67)*Fy*Q*(1-P/(0.60*Fy*Atn))")</f>
        <v>Fbc = (1/1.67)*(1-P/(0.60*Fy*Atn))*min{ [0.62*pi*29000*tw^2*fd] / (c*ho), Fy}</v>
      </c>
      <c r="W128" s="133"/>
      <c r="X128" s="133"/>
      <c r="Y128" s="133"/>
      <c r="Z128" s="133"/>
      <c r="AA128" s="133"/>
      <c r="AB128" s="133"/>
      <c r="AC128" s="133"/>
      <c r="AF128" s="289" t="s">
        <v>576</v>
      </c>
      <c r="AG128" s="290">
        <v>32.7</v>
      </c>
      <c r="AH128" s="291">
        <v>21.5</v>
      </c>
      <c r="AI128" s="292">
        <v>0.55</v>
      </c>
      <c r="AJ128" s="291">
        <v>12.3</v>
      </c>
      <c r="AK128" s="292">
        <v>0.875</v>
      </c>
      <c r="AL128" s="294">
        <v>1.38</v>
      </c>
      <c r="AN128" s="49"/>
      <c r="AO128" s="98"/>
    </row>
    <row r="129" spans="1:41" ht="12.75">
      <c r="A129" s="329" t="s">
        <v>815</v>
      </c>
      <c r="B129" s="163">
        <f>$N$70</f>
        <v>1</v>
      </c>
      <c r="C129" s="9"/>
      <c r="D129" s="328" t="s">
        <v>818</v>
      </c>
      <c r="E129" s="9"/>
      <c r="F129" s="9"/>
      <c r="G129" s="9"/>
      <c r="H129" s="9"/>
      <c r="I129" s="251"/>
      <c r="L129" s="226"/>
      <c r="M129" s="32" t="s">
        <v>120</v>
      </c>
      <c r="N129" s="60" t="str">
        <f>IF(AND($D$34&gt;0,$D$35&gt;0,$D$36&gt;0),$N$128*$N$121/$N$118,"N.A.")</f>
        <v>N.A.</v>
      </c>
      <c r="O129" s="30" t="s">
        <v>206</v>
      </c>
      <c r="P129" s="37" t="s">
        <v>311</v>
      </c>
      <c r="W129" s="133"/>
      <c r="X129" s="133"/>
      <c r="Y129" s="133"/>
      <c r="Z129" s="133"/>
      <c r="AA129" s="133"/>
      <c r="AB129" s="133"/>
      <c r="AC129" s="133"/>
      <c r="AF129" s="289" t="s">
        <v>577</v>
      </c>
      <c r="AG129" s="290">
        <v>29.8</v>
      </c>
      <c r="AH129" s="291">
        <v>21.4</v>
      </c>
      <c r="AI129" s="292">
        <v>0.5</v>
      </c>
      <c r="AJ129" s="291">
        <v>12.3</v>
      </c>
      <c r="AK129" s="292">
        <v>0.8</v>
      </c>
      <c r="AL129" s="294">
        <v>1.3</v>
      </c>
      <c r="AN129" s="49"/>
      <c r="AO129" s="98"/>
    </row>
    <row r="130" spans="1:41" ht="12.75">
      <c r="A130" s="80" t="s">
        <v>265</v>
      </c>
      <c r="B130" s="164">
        <f>$N$71</f>
        <v>0.12246122571440816</v>
      </c>
      <c r="C130" s="107" t="s">
        <v>280</v>
      </c>
      <c r="D130" s="81" t="s">
        <v>265</v>
      </c>
      <c r="E130" s="51" t="s">
        <v>295</v>
      </c>
      <c r="F130" s="9"/>
      <c r="G130" s="9"/>
      <c r="H130" s="9"/>
      <c r="I130" s="251"/>
      <c r="L130" s="226"/>
      <c r="M130" s="148" t="s">
        <v>158</v>
      </c>
      <c r="W130" s="133"/>
      <c r="X130" s="133"/>
      <c r="Y130" s="133"/>
      <c r="Z130" s="133"/>
      <c r="AA130" s="133"/>
      <c r="AB130" s="133"/>
      <c r="AC130" s="365"/>
      <c r="AF130" s="289" t="s">
        <v>578</v>
      </c>
      <c r="AG130" s="290">
        <v>27.3</v>
      </c>
      <c r="AH130" s="291">
        <v>21.6</v>
      </c>
      <c r="AI130" s="292">
        <v>0.58</v>
      </c>
      <c r="AJ130" s="293">
        <v>8.42</v>
      </c>
      <c r="AK130" s="292">
        <v>0.93</v>
      </c>
      <c r="AL130" s="294">
        <v>1.43</v>
      </c>
      <c r="AN130" s="49"/>
      <c r="AO130" s="98"/>
    </row>
    <row r="131" spans="1:41" ht="12.75">
      <c r="A131" s="80" t="s">
        <v>36</v>
      </c>
      <c r="B131" s="322">
        <f>$N$72</f>
        <v>0.1875</v>
      </c>
      <c r="C131" s="107" t="s">
        <v>229</v>
      </c>
      <c r="D131" s="372" t="s">
        <v>834</v>
      </c>
      <c r="E131" s="9"/>
      <c r="F131" s="9"/>
      <c r="G131" s="9"/>
      <c r="H131" s="9"/>
      <c r="I131" s="13"/>
      <c r="L131" s="226"/>
      <c r="M131" s="56" t="str">
        <f>IF($D$29="Standard","  Prying Action and Column Flange Bending:","  Prying Action and Column Flange Bending: (based on Standard sized holes in column flange)")</f>
        <v>  Prying Action and Column Flange Bending: (based on Standard sized holes in column flange)</v>
      </c>
      <c r="W131" s="133"/>
      <c r="X131" s="133"/>
      <c r="Y131" s="133"/>
      <c r="Z131" s="133"/>
      <c r="AA131" s="133"/>
      <c r="AB131" s="133"/>
      <c r="AC131" s="133"/>
      <c r="AF131" s="289" t="s">
        <v>579</v>
      </c>
      <c r="AG131" s="290">
        <v>24.3</v>
      </c>
      <c r="AH131" s="291">
        <v>21.4</v>
      </c>
      <c r="AI131" s="292">
        <v>0.515</v>
      </c>
      <c r="AJ131" s="293">
        <v>8.36</v>
      </c>
      <c r="AK131" s="292">
        <v>0.835</v>
      </c>
      <c r="AL131" s="294">
        <v>1.34</v>
      </c>
      <c r="AN131" s="49"/>
      <c r="AO131" s="98"/>
    </row>
    <row r="132" spans="1:41" ht="12.75">
      <c r="A132" s="80" t="s">
        <v>225</v>
      </c>
      <c r="B132" s="322">
        <f>$N$73</f>
        <v>0.3125</v>
      </c>
      <c r="C132" s="107" t="s">
        <v>229</v>
      </c>
      <c r="D132" s="372" t="s">
        <v>103</v>
      </c>
      <c r="E132" s="9"/>
      <c r="F132" s="9"/>
      <c r="G132" s="9"/>
      <c r="H132" s="9"/>
      <c r="I132" s="251"/>
      <c r="L132" s="226"/>
      <c r="M132" s="32" t="s">
        <v>146</v>
      </c>
      <c r="N132" s="69" t="str">
        <f>IF($D$17&gt;0,IF($D$37&gt;0.5,$D$46+$D$37,$D$46),"N.A.")</f>
        <v>N.A.</v>
      </c>
      <c r="O132" s="37" t="s">
        <v>229</v>
      </c>
      <c r="P132" s="37" t="str">
        <f>IF($D$17=0,"twc = tw",IF($D$37&lt;=0.5,"twc = tw  (web doubler plate is ignored for prying)","twc = tw+td  (1/2 of total 'td' assumed each side of web)"))</f>
        <v>twc = tw</v>
      </c>
      <c r="W132" s="133"/>
      <c r="X132" s="133"/>
      <c r="Y132" s="133"/>
      <c r="Z132" s="132"/>
      <c r="AA132" s="132"/>
      <c r="AB132" s="365"/>
      <c r="AC132" s="365"/>
      <c r="AF132" s="289" t="s">
        <v>580</v>
      </c>
      <c r="AG132" s="290">
        <v>21.5</v>
      </c>
      <c r="AH132" s="291">
        <v>21.2</v>
      </c>
      <c r="AI132" s="292">
        <v>0.455</v>
      </c>
      <c r="AJ132" s="293">
        <v>8.3</v>
      </c>
      <c r="AK132" s="292">
        <v>0.74</v>
      </c>
      <c r="AL132" s="294">
        <v>1.24</v>
      </c>
      <c r="AN132" s="49"/>
      <c r="AO132" s="98"/>
    </row>
    <row r="133" spans="1:41" ht="12.75">
      <c r="A133" s="76" t="s">
        <v>288</v>
      </c>
      <c r="B133" s="168">
        <f>$N$74</f>
        <v>81.6585</v>
      </c>
      <c r="C133" s="107" t="s">
        <v>206</v>
      </c>
      <c r="D133" s="339" t="s">
        <v>819</v>
      </c>
      <c r="E133" s="54"/>
      <c r="F133" s="9"/>
      <c r="G133" s="58"/>
      <c r="H133" s="9"/>
      <c r="I133" s="251"/>
      <c r="K133" s="32"/>
      <c r="L133" s="226"/>
      <c r="M133" s="32" t="s">
        <v>16</v>
      </c>
      <c r="N133" s="38" t="str">
        <f>IF($D$17&gt;0,$D$31,"N.A.")</f>
        <v>N.A.</v>
      </c>
      <c r="O133" s="37" t="s">
        <v>229</v>
      </c>
      <c r="P133" s="37" t="s">
        <v>22</v>
      </c>
      <c r="W133" s="133"/>
      <c r="X133" s="133"/>
      <c r="Y133" s="132"/>
      <c r="Z133" s="133"/>
      <c r="AA133" s="133"/>
      <c r="AB133" s="133"/>
      <c r="AC133" s="133"/>
      <c r="AF133" s="289" t="s">
        <v>581</v>
      </c>
      <c r="AG133" s="290">
        <v>20</v>
      </c>
      <c r="AH133" s="291">
        <v>21.1</v>
      </c>
      <c r="AI133" s="292">
        <v>0.43</v>
      </c>
      <c r="AJ133" s="293">
        <v>8.27</v>
      </c>
      <c r="AK133" s="292">
        <v>0.685</v>
      </c>
      <c r="AL133" s="294">
        <v>1.19</v>
      </c>
      <c r="AN133" s="49"/>
      <c r="AO133" s="98"/>
    </row>
    <row r="134" spans="1:41" ht="12.75">
      <c r="A134" s="329" t="s">
        <v>406</v>
      </c>
      <c r="B134" s="320">
        <f>$N$75</f>
        <v>0.3809230769230769</v>
      </c>
      <c r="C134" s="107" t="s">
        <v>229</v>
      </c>
      <c r="D134" s="341" t="s">
        <v>821</v>
      </c>
      <c r="E134" s="9"/>
      <c r="F134" s="9"/>
      <c r="G134" s="9"/>
      <c r="H134" s="9"/>
      <c r="I134" s="251"/>
      <c r="K134" s="32"/>
      <c r="L134" s="226"/>
      <c r="M134" s="49" t="s">
        <v>780</v>
      </c>
      <c r="N134" s="7" t="str">
        <f>IF($D$17&gt;0,IF($D$37&gt;0.5,($D$33-$N$132)/2,($D$33-$D$46)/2),"N.A.")</f>
        <v>N.A.</v>
      </c>
      <c r="O134" s="30" t="s">
        <v>229</v>
      </c>
      <c r="P134" s="30" t="s">
        <v>396</v>
      </c>
      <c r="R134" s="8"/>
      <c r="W134" s="133"/>
      <c r="X134" s="133"/>
      <c r="Y134" s="133"/>
      <c r="Z134" s="133"/>
      <c r="AA134" s="133"/>
      <c r="AB134" s="132"/>
      <c r="AC134" s="133"/>
      <c r="AF134" s="289" t="s">
        <v>582</v>
      </c>
      <c r="AG134" s="290">
        <v>18.3</v>
      </c>
      <c r="AH134" s="291">
        <v>21</v>
      </c>
      <c r="AI134" s="292">
        <v>0.4</v>
      </c>
      <c r="AJ134" s="293">
        <v>8.24</v>
      </c>
      <c r="AK134" s="292">
        <v>0.615</v>
      </c>
      <c r="AL134" s="294">
        <v>1.12</v>
      </c>
      <c r="AN134" s="49"/>
      <c r="AO134" s="98"/>
    </row>
    <row r="135" spans="1:41" ht="12.75">
      <c r="A135" s="329" t="s">
        <v>810</v>
      </c>
      <c r="B135" s="168" t="str">
        <f>$N$76</f>
        <v>Yes</v>
      </c>
      <c r="C135" s="9"/>
      <c r="D135" s="328" t="str">
        <f>P76</f>
        <v>Is tmin &gt; twb?  If so, Rwr' = Rwr* twb / tmin.  If not, Rwr' = Rwr</v>
      </c>
      <c r="E135" s="9"/>
      <c r="F135" s="9"/>
      <c r="G135" s="9"/>
      <c r="H135" s="9"/>
      <c r="I135" s="251"/>
      <c r="K135" s="32"/>
      <c r="L135" s="226"/>
      <c r="M135" s="49" t="s">
        <v>781</v>
      </c>
      <c r="N135" s="69" t="str">
        <f>IF($D$17&gt;0,$N$134-$D$24/2,"N.A.")</f>
        <v>N.A.</v>
      </c>
      <c r="O135" s="30" t="s">
        <v>229</v>
      </c>
      <c r="P135" s="30" t="s">
        <v>226</v>
      </c>
      <c r="R135" s="8"/>
      <c r="W135" s="133"/>
      <c r="X135" s="133"/>
      <c r="Y135" s="133"/>
      <c r="Z135" s="133"/>
      <c r="AA135" s="133"/>
      <c r="AB135" s="133"/>
      <c r="AC135" s="133"/>
      <c r="AF135" s="289" t="s">
        <v>583</v>
      </c>
      <c r="AG135" s="290">
        <v>16.2</v>
      </c>
      <c r="AH135" s="291">
        <v>20.8</v>
      </c>
      <c r="AI135" s="292">
        <v>0.375</v>
      </c>
      <c r="AJ135" s="293">
        <v>8.22</v>
      </c>
      <c r="AK135" s="292">
        <v>0.522</v>
      </c>
      <c r="AL135" s="294">
        <v>1.02</v>
      </c>
      <c r="AN135" s="49"/>
      <c r="AO135" s="98"/>
    </row>
    <row r="136" spans="1:41" ht="12.75">
      <c r="A136" s="329" t="s">
        <v>405</v>
      </c>
      <c r="B136" s="172">
        <f>$N$77</f>
        <v>76.10136863893376</v>
      </c>
      <c r="C136" s="107" t="s">
        <v>206</v>
      </c>
      <c r="D136" s="328" t="str">
        <f>P77</f>
        <v>Rwr' = Rwr*twb/tmin</v>
      </c>
      <c r="E136" s="9"/>
      <c r="F136" s="9"/>
      <c r="G136" s="9"/>
      <c r="H136" s="9"/>
      <c r="I136" s="251" t="str">
        <f>IF($B$136&gt;=$B$127,"Rwr' &gt;= Pr,  O.K.  ","Rwr' &lt; Pr, N.G.  ")</f>
        <v>Rwr' &gt;= Pr,  O.K.  </v>
      </c>
      <c r="K136" s="73"/>
      <c r="L136" s="226"/>
      <c r="M136" s="49" t="s">
        <v>782</v>
      </c>
      <c r="N136" s="69" t="str">
        <f>IF($D$17&gt;0,MIN(($D$47-$D$31)/2,($D$20-$D$33)/2,1.25*$N$134),"N.A.")</f>
        <v>N.A.</v>
      </c>
      <c r="O136" s="30" t="s">
        <v>229</v>
      </c>
      <c r="P136" s="30" t="s">
        <v>76</v>
      </c>
      <c r="R136" s="8"/>
      <c r="W136" s="133"/>
      <c r="X136" s="133"/>
      <c r="Y136" s="133"/>
      <c r="Z136" s="133"/>
      <c r="AA136" s="133"/>
      <c r="AB136" s="133"/>
      <c r="AC136" s="133"/>
      <c r="AF136" s="289" t="s">
        <v>584</v>
      </c>
      <c r="AG136" s="290">
        <v>14.1</v>
      </c>
      <c r="AH136" s="291">
        <v>20.6</v>
      </c>
      <c r="AI136" s="292">
        <v>0.35</v>
      </c>
      <c r="AJ136" s="293">
        <v>8.14</v>
      </c>
      <c r="AK136" s="292">
        <v>0.43</v>
      </c>
      <c r="AL136" s="296">
        <v>0.93</v>
      </c>
      <c r="AN136" s="49" t="s">
        <v>278</v>
      </c>
      <c r="AO136" s="98">
        <f>$B$127/$B$136</f>
        <v>0.5256147256665216</v>
      </c>
    </row>
    <row r="137" spans="1:41" ht="12.75">
      <c r="A137" s="18"/>
      <c r="B137" s="9"/>
      <c r="C137" s="9"/>
      <c r="D137" s="9"/>
      <c r="E137" s="9"/>
      <c r="F137" s="9"/>
      <c r="G137" s="9"/>
      <c r="H137" s="9"/>
      <c r="I137" s="251" t="str">
        <f>IF($D$23&gt;=$B$130,"Weld(used) &gt;= weld(req'd), O.K.  ","Weld(used) &lt; weld(req'd), N.G.  ")</f>
        <v>Weld(used) &gt;= weld(req'd), O.K.  </v>
      </c>
      <c r="K137" s="32"/>
      <c r="L137" s="226"/>
      <c r="M137" s="32" t="s">
        <v>125</v>
      </c>
      <c r="N137" s="70" t="str">
        <f>IF($D$17&gt;0,$N$136+$D$24/2,"N.A.")</f>
        <v>N.A.</v>
      </c>
      <c r="O137" s="30" t="s">
        <v>229</v>
      </c>
      <c r="P137" s="30" t="s">
        <v>231</v>
      </c>
      <c r="R137" s="8"/>
      <c r="W137" s="133"/>
      <c r="X137" s="133"/>
      <c r="Y137" s="133"/>
      <c r="Z137" s="133"/>
      <c r="AA137" s="133"/>
      <c r="AB137" s="133"/>
      <c r="AC137" s="132"/>
      <c r="AF137" s="289" t="s">
        <v>585</v>
      </c>
      <c r="AG137" s="290">
        <v>16.7</v>
      </c>
      <c r="AH137" s="291">
        <v>21.1</v>
      </c>
      <c r="AI137" s="292">
        <v>0.405</v>
      </c>
      <c r="AJ137" s="293">
        <v>6.56</v>
      </c>
      <c r="AK137" s="292">
        <v>0.65</v>
      </c>
      <c r="AL137" s="294">
        <v>1.15</v>
      </c>
      <c r="AN137" s="49" t="s">
        <v>278</v>
      </c>
      <c r="AO137" s="98">
        <f>$B$130/$D$23</f>
        <v>0.48984490285763266</v>
      </c>
    </row>
    <row r="138" spans="1:41" ht="12.75">
      <c r="A138" s="18"/>
      <c r="B138" s="9"/>
      <c r="C138" s="9"/>
      <c r="D138" s="9"/>
      <c r="E138" s="9"/>
      <c r="F138" s="9"/>
      <c r="G138" s="9"/>
      <c r="H138" s="9"/>
      <c r="I138" s="251" t="str">
        <f>IF($D$23&lt;=$B$132,"Weld(used) &lt;= weld(max), O.K.  ","Weld(used) &gt; weld(max), N.G.  ")</f>
        <v>Weld(used) &lt;= weld(max), O.K.  </v>
      </c>
      <c r="K138" s="32"/>
      <c r="L138" s="226"/>
      <c r="M138" s="73" t="s">
        <v>126</v>
      </c>
      <c r="N138" s="70" t="str">
        <f>IF($D$17&gt;0,$N$135/$N$137,"N.A.")</f>
        <v>N.A.</v>
      </c>
      <c r="P138" s="74" t="s">
        <v>220</v>
      </c>
      <c r="R138" s="8"/>
      <c r="W138" s="133"/>
      <c r="X138" s="132"/>
      <c r="Y138" s="133"/>
      <c r="Z138" s="133"/>
      <c r="AA138" s="132"/>
      <c r="AB138" s="133"/>
      <c r="AC138" s="132"/>
      <c r="AF138" s="289" t="s">
        <v>586</v>
      </c>
      <c r="AG138" s="290">
        <v>14.7</v>
      </c>
      <c r="AH138" s="291">
        <v>20.8</v>
      </c>
      <c r="AI138" s="292">
        <v>0.38</v>
      </c>
      <c r="AJ138" s="293">
        <v>6.53</v>
      </c>
      <c r="AK138" s="292">
        <v>0.535</v>
      </c>
      <c r="AL138" s="294">
        <v>1.04</v>
      </c>
      <c r="AN138" s="49" t="s">
        <v>278</v>
      </c>
      <c r="AO138" s="98">
        <f>$D$23/$B$132</f>
        <v>0.8</v>
      </c>
    </row>
    <row r="139" spans="1:38" ht="12.75">
      <c r="A139" s="18"/>
      <c r="B139" s="9"/>
      <c r="C139" s="9"/>
      <c r="D139" s="9"/>
      <c r="E139" s="9"/>
      <c r="F139" s="9"/>
      <c r="G139" s="9"/>
      <c r="H139" s="9"/>
      <c r="I139" s="13"/>
      <c r="K139" s="32"/>
      <c r="L139" s="226"/>
      <c r="M139" s="32" t="s">
        <v>217</v>
      </c>
      <c r="N139" s="110" t="str">
        <f>IF($D$17&gt;0,IF($D$28="Standard",VLOOKUP($D$24,$W$17:$X$22,2,FALSE),IF($D$28="Oversized",VLOOKUP($D$24,$W$17:$Y$22,3,FALSE),0)),"N.A.")</f>
        <v>N.A.</v>
      </c>
      <c r="O139" s="30" t="s">
        <v>229</v>
      </c>
      <c r="P139" s="30" t="s">
        <v>397</v>
      </c>
      <c r="R139" s="8"/>
      <c r="W139" s="133"/>
      <c r="X139" s="133"/>
      <c r="Y139" s="133"/>
      <c r="Z139" s="133"/>
      <c r="AA139" s="133"/>
      <c r="AB139" s="133"/>
      <c r="AC139" s="133"/>
      <c r="AF139" s="289" t="s">
        <v>587</v>
      </c>
      <c r="AG139" s="290">
        <v>13</v>
      </c>
      <c r="AH139" s="291">
        <v>20.7</v>
      </c>
      <c r="AI139" s="292">
        <v>0.35</v>
      </c>
      <c r="AJ139" s="293">
        <v>6.5</v>
      </c>
      <c r="AK139" s="292">
        <v>0.45</v>
      </c>
      <c r="AL139" s="296">
        <v>0.95</v>
      </c>
    </row>
    <row r="140" spans="1:38" ht="12.75">
      <c r="A140" s="129" t="str">
        <f>IF(AND($D$34=0,$D$35=0,$D$36=0),$M$78,IF(AND($D$34&gt;0,$D$35&gt;0,$D$36=0),$M$87,IF(AND($D$34&gt;0,$D$35&gt;0,$D$36&gt;0),$M$109)))</f>
        <v>Beam Checks for Uncoped Flanges:</v>
      </c>
      <c r="B140" s="9"/>
      <c r="C140" s="9"/>
      <c r="D140" s="9"/>
      <c r="E140" s="9"/>
      <c r="F140" s="9"/>
      <c r="G140" s="9"/>
      <c r="H140" s="9"/>
      <c r="I140" s="13"/>
      <c r="K140" s="32"/>
      <c r="L140" s="226"/>
      <c r="M140" s="73" t="s">
        <v>127</v>
      </c>
      <c r="N140" s="70" t="str">
        <f>IF($D$17&gt;0,1-$N$139/$N$133,"N.A.")</f>
        <v>N.A.</v>
      </c>
      <c r="P140" s="74" t="s">
        <v>299</v>
      </c>
      <c r="R140" s="8"/>
      <c r="W140" s="133"/>
      <c r="X140" s="133"/>
      <c r="Y140" s="133"/>
      <c r="Z140" s="133"/>
      <c r="AA140" s="133"/>
      <c r="AB140" s="133"/>
      <c r="AC140" s="133"/>
      <c r="AF140" s="289" t="s">
        <v>6</v>
      </c>
      <c r="AG140" s="290">
        <v>91.6</v>
      </c>
      <c r="AH140" s="291">
        <v>22.3</v>
      </c>
      <c r="AI140" s="293">
        <v>1.52</v>
      </c>
      <c r="AJ140" s="291">
        <v>12</v>
      </c>
      <c r="AK140" s="293">
        <v>2.74</v>
      </c>
      <c r="AL140" s="294">
        <v>3.24</v>
      </c>
    </row>
    <row r="141" spans="1:41" ht="12.75">
      <c r="A141" s="72" t="str">
        <f>IF(AND($D$34=0,$D$35=0,$D$36=0),$M$79,IF(AND($D$34&gt;0,$D$35&gt;0,$D$36=0),$M$88,IF(AND($D$34&gt;0,$D$35&gt;0,$D$36&gt;0),$M$110)))</f>
        <v>  Shear Rupture Capacity of Beam Web:</v>
      </c>
      <c r="B141" s="9"/>
      <c r="C141" s="9"/>
      <c r="D141" s="9"/>
      <c r="E141" s="9"/>
      <c r="F141" s="9"/>
      <c r="G141" s="9"/>
      <c r="H141" s="9"/>
      <c r="I141" s="251"/>
      <c r="K141" s="32"/>
      <c r="L141" s="226"/>
      <c r="M141" s="73" t="s">
        <v>192</v>
      </c>
      <c r="N141" s="42" t="str">
        <f>IF($N$16&gt;0,(1/$N$138)*(MAX($N$30,$N$30)/$N$16-1),"N.A.")</f>
        <v>N.A.</v>
      </c>
      <c r="P141" s="74" t="s">
        <v>281</v>
      </c>
      <c r="R141" s="8"/>
      <c r="W141" s="133"/>
      <c r="X141" s="133"/>
      <c r="Y141" s="133"/>
      <c r="Z141" s="133"/>
      <c r="AA141" s="133"/>
      <c r="AB141" s="132"/>
      <c r="AC141" s="133"/>
      <c r="AF141" s="289" t="s">
        <v>5</v>
      </c>
      <c r="AG141" s="290">
        <v>83.3</v>
      </c>
      <c r="AH141" s="291">
        <v>21.9</v>
      </c>
      <c r="AI141" s="293">
        <v>1.4</v>
      </c>
      <c r="AJ141" s="291">
        <v>11.9</v>
      </c>
      <c r="AK141" s="293">
        <v>2.5</v>
      </c>
      <c r="AL141" s="294">
        <v>3</v>
      </c>
      <c r="AN141" s="49"/>
      <c r="AO141" s="98"/>
    </row>
    <row r="142" spans="1:41" ht="12.75">
      <c r="A142" s="68" t="s">
        <v>222</v>
      </c>
      <c r="B142" s="173" t="str">
        <f>IF(AND($D$34=0,$D$35=0,$D$36=0),$N$80,IF(AND($D$34&gt;0,$D$35&gt;0,$D$35&lt;=0.5*$B$45,$D$36=0),$N$89,IF(AND($D$34&gt;0,$D$35&gt;0,$D$35&lt;=0.5*$B$45,$D$36&gt;0),$N$111)))</f>
        <v>N.A.</v>
      </c>
      <c r="C142" s="107" t="s">
        <v>210</v>
      </c>
      <c r="D142" s="327" t="str">
        <f>IF(AND($D$34=0,$D$35=0,$D$36=0),$P$80,IF(AND($D$34&gt;0,$D$35&gt;0,$D$35&lt;=0.5*$B$45,$D$36=0),$P$89,IF(AND($D$34&gt;0,$D$35&gt;0,$D$35&lt;=0.5*$B$45,$D$36&gt;0),$P$111)))</f>
        <v>Avn = not applicable for uncoped beam</v>
      </c>
      <c r="E142" s="9"/>
      <c r="F142" s="9"/>
      <c r="G142" s="9"/>
      <c r="H142" s="9"/>
      <c r="I142" s="251"/>
      <c r="K142" s="73"/>
      <c r="M142" s="73" t="s">
        <v>219</v>
      </c>
      <c r="N142" s="70" t="str">
        <f>IF($N$16&gt;0,IF($N$141&gt;=1,1,MIN(1,(1/$N$140)*($N$141/(1-$N$141)))),"N.A.")</f>
        <v>N.A.</v>
      </c>
      <c r="P142" s="47" t="s">
        <v>258</v>
      </c>
      <c r="R142" s="8"/>
      <c r="W142" s="133"/>
      <c r="X142" s="133"/>
      <c r="Y142" s="133"/>
      <c r="Z142" s="133"/>
      <c r="AA142" s="133"/>
      <c r="AB142" s="133"/>
      <c r="AC142" s="133"/>
      <c r="AF142" s="289" t="s">
        <v>4</v>
      </c>
      <c r="AG142" s="290">
        <v>75.9</v>
      </c>
      <c r="AH142" s="291">
        <v>21.5</v>
      </c>
      <c r="AI142" s="293">
        <v>1.28</v>
      </c>
      <c r="AJ142" s="291">
        <v>11.8</v>
      </c>
      <c r="AK142" s="293">
        <v>2.3</v>
      </c>
      <c r="AL142" s="294">
        <v>2.7</v>
      </c>
      <c r="AN142" s="49"/>
      <c r="AO142" s="98"/>
    </row>
    <row r="143" spans="1:41" ht="12.75">
      <c r="A143" s="68" t="s">
        <v>223</v>
      </c>
      <c r="B143" s="172" t="str">
        <f>IF(AND($D$34=0,$D$35=0,$D$36=0),$N$81,IF(AND($D$34&gt;0,$D$35&gt;0,$D$35&lt;=0.5*$B$45,$D$36=0),$N$90,IF(AND($D$34&gt;0,$D$35&gt;0,$D$35&lt;=0.5*$B$45,$D$36&gt;0),$N$112)))</f>
        <v>N.A.</v>
      </c>
      <c r="C143" s="107" t="s">
        <v>206</v>
      </c>
      <c r="D143" s="328" t="str">
        <f>IF(AND($D$34=0,$D$35=0,$D$36=0),$P$81,IF(AND($D$34&gt;0,$D$35&gt;0,$D$35&lt;=0.5*$B$45,$D$36=0),$P$90,IF(AND($D$34&gt;0,$D$35&gt;0,$D$35&lt;=0.5*$B$45,$D$36&gt;0),$P$112)))</f>
        <v>Rvn = not applicable for uncoped beam</v>
      </c>
      <c r="E143" s="9"/>
      <c r="F143" s="9"/>
      <c r="G143" s="9"/>
      <c r="H143" s="9"/>
      <c r="I143" s="251">
        <f>IF($B$143="N.A.","",IF($B$143&gt;=$D$16,"Rvn &gt;= R,  O.K.  ","Rvn &lt; R, N.G.  "))</f>
      </c>
      <c r="K143" s="73"/>
      <c r="M143" s="32" t="s">
        <v>189</v>
      </c>
      <c r="N143" s="38" t="str">
        <f>IF($N$16&gt;0,SQRT(6.66*$N$16*$N$135/($N$133*$N$10*(1+$N$140*$N$142))),"N.A.")</f>
        <v>N.A.</v>
      </c>
      <c r="O143" s="30" t="s">
        <v>229</v>
      </c>
      <c r="P143" s="30" t="s">
        <v>431</v>
      </c>
      <c r="R143" s="8"/>
      <c r="W143" s="138"/>
      <c r="X143" s="138"/>
      <c r="Y143" s="133"/>
      <c r="Z143" s="133"/>
      <c r="AA143" s="133"/>
      <c r="AB143" s="133"/>
      <c r="AC143" s="132"/>
      <c r="AF143" s="289" t="s">
        <v>15</v>
      </c>
      <c r="AG143" s="290">
        <v>68.8</v>
      </c>
      <c r="AH143" s="291">
        <v>21.1</v>
      </c>
      <c r="AI143" s="293">
        <v>1.16</v>
      </c>
      <c r="AJ143" s="291">
        <v>11.7</v>
      </c>
      <c r="AK143" s="293">
        <v>2.11</v>
      </c>
      <c r="AL143" s="294">
        <v>2.51</v>
      </c>
      <c r="AN143" s="49" t="str">
        <f>IF(AO143="","N.A.","SR =")</f>
        <v>N.A.</v>
      </c>
      <c r="AO143" s="98">
        <f>IF(AND($D$34=0,$D$35=0,$D$36=0),"",$D$16/$B$143)</f>
      </c>
    </row>
    <row r="144" spans="1:41" ht="12.75">
      <c r="A144" s="18"/>
      <c r="B144" s="9"/>
      <c r="C144" s="9"/>
      <c r="D144" s="9"/>
      <c r="E144" s="9"/>
      <c r="F144" s="9"/>
      <c r="G144" s="9"/>
      <c r="H144" s="9"/>
      <c r="I144" s="13"/>
      <c r="K144" s="73"/>
      <c r="M144" s="32" t="s">
        <v>218</v>
      </c>
      <c r="N144" s="38" t="str">
        <f>IF($N$16&gt;0,SQRT(6.66*IF($D$26="SC",$N$30,$N$30)*$N$135/($N$133*$N$10)),"N.A.")</f>
        <v>N.A.</v>
      </c>
      <c r="O144" s="30" t="s">
        <v>229</v>
      </c>
      <c r="P144" s="47" t="s">
        <v>432</v>
      </c>
      <c r="R144" s="8"/>
      <c r="W144" s="36"/>
      <c r="X144" s="36"/>
      <c r="Y144" s="133"/>
      <c r="Z144" s="133"/>
      <c r="AA144" s="133"/>
      <c r="AB144" s="133"/>
      <c r="AC144" s="133"/>
      <c r="AF144" s="289" t="s">
        <v>14</v>
      </c>
      <c r="AG144" s="290">
        <v>62.1</v>
      </c>
      <c r="AH144" s="291">
        <v>20.7</v>
      </c>
      <c r="AI144" s="293">
        <v>1.06</v>
      </c>
      <c r="AJ144" s="291">
        <v>11.6</v>
      </c>
      <c r="AK144" s="293">
        <v>1.91</v>
      </c>
      <c r="AL144" s="294">
        <v>2.31</v>
      </c>
      <c r="AN144" s="49"/>
      <c r="AO144" s="98"/>
    </row>
    <row r="145" spans="1:38" ht="12.75">
      <c r="A145" s="72" t="str">
        <f>IF(AND($D$34=0,$D$35=0,$D$36=0),$M$82,IF(AND($D$34&gt;0,$D$35&gt;0,$D$36=0),$M$91,IF(AND($D$34&gt;0,$D$35&gt;0,$D$36&gt;0),$M$113)))</f>
        <v>  Net Tension Capacity of Beam:</v>
      </c>
      <c r="B145" s="9"/>
      <c r="C145" s="9"/>
      <c r="D145" s="9"/>
      <c r="E145" s="9"/>
      <c r="F145" s="9"/>
      <c r="G145" s="9"/>
      <c r="H145" s="9"/>
      <c r="I145" s="251"/>
      <c r="K145" s="32"/>
      <c r="M145" s="73" t="s">
        <v>219</v>
      </c>
      <c r="N145" s="70" t="str">
        <f>IF($N$16&gt;0,1/($N$140*(1+$N$138))*(($N$144/$D$48)^2-1),"N.A.")</f>
        <v>N.A.</v>
      </c>
      <c r="P145" s="74" t="s">
        <v>433</v>
      </c>
      <c r="R145" s="8"/>
      <c r="W145" s="112"/>
      <c r="X145" s="112"/>
      <c r="Y145" s="133"/>
      <c r="Z145" s="133"/>
      <c r="AA145" s="133"/>
      <c r="AB145" s="133"/>
      <c r="AC145" s="133"/>
      <c r="AF145" s="289" t="s">
        <v>13</v>
      </c>
      <c r="AG145" s="290">
        <v>56.4</v>
      </c>
      <c r="AH145" s="291">
        <v>20.4</v>
      </c>
      <c r="AI145" s="292">
        <v>0.96</v>
      </c>
      <c r="AJ145" s="291">
        <v>11.5</v>
      </c>
      <c r="AK145" s="293">
        <v>1.75</v>
      </c>
      <c r="AL145" s="294">
        <v>2.15</v>
      </c>
    </row>
    <row r="146" spans="1:38" ht="12.75">
      <c r="A146" s="50" t="s">
        <v>46</v>
      </c>
      <c r="B146" s="173">
        <f>IF(AND($D$34=0,$D$35=0,$D$36=0),$N$83,IF(AND($D$34&gt;0,$D$35&gt;0,$D$35&lt;=0.5*$B$45,$D$36=0),$N$92,IF(AND($D$34&gt;0,$D$35&gt;0,$D$35&lt;=0.5*$B$45,$D$36&gt;0),$N$114)))</f>
        <v>3.905</v>
      </c>
      <c r="C146" s="9"/>
      <c r="D146" s="327" t="str">
        <f>IF(AND($D$34=0,$D$35=0,$D$36=0),$P$83,IF(AND($D$34&gt;0,$D$35&gt;0,$D$35&lt;=0.5*$B$45,$D$36=0),$P$92,IF(AND($D$34&gt;0,$D$35&gt;0,$D$35&lt;=0.5*$B$45,$D$36&gt;0),$P$114)))</f>
        <v>Atn = Avn = L*tw</v>
      </c>
      <c r="E146" s="9"/>
      <c r="F146" s="9"/>
      <c r="G146" s="9"/>
      <c r="H146" s="9"/>
      <c r="I146" s="251"/>
      <c r="K146" s="32"/>
      <c r="M146" s="32" t="s">
        <v>237</v>
      </c>
      <c r="N146" s="40" t="str">
        <f>IF($N$16&gt;0,IF($N$145&lt;0,IF($D$26="SC",$N$13*$N$30,$N$13*$N$30),IF($N$145&lt;=1,IF($D$26="SC",$N$30,$N$30)*$N$13*($D$48/$N$144)^2*(1+$N$140*$N$145),IF($N$145&gt;1,IF($D$26="SC",$N$30,$N$30)*$N$13*($D$48/$N$144)^2*(1+$N$140)))),"N.A.")</f>
        <v>N.A.</v>
      </c>
      <c r="O146" s="30" t="s">
        <v>206</v>
      </c>
      <c r="P146" s="36" t="s">
        <v>328</v>
      </c>
      <c r="R146" s="8"/>
      <c r="W146" s="112"/>
      <c r="X146" s="112"/>
      <c r="Y146" s="132"/>
      <c r="Z146" s="133"/>
      <c r="AA146" s="133"/>
      <c r="AB146" s="133"/>
      <c r="AC146" s="133"/>
      <c r="AF146" s="289" t="s">
        <v>588</v>
      </c>
      <c r="AG146" s="290">
        <v>51.3</v>
      </c>
      <c r="AH146" s="291">
        <v>20</v>
      </c>
      <c r="AI146" s="292">
        <v>0.89</v>
      </c>
      <c r="AJ146" s="291">
        <v>11.4</v>
      </c>
      <c r="AK146" s="293">
        <v>1.59</v>
      </c>
      <c r="AL146" s="294">
        <v>1.99</v>
      </c>
    </row>
    <row r="147" spans="1:41" ht="12.75">
      <c r="A147" s="50" t="s">
        <v>47</v>
      </c>
      <c r="B147" s="172">
        <f>IF(AND($D$34=0,$D$35=0,$D$36=0),$N$84,IF(AND($D$34&gt;0,$D$35&gt;0,$D$35&lt;=0.5*$B$45,$D$36=0),$N$93,IF(AND($D$34&gt;0,$D$35&gt;0,$D$35&lt;=0.5*$B$45,$D$36&gt;0),$N$115)))</f>
        <v>117.14999999999999</v>
      </c>
      <c r="C147" s="9"/>
      <c r="D147" s="328" t="str">
        <f>IF(AND($D$34=0,$D$35=0,$D$36=0),$P$84,IF(AND($D$34&gt;0,$D$35&gt;0,$D$35&lt;=0.5*$B$45,$D$36=0),$P$93,IF(AND($D$34&gt;0,$D$35&gt;0,$D$35&lt;=0.5*$B$45,$D$36&gt;0),$P$115)))</f>
        <v>Rtn = (0.60*Fyb*Atg)</v>
      </c>
      <c r="E147" s="9"/>
      <c r="F147" s="9"/>
      <c r="G147" s="9"/>
      <c r="H147" s="9"/>
      <c r="I147" s="251">
        <f>IF($D$17&gt;0,IF($B$147&gt;=$D$17,"Rtn &gt;= P,  O.K.  ","Rtn &lt; P, N.G.  "),"")</f>
      </c>
      <c r="K147" s="32"/>
      <c r="M147" s="49"/>
      <c r="N147" s="83"/>
      <c r="O147" s="37"/>
      <c r="P147" s="36" t="s">
        <v>329</v>
      </c>
      <c r="R147" s="8"/>
      <c r="W147" s="139"/>
      <c r="X147" s="139"/>
      <c r="Y147" s="133"/>
      <c r="Z147" s="132"/>
      <c r="AA147" s="133"/>
      <c r="AB147" s="133"/>
      <c r="AC147" s="133"/>
      <c r="AF147" s="289" t="s">
        <v>589</v>
      </c>
      <c r="AG147" s="290">
        <v>46.3</v>
      </c>
      <c r="AH147" s="291">
        <v>19.7</v>
      </c>
      <c r="AI147" s="292">
        <v>0.81</v>
      </c>
      <c r="AJ147" s="291">
        <v>11.3</v>
      </c>
      <c r="AK147" s="293">
        <v>1.44</v>
      </c>
      <c r="AL147" s="294">
        <v>1.84</v>
      </c>
      <c r="AN147" s="49" t="str">
        <f>IF(AO147="","N.A.","SR =")</f>
        <v>N.A.</v>
      </c>
      <c r="AO147" s="98">
        <f>IF($D$17&gt;0,$D$17/$B$147,"")</f>
      </c>
    </row>
    <row r="148" spans="1:41" ht="12.75">
      <c r="A148" s="18"/>
      <c r="B148" s="9"/>
      <c r="C148" s="9"/>
      <c r="D148" s="9"/>
      <c r="E148" s="9"/>
      <c r="F148" s="9"/>
      <c r="G148" s="9"/>
      <c r="H148" s="9"/>
      <c r="I148" s="13"/>
      <c r="M148" s="37" t="s">
        <v>23</v>
      </c>
      <c r="N148" s="56"/>
      <c r="O148" s="56"/>
      <c r="P148" s="37"/>
      <c r="Q148" s="56"/>
      <c r="W148" s="133"/>
      <c r="X148" s="132"/>
      <c r="Y148" s="133"/>
      <c r="Z148" s="133"/>
      <c r="AA148" s="132"/>
      <c r="AB148" s="133"/>
      <c r="AC148" s="133"/>
      <c r="AF148" s="289" t="s">
        <v>590</v>
      </c>
      <c r="AG148" s="290">
        <v>42.1</v>
      </c>
      <c r="AH148" s="291">
        <v>19.5</v>
      </c>
      <c r="AI148" s="292">
        <v>0.73</v>
      </c>
      <c r="AJ148" s="291">
        <v>11.2</v>
      </c>
      <c r="AK148" s="293">
        <v>1.32</v>
      </c>
      <c r="AL148" s="294">
        <v>1.72</v>
      </c>
      <c r="AN148" s="49"/>
      <c r="AO148" s="98"/>
    </row>
    <row r="149" spans="1:41" ht="12.75">
      <c r="A149" s="66" t="str">
        <f>IF(AND($D$34=0,$D$35=0,$D$36=0),$M$85,IF(AND($D$34&gt;0,$D$35&gt;0,$D$35&lt;=0.5*$B$45,$D$36=0),$M$94,IF(AND($D$34&gt;0,$D$35&gt;0,$D$35&lt;=0.5*$B$45,$D$36&gt;0),$M$116)))</f>
        <v>  Web Buckling (Flexural Rupture) Capacity for Uncoped Flanges:</v>
      </c>
      <c r="B149" s="9"/>
      <c r="C149" s="9"/>
      <c r="D149" s="9"/>
      <c r="E149" s="9"/>
      <c r="F149" s="9"/>
      <c r="G149" s="9"/>
      <c r="H149" s="9"/>
      <c r="I149" s="251"/>
      <c r="M149" s="49" t="s">
        <v>434</v>
      </c>
      <c r="N149" s="60">
        <f>IF($D$16&gt;0,0.5*2.4*$N$10*$D$48*$D$24*$N$13,"N.A.")</f>
        <v>335.78999999999996</v>
      </c>
      <c r="O149" s="37" t="s">
        <v>206</v>
      </c>
      <c r="P149" s="71" t="s">
        <v>101</v>
      </c>
      <c r="Q149" s="56"/>
      <c r="W149" s="133"/>
      <c r="X149" s="133"/>
      <c r="Y149" s="133"/>
      <c r="Z149" s="133"/>
      <c r="AA149" s="133"/>
      <c r="AB149" s="133"/>
      <c r="AC149" s="133"/>
      <c r="AF149" s="289" t="s">
        <v>591</v>
      </c>
      <c r="AG149" s="290">
        <v>38.2</v>
      </c>
      <c r="AH149" s="291">
        <v>19.3</v>
      </c>
      <c r="AI149" s="292">
        <v>0.67</v>
      </c>
      <c r="AJ149" s="291">
        <v>11.2</v>
      </c>
      <c r="AK149" s="293">
        <v>1.2</v>
      </c>
      <c r="AL149" s="294">
        <v>1.6</v>
      </c>
      <c r="AN149" s="49"/>
      <c r="AO149" s="98"/>
    </row>
    <row r="150" spans="1:41" ht="12.75">
      <c r="A150" s="329" t="s">
        <v>128</v>
      </c>
      <c r="B150" s="173" t="str">
        <f>IF(AND($D$34=0,$D$35=0,$D$36=0),"N.A.",IF(AND($D$34&gt;0,$D$35&gt;0,$D$35&lt;=0.5*$B$45,$D$36=0),$N$95,IF(AND($D$34&gt;0,$D$35&gt;0,$D$35&lt;=0.5*$B$45,$D$36&gt;0),$N$117)))</f>
        <v>N.A.</v>
      </c>
      <c r="C150" s="107" t="s">
        <v>229</v>
      </c>
      <c r="D150" s="327" t="str">
        <f>IF(AND($D$34=0,$D$35=0,$D$36=0),"ho = not applicable for uncoped beam",IF(AND($D$34&gt;0,$D$35&gt;0,$D$35&lt;=0.5*$B$45,$D$36=0),$P$95,IF(AND($D$34&gt;0,$D$35&gt;0,$D$35&lt;=0.5*$B$45,$D$36&gt;0),$P$117)))</f>
        <v>ho = not applicable for uncoped beam</v>
      </c>
      <c r="E150" s="24"/>
      <c r="F150" s="5"/>
      <c r="G150" s="9"/>
      <c r="H150" s="9"/>
      <c r="I150" s="251"/>
      <c r="M150" s="37" t="s">
        <v>141</v>
      </c>
      <c r="N150" s="56"/>
      <c r="O150" s="56"/>
      <c r="P150" s="22" t="s">
        <v>435</v>
      </c>
      <c r="W150" s="132"/>
      <c r="X150" s="133"/>
      <c r="Y150" s="138"/>
      <c r="Z150" s="138"/>
      <c r="AA150" s="138"/>
      <c r="AB150" s="138"/>
      <c r="AC150" s="138"/>
      <c r="AF150" s="289" t="s">
        <v>592</v>
      </c>
      <c r="AG150" s="290">
        <v>35.1</v>
      </c>
      <c r="AH150" s="291">
        <v>19</v>
      </c>
      <c r="AI150" s="292">
        <v>0.655</v>
      </c>
      <c r="AJ150" s="291">
        <v>11.3</v>
      </c>
      <c r="AK150" s="293">
        <v>1.06</v>
      </c>
      <c r="AL150" s="294">
        <v>1.46</v>
      </c>
      <c r="AN150" s="49"/>
      <c r="AO150" s="98"/>
    </row>
    <row r="151" spans="1:41" ht="12.75">
      <c r="A151" s="329" t="s">
        <v>251</v>
      </c>
      <c r="B151" s="163" t="str">
        <f>IF(AND($D$34=0,$D$35=0,$D$36=0),"N.A.",IF(AND($D$34&gt;0,$D$35&gt;0,$D$35&lt;=0.5*$B$45,$D$36=0),$N$96,IF(AND($D$34&gt;0,$D$35&gt;0,$D$35&lt;=0.5*$B$45,$D$36&gt;0),$N$118)))</f>
        <v>N.A.</v>
      </c>
      <c r="C151" s="107" t="s">
        <v>229</v>
      </c>
      <c r="D151" s="327" t="str">
        <f>IF(AND($D$34=0,$D$35=0,$D$36=0),"e = not applicable for uncoped beam",IF(AND($D$34&gt;0,$D$35&gt;0,$D$35&lt;=0.5*$B$45,$D$36=0),$P$96,IF(AND($D$34&gt;0,$D$35&gt;0,$D$35&lt;=0.5*$B$45,$D$36&gt;0),$P$118)))</f>
        <v>e = not applicable for uncoped beam</v>
      </c>
      <c r="E151" s="24"/>
      <c r="F151" s="5"/>
      <c r="G151" s="9"/>
      <c r="H151" s="9"/>
      <c r="I151" s="251"/>
      <c r="M151" s="49" t="s">
        <v>146</v>
      </c>
      <c r="N151" s="69" t="str">
        <f>IF($D$17&gt;0,IF($D$37&gt;0.5,$D$46+$D$37,$D$46),"N.A.")</f>
        <v>N.A.</v>
      </c>
      <c r="O151" s="37" t="s">
        <v>229</v>
      </c>
      <c r="P151" s="37" t="str">
        <f>IF($D$17=0,"twc = tw",IF($D$37&lt;=0.5,"twc = tw  (web doubler plate is ignored for prying)","twc = tw+td  (1/2 of total 'td' assumed each side of web)"))</f>
        <v>twc = tw</v>
      </c>
      <c r="W151" s="133"/>
      <c r="X151" s="133"/>
      <c r="Y151" s="36"/>
      <c r="Z151" s="36"/>
      <c r="AA151" s="36"/>
      <c r="AB151" s="36"/>
      <c r="AC151" s="36"/>
      <c r="AF151" s="289" t="s">
        <v>593</v>
      </c>
      <c r="AG151" s="290">
        <v>31.1</v>
      </c>
      <c r="AH151" s="291">
        <v>18.7</v>
      </c>
      <c r="AI151" s="292">
        <v>0.59</v>
      </c>
      <c r="AJ151" s="291">
        <v>11.2</v>
      </c>
      <c r="AK151" s="292">
        <v>0.94</v>
      </c>
      <c r="AL151" s="294">
        <v>1.34</v>
      </c>
      <c r="AN151" s="49"/>
      <c r="AO151" s="98"/>
    </row>
    <row r="152" spans="1:41" ht="12.75">
      <c r="A152" s="329" t="s">
        <v>17</v>
      </c>
      <c r="B152" s="163" t="str">
        <f>IF(AND($D$34=0,$D$35=0,$D$36=0),"N.A.",IF(AND($D$34&gt;0,$D$35&gt;0,$D$35&lt;=0.5*$B$45,$D$36=0),$N$97,IF(AND($D$34&gt;0,$D$35&gt;0,$D$35&lt;=0.5*$B$45,$D$36&gt;0),$N$119)))</f>
        <v>N.A.</v>
      </c>
      <c r="C152" s="107" t="s">
        <v>229</v>
      </c>
      <c r="D152" s="327" t="str">
        <f>IF(AND($D$34=0,$D$35=0,$D$36=0),"yc = not applicable for uncoped beam",IF(AND($D$34&gt;0,$D$35&gt;0,$D$35&lt;=0.5*$B$45,$D$36=0),$P$97,IF(AND($D$34&gt;0,$D$35&gt;0,$D$35&lt;=0.5*$B$45,$D$36&gt;0),$P$119)))</f>
        <v>yc = not applicable for uncoped beam</v>
      </c>
      <c r="E152" s="24"/>
      <c r="F152" s="5"/>
      <c r="G152" s="9"/>
      <c r="H152" s="9"/>
      <c r="I152" s="251"/>
      <c r="M152" s="49" t="s">
        <v>142</v>
      </c>
      <c r="N152" s="42" t="str">
        <f>IF($D$17&gt;0,($D$29-1)*$D$31,"N.A.")</f>
        <v>N.A.</v>
      </c>
      <c r="O152" s="37" t="s">
        <v>229</v>
      </c>
      <c r="P152" s="37" t="s">
        <v>25</v>
      </c>
      <c r="W152" s="133"/>
      <c r="X152" s="133"/>
      <c r="Y152" s="112"/>
      <c r="Z152" s="112"/>
      <c r="AA152" s="112"/>
      <c r="AB152" s="112"/>
      <c r="AC152" s="112"/>
      <c r="AF152" s="289" t="s">
        <v>594</v>
      </c>
      <c r="AG152" s="290">
        <v>28.5</v>
      </c>
      <c r="AH152" s="291">
        <v>18.6</v>
      </c>
      <c r="AI152" s="292">
        <v>0.535</v>
      </c>
      <c r="AJ152" s="291">
        <v>11.1</v>
      </c>
      <c r="AK152" s="292">
        <v>0.87</v>
      </c>
      <c r="AL152" s="294">
        <v>1.27</v>
      </c>
      <c r="AN152" s="49"/>
      <c r="AO152" s="98"/>
    </row>
    <row r="153" spans="1:41" ht="12.75">
      <c r="A153" s="329" t="s">
        <v>286</v>
      </c>
      <c r="B153" s="168" t="str">
        <f>IF(AND($D$34=0,$D$35=0,$D$36=0),"N.A.",IF(AND($D$34&gt;0,$D$35&gt;0,$D$35&lt;=0.5*$B$45,$D$36=0),$N$98,IF(AND($D$34&gt;0,$D$35&gt;0,$D$35&lt;=0.5*$B$45,$D$36&gt;0),$N$120)))</f>
        <v>N.A.</v>
      </c>
      <c r="C153" s="107" t="s">
        <v>309</v>
      </c>
      <c r="D153" s="327" t="str">
        <f>IF(AND($D$34=0,$D$35=0,$D$36=0),"ln = not applicable for uncoped beam",IF(AND($D$34&gt;0,$D$35&gt;0,$D$35&lt;=0.5*$B$45,$D$36=0),$P$98,IF(AND($D$34&gt;0,$D$35&gt;0,$D$35&lt;=0.5*$B$45,$D$36&gt;0),$P$120)))</f>
        <v>ln = not applicable for uncoped beam</v>
      </c>
      <c r="E153" s="24"/>
      <c r="F153" s="2"/>
      <c r="G153" s="9"/>
      <c r="H153" s="79"/>
      <c r="I153" s="251"/>
      <c r="M153" s="59" t="s">
        <v>436</v>
      </c>
      <c r="N153" s="60" t="str">
        <f>IF($D$17&gt;0,(1/1.5)*$D$13*$N$151*($N$152+2.5*$D$49),"N.A.")</f>
        <v>N.A.</v>
      </c>
      <c r="O153" s="47" t="s">
        <v>206</v>
      </c>
      <c r="P153" s="22" t="s">
        <v>437</v>
      </c>
      <c r="W153" s="133"/>
      <c r="X153" s="133"/>
      <c r="Y153" s="362"/>
      <c r="Z153" s="112"/>
      <c r="AA153" s="112"/>
      <c r="AB153" s="362"/>
      <c r="AC153" s="112"/>
      <c r="AF153" s="289" t="s">
        <v>595</v>
      </c>
      <c r="AG153" s="290">
        <v>25.3</v>
      </c>
      <c r="AH153" s="291">
        <v>18.4</v>
      </c>
      <c r="AI153" s="292">
        <v>0.48</v>
      </c>
      <c r="AJ153" s="291">
        <v>11.1</v>
      </c>
      <c r="AK153" s="292">
        <v>0.77</v>
      </c>
      <c r="AL153" s="294">
        <v>1.17</v>
      </c>
      <c r="AN153" s="49"/>
      <c r="AO153" s="98"/>
    </row>
    <row r="154" spans="1:41" ht="12.75">
      <c r="A154" s="329" t="s">
        <v>187</v>
      </c>
      <c r="B154" s="168" t="str">
        <f>IF(AND($D$34=0,$D$35=0,$D$36=0),"N.A.",IF(AND($D$34&gt;0,$D$35&gt;0,$D$35&lt;=0.5*$B$45,$D$36=0),$N$99,IF(AND($D$34&gt;0,$D$35&gt;0,$D$35&lt;=0.5*$B$45,$D$36&gt;0),$N$121)))</f>
        <v>N.A.</v>
      </c>
      <c r="C154" s="107" t="s">
        <v>308</v>
      </c>
      <c r="D154" s="327" t="str">
        <f>IF(AND($D$34=0,$D$35=0,$D$36=0),"Sn = not applicable for uncoped beam",IF(AND($D$34&gt;0,$D$35&gt;0,$D$35&lt;=0.5*$B$45,$D$36=0),$P$99,IF(AND($D$34&gt;0,$D$35&gt;0,$D$35&lt;=0.5*$B$45,$D$36&gt;0),$P$121)))</f>
        <v>Sn = not applicable for uncoped beam</v>
      </c>
      <c r="E154" s="24"/>
      <c r="F154" s="2"/>
      <c r="G154" s="9"/>
      <c r="H154" s="9"/>
      <c r="I154" s="251"/>
      <c r="M154" s="37" t="s">
        <v>143</v>
      </c>
      <c r="N154" s="56"/>
      <c r="O154" s="56"/>
      <c r="P154" s="22" t="s">
        <v>438</v>
      </c>
      <c r="W154" s="133"/>
      <c r="X154" s="133"/>
      <c r="Y154" s="139"/>
      <c r="Z154" s="139"/>
      <c r="AA154" s="139"/>
      <c r="AB154" s="139"/>
      <c r="AC154" s="139"/>
      <c r="AF154" s="289" t="s">
        <v>596</v>
      </c>
      <c r="AG154" s="290">
        <v>22.3</v>
      </c>
      <c r="AH154" s="291">
        <v>18.2</v>
      </c>
      <c r="AI154" s="292">
        <v>0.425</v>
      </c>
      <c r="AJ154" s="291">
        <v>11</v>
      </c>
      <c r="AK154" s="292">
        <v>0.68</v>
      </c>
      <c r="AL154" s="294">
        <v>1.08</v>
      </c>
      <c r="AN154" s="49"/>
      <c r="AO154" s="98"/>
    </row>
    <row r="155" spans="1:41" ht="12.75">
      <c r="A155" s="329" t="s">
        <v>129</v>
      </c>
      <c r="B155" s="168" t="str">
        <f>IF(AND($D$34=0,$D$35=0,$D$36=0),"N.A.",IF(AND($D$34&gt;0,$D$35&gt;0,$D$35&lt;=0.5*$B$45,$D$36=0),$N$100,IF(AND($D$34&gt;0,$D$35&gt;0,$D$35&lt;=0.5*$B$45,$D$36&gt;0),$N$122)))</f>
        <v>N.A.</v>
      </c>
      <c r="C155" s="105" t="s">
        <v>212</v>
      </c>
      <c r="D155" s="327" t="str">
        <f>IF(AND($D$34=0,$D$35=0,$D$36=0),"Fbc = not applicable for uncoped beam",IF(AND($D$34&gt;0,$D$35&gt;0,$D$35&lt;=0.5*$B$45,$D$36=0),$P$100,IF(AND($D$34&gt;0,$D$35&gt;0,$D$35&lt;=0.5*$B$45,$D$36&gt;0),$P$122)))</f>
        <v>Fbc = not applicable for uncoped beam</v>
      </c>
      <c r="E155" s="24"/>
      <c r="F155" s="2"/>
      <c r="G155" s="97"/>
      <c r="H155" s="9"/>
      <c r="I155" s="251"/>
      <c r="M155" s="49" t="s">
        <v>146</v>
      </c>
      <c r="N155" s="69" t="str">
        <f>IF($D$17&gt;0,IF($D$37&gt;0.5,$D$46+$D$37,$D$46),"N.A.")</f>
        <v>N.A.</v>
      </c>
      <c r="O155" s="37" t="s">
        <v>229</v>
      </c>
      <c r="P155" s="37" t="str">
        <f>IF($D$17=0,"twc = tw",IF($D$37&lt;=0.5,"twc = tw  (web doubler plate is ignored for prying)","twc = tw+td  (1/2 of total 'td' assumed each side of web)"))</f>
        <v>twc = tw</v>
      </c>
      <c r="W155" s="132"/>
      <c r="X155" s="133"/>
      <c r="Y155" s="133"/>
      <c r="Z155" s="133"/>
      <c r="AA155" s="133"/>
      <c r="AB155" s="133"/>
      <c r="AC155" s="133"/>
      <c r="AF155" s="289" t="s">
        <v>597</v>
      </c>
      <c r="AG155" s="290">
        <v>20.8</v>
      </c>
      <c r="AH155" s="291">
        <v>18.5</v>
      </c>
      <c r="AI155" s="292">
        <v>0.495</v>
      </c>
      <c r="AJ155" s="293">
        <v>7.64</v>
      </c>
      <c r="AK155" s="292">
        <v>0.81</v>
      </c>
      <c r="AL155" s="294">
        <v>1.21</v>
      </c>
      <c r="AN155" s="49"/>
      <c r="AO155" s="98"/>
    </row>
    <row r="156" spans="1:41" ht="12.75">
      <c r="A156" s="329" t="s">
        <v>120</v>
      </c>
      <c r="B156" s="172" t="str">
        <f>IF(AND($D$34=0,$D$35=0,$D$36=0),"N.A.",IF(AND($D$34&gt;0,$D$35&gt;0,$D$35&lt;=0.5*$B$45,$D$36=0),$N$101,IF(AND($D$34&gt;0,$D$35&gt;0,$D$35&lt;=0.5*$B$45,$D$36&gt;0),$N$123)))</f>
        <v>N.A.</v>
      </c>
      <c r="C156" s="107" t="s">
        <v>206</v>
      </c>
      <c r="D156" s="327" t="str">
        <f>IF(AND($D$34=0,$D$35=0,$D$36=0),"Rwb = not applicable for uncoped beam",IF(AND($D$34&gt;0,$D$35&gt;0,$D$35&lt;=0.5*$B$45,$D$36=0),$P$101,IF(AND($D$34&gt;0,$D$35&gt;0,$D$35&lt;=0.5*$B$45,$D$36&gt;0),$P$123)))</f>
        <v>Rwb = not applicable for uncoped beam</v>
      </c>
      <c r="E156" s="24"/>
      <c r="F156" s="2"/>
      <c r="G156" s="44"/>
      <c r="H156" s="9"/>
      <c r="I156" s="251">
        <f>IF(AND($D$34=0,$D$35=0,$D$36=0),"",IF($B$156&gt;=$D$16,"Rwb &gt;= R,  O.K.  ","Rwb &lt; R, N.G.  "))</f>
      </c>
      <c r="M156" s="49" t="s">
        <v>142</v>
      </c>
      <c r="N156" s="42" t="str">
        <f>IF($D$17&gt;0,($D$29-1)*$D$31,"N.A.")</f>
        <v>N.A.</v>
      </c>
      <c r="O156" s="37" t="s">
        <v>229</v>
      </c>
      <c r="P156" s="37" t="s">
        <v>25</v>
      </c>
      <c r="W156" s="133"/>
      <c r="X156" s="133"/>
      <c r="Y156" s="133"/>
      <c r="Z156" s="133"/>
      <c r="AA156" s="133"/>
      <c r="AB156" s="133"/>
      <c r="AC156" s="133"/>
      <c r="AF156" s="289" t="s">
        <v>598</v>
      </c>
      <c r="AG156" s="290">
        <v>19.1</v>
      </c>
      <c r="AH156" s="291">
        <v>18.4</v>
      </c>
      <c r="AI156" s="292">
        <v>0.45</v>
      </c>
      <c r="AJ156" s="293">
        <v>7.59</v>
      </c>
      <c r="AK156" s="292">
        <v>0.75</v>
      </c>
      <c r="AL156" s="294">
        <v>1.15</v>
      </c>
      <c r="AN156" s="49" t="str">
        <f>IF(AO156="","N.A.","SR =")</f>
        <v>N.A.</v>
      </c>
      <c r="AO156" s="98">
        <f>IF(AND($D$34=0,$D$35=0,$D$36=0),"",$D$16/$B$156)</f>
      </c>
    </row>
    <row r="157" spans="1:41" ht="12.75">
      <c r="A157" s="19"/>
      <c r="B157" s="20"/>
      <c r="C157" s="119"/>
      <c r="D157" s="20"/>
      <c r="E157" s="20"/>
      <c r="F157" s="20"/>
      <c r="G157" s="20"/>
      <c r="H157" s="20"/>
      <c r="I157" s="122" t="s">
        <v>122</v>
      </c>
      <c r="L157" s="41"/>
      <c r="M157" s="49" t="s">
        <v>411</v>
      </c>
      <c r="N157" s="60" t="str">
        <f>IF($D$17&gt;0,(1/2)*0.4*$N$155^2*(1+3*($N$156/$D$45)*($N$155/$D$48)^(1.5))*SQRT(29000*$D$13*$D$48/$N$155),"N.A.")</f>
        <v>N.A.</v>
      </c>
      <c r="O157" s="37" t="s">
        <v>206</v>
      </c>
      <c r="P157" s="22" t="s">
        <v>439</v>
      </c>
      <c r="W157" s="133"/>
      <c r="X157" s="133"/>
      <c r="Y157" s="133"/>
      <c r="Z157" s="133"/>
      <c r="AA157" s="133"/>
      <c r="AB157" s="133"/>
      <c r="AC157" s="133"/>
      <c r="AF157" s="289" t="s">
        <v>599</v>
      </c>
      <c r="AG157" s="290">
        <v>17.6</v>
      </c>
      <c r="AH157" s="291">
        <v>18.2</v>
      </c>
      <c r="AI157" s="292">
        <v>0.415</v>
      </c>
      <c r="AJ157" s="293">
        <v>7.56</v>
      </c>
      <c r="AK157" s="292">
        <v>0.695</v>
      </c>
      <c r="AL157" s="294">
        <v>1.1</v>
      </c>
      <c r="AN157" s="49"/>
      <c r="AO157" s="98"/>
    </row>
    <row r="158" spans="1:41" ht="12.75">
      <c r="A158" s="16"/>
      <c r="B158" s="17"/>
      <c r="C158" s="17"/>
      <c r="D158" s="17"/>
      <c r="E158" s="17"/>
      <c r="F158" s="17"/>
      <c r="G158" s="17"/>
      <c r="H158" s="17"/>
      <c r="I158" s="348"/>
      <c r="M158" s="28" t="s">
        <v>149</v>
      </c>
      <c r="O158" s="56"/>
      <c r="P158" s="30"/>
      <c r="W158" s="133"/>
      <c r="X158" s="133"/>
      <c r="Y158" s="133"/>
      <c r="Z158" s="133"/>
      <c r="AA158" s="133"/>
      <c r="AB158" s="133"/>
      <c r="AC158" s="365"/>
      <c r="AF158" s="289" t="s">
        <v>600</v>
      </c>
      <c r="AG158" s="290">
        <v>16.2</v>
      </c>
      <c r="AH158" s="291">
        <v>18.1</v>
      </c>
      <c r="AI158" s="292">
        <v>0.39</v>
      </c>
      <c r="AJ158" s="293">
        <v>7.53</v>
      </c>
      <c r="AK158" s="292">
        <v>0.63</v>
      </c>
      <c r="AL158" s="294">
        <v>1.03</v>
      </c>
      <c r="AN158" s="49"/>
      <c r="AO158" s="98"/>
    </row>
    <row r="159" spans="1:41" ht="12.75">
      <c r="A159" s="129" t="str">
        <f>IF(AND($D$34=0,$D$35=0,$D$36=0),$R$78,IF(AND($D$34&gt;0,$D$35&gt;0,$D$36=0),$R$87,IF(AND($D$34&gt;0,$D$35&gt;0,$D$36&gt;0),$R$109)))</f>
        <v>Beam Checks for Uncoped Flanges (continued):</v>
      </c>
      <c r="B159" s="9"/>
      <c r="C159" s="9"/>
      <c r="D159" s="9"/>
      <c r="E159" s="9"/>
      <c r="F159" s="9"/>
      <c r="G159" s="9"/>
      <c r="H159" s="9"/>
      <c r="I159" s="13"/>
      <c r="M159" s="32" t="s">
        <v>150</v>
      </c>
      <c r="N159" s="60" t="str">
        <f>IF($D$17&gt;0,IF($D$37&gt;0,2*(($D$29-1)*$D$31+2*$D$32),"N.A."),"N.A.")</f>
        <v>N.A.</v>
      </c>
      <c r="O159" s="37" t="s">
        <v>229</v>
      </c>
      <c r="P159" s="37" t="s">
        <v>26</v>
      </c>
      <c r="W159" s="133"/>
      <c r="X159" s="133"/>
      <c r="Y159" s="133"/>
      <c r="Z159" s="133"/>
      <c r="AA159" s="133"/>
      <c r="AB159" s="133"/>
      <c r="AC159" s="133"/>
      <c r="AF159" s="289" t="s">
        <v>601</v>
      </c>
      <c r="AG159" s="290">
        <v>14.7</v>
      </c>
      <c r="AH159" s="291">
        <v>18</v>
      </c>
      <c r="AI159" s="292">
        <v>0.355</v>
      </c>
      <c r="AJ159" s="293">
        <v>7.5</v>
      </c>
      <c r="AK159" s="292">
        <v>0.57</v>
      </c>
      <c r="AL159" s="296">
        <v>0.972</v>
      </c>
      <c r="AN159" s="49"/>
      <c r="AO159" s="98"/>
    </row>
    <row r="160" spans="1:41" ht="12.75">
      <c r="A160" s="18"/>
      <c r="B160" s="9"/>
      <c r="C160" s="9"/>
      <c r="D160" s="9"/>
      <c r="E160" s="9"/>
      <c r="F160" s="9"/>
      <c r="G160" s="9"/>
      <c r="H160" s="9"/>
      <c r="I160" s="13"/>
      <c r="M160" s="32" t="s">
        <v>139</v>
      </c>
      <c r="N160" s="42" t="str">
        <f>IF($D$17&gt;0,IF($D$37&gt;0,$D$17/$N$159,"N.A."),"N.A.")</f>
        <v>N.A.</v>
      </c>
      <c r="O160" s="37" t="s">
        <v>140</v>
      </c>
      <c r="P160" s="37" t="s">
        <v>159</v>
      </c>
      <c r="W160" s="133"/>
      <c r="X160" s="133"/>
      <c r="Y160" s="133"/>
      <c r="Z160" s="132"/>
      <c r="AA160" s="132"/>
      <c r="AB160" s="365"/>
      <c r="AC160" s="365"/>
      <c r="AF160" s="289" t="s">
        <v>602</v>
      </c>
      <c r="AG160" s="290">
        <v>13.5</v>
      </c>
      <c r="AH160" s="291">
        <v>18.1</v>
      </c>
      <c r="AI160" s="292">
        <v>0.36</v>
      </c>
      <c r="AJ160" s="293">
        <v>6.06</v>
      </c>
      <c r="AK160" s="292">
        <v>0.605</v>
      </c>
      <c r="AL160" s="294">
        <v>1.01</v>
      </c>
      <c r="AN160" s="49"/>
      <c r="AO160" s="98"/>
    </row>
    <row r="161" spans="1:41" ht="12.75">
      <c r="A161" s="66" t="str">
        <f>IF(AND($D$34=0,$D$35=0,$D$36=0),$M$86,IF(AND($D$34&gt;0,$D$35&gt;0,$D$35&lt;=0.5*$B$45,$D$36=0),$M$102,IF(AND($D$34&gt;0,$D$35&gt;0,$D$35&lt;=0.5*$B$45,$D$36&gt;0),$M$124)))</f>
        <v>  Web Buckling (Flexural Local Buckling) Capacity for Uncoped Flanges:</v>
      </c>
      <c r="B161" s="330"/>
      <c r="C161" s="67"/>
      <c r="D161" s="67"/>
      <c r="E161" s="67"/>
      <c r="F161" s="9"/>
      <c r="G161" s="44"/>
      <c r="H161" s="9"/>
      <c r="I161" s="251"/>
      <c r="M161" s="73" t="s">
        <v>48</v>
      </c>
      <c r="N161" s="42" t="str">
        <f>IF($D$17&gt;0,IF($D$37&gt;0,$N$160/((SQRT(2)/2)*0.3*70),"N.A."),"N.A.")</f>
        <v>N.A.</v>
      </c>
      <c r="O161" s="37" t="s">
        <v>280</v>
      </c>
      <c r="P161" s="74" t="s">
        <v>49</v>
      </c>
      <c r="W161" s="133"/>
      <c r="X161" s="133"/>
      <c r="Y161" s="132"/>
      <c r="Z161" s="133"/>
      <c r="AA161" s="133"/>
      <c r="AB161" s="133"/>
      <c r="AC161" s="133"/>
      <c r="AF161" s="289" t="s">
        <v>603</v>
      </c>
      <c r="AG161" s="290">
        <v>11.8</v>
      </c>
      <c r="AH161" s="291">
        <v>17.9</v>
      </c>
      <c r="AI161" s="292">
        <v>0.315</v>
      </c>
      <c r="AJ161" s="293">
        <v>6.02</v>
      </c>
      <c r="AK161" s="292">
        <v>0.525</v>
      </c>
      <c r="AL161" s="296">
        <v>0.927</v>
      </c>
      <c r="AN161" s="49"/>
      <c r="AO161" s="98"/>
    </row>
    <row r="162" spans="1:41" ht="12.75">
      <c r="A162" s="329" t="s">
        <v>30</v>
      </c>
      <c r="B162" s="173" t="str">
        <f>IF(AND($D$34=0,$D$35=0,$D$36=0),"N.A.",IF(AND($D$34&gt;0,$D$35&gt;0,$D$35&lt;=0.5*$B$45,$D$36=0),$N$103,IF(AND($D$34&gt;0,$D$35&gt;0,$D$35&lt;=0.5*$B$45,$D$36&gt;0),"N.A.")))</f>
        <v>N.A.</v>
      </c>
      <c r="C162" s="9"/>
      <c r="D162" s="327" t="str">
        <f>IF(AND($D$34=0,$D$35=0,$D$36=0),"c/d = not applicable for uncoped beam",IF(AND($D$34&gt;0,$D$35&gt;0,$D$35&lt;=0.5*$B$45,$D$36=0),$P$103,IF(AND($D$34&gt;0,$D$35&gt;0,$D$35&lt;=0.5*$B$45,$D$36&gt;0),"c/d = not applicable for double coped beam")))</f>
        <v>c/d = not applicable for uncoped beam</v>
      </c>
      <c r="E162" s="9"/>
      <c r="F162" s="9"/>
      <c r="G162" s="44"/>
      <c r="H162" s="9"/>
      <c r="I162" s="251"/>
      <c r="M162" s="73" t="s">
        <v>224</v>
      </c>
      <c r="N162" s="42" t="str">
        <f>IF($D$17&gt;0,IF($D$37&gt;0,MIN(0.4*$D$38*$D$37/((SQRT(2)/2)*0.3*70),0.4*$D$13*$D$48/((SQRT(2)/2)*0.3*70)),"N.A."),"N.A.")</f>
        <v>N.A.</v>
      </c>
      <c r="O162" s="37" t="s">
        <v>280</v>
      </c>
      <c r="P162" s="74" t="s">
        <v>224</v>
      </c>
      <c r="Q162" s="37" t="str">
        <f>IF(0.4*$D$38*$D$37/((SQRT(2)/2)*0.3*70)&lt;=0.4*$D$13*$D$48/((SQRT(2)/2)*0.3*70),"0.40*Fyd*td/((SQRT(2)/2)*0.30*70)","0.40*Fyc*tfc/((SQRT(2)/2)*0.30*70)")</f>
        <v>0.40*Fyd*td/((SQRT(2)/2)*0.30*70)</v>
      </c>
      <c r="W162" s="133"/>
      <c r="X162" s="133"/>
      <c r="Y162" s="133"/>
      <c r="Z162" s="133"/>
      <c r="AA162" s="133"/>
      <c r="AB162" s="132"/>
      <c r="AC162" s="133"/>
      <c r="AF162" s="289" t="s">
        <v>604</v>
      </c>
      <c r="AG162" s="290">
        <v>10.3</v>
      </c>
      <c r="AH162" s="291">
        <v>17.7</v>
      </c>
      <c r="AI162" s="292">
        <v>0.3</v>
      </c>
      <c r="AJ162" s="293">
        <v>6</v>
      </c>
      <c r="AK162" s="292">
        <v>0.425</v>
      </c>
      <c r="AL162" s="296">
        <v>0.827</v>
      </c>
      <c r="AN162" s="49"/>
      <c r="AO162" s="98"/>
    </row>
    <row r="163" spans="1:41" ht="12.75">
      <c r="A163" s="329" t="s">
        <v>262</v>
      </c>
      <c r="B163" s="163" t="str">
        <f>IF(AND($D$34=0,$D$35=0,$D$36=0),"N.A.",IF(AND($D$34&gt;0,$D$35&gt;0,$D$35&lt;=0.5*$B$45,$D$36=0),$N$104,IF(AND($D$34&gt;0,$D$35&gt;0,$D$35&lt;=0.5*$B$45,$D$36&gt;0),"N.A.")))</f>
        <v>N.A.</v>
      </c>
      <c r="C163" s="9"/>
      <c r="D163" s="327" t="str">
        <f>IF(AND($D$34=0,$D$35=0,$D$36=0),"f = not applicable for uncoped beam",IF(AND($D$34&gt;0,$D$35&gt;0,$D$35&lt;=0.5*$B$45,$D$36=0),$P$104,IF(AND($D$34&gt;0,$D$35&gt;0,$D$35&lt;=0.5*$B$45,$D$36&gt;0),"f = not applicable for double coped beam")))</f>
        <v>f = not applicable for uncoped beam</v>
      </c>
      <c r="E163" s="9"/>
      <c r="F163" s="9"/>
      <c r="G163" s="44"/>
      <c r="H163" s="9"/>
      <c r="I163" s="251"/>
      <c r="W163" s="133"/>
      <c r="X163" s="133"/>
      <c r="Y163" s="133"/>
      <c r="Z163" s="133"/>
      <c r="AA163" s="133"/>
      <c r="AB163" s="133"/>
      <c r="AC163" s="133"/>
      <c r="AF163" s="289" t="s">
        <v>605</v>
      </c>
      <c r="AG163" s="290">
        <v>29.5</v>
      </c>
      <c r="AH163" s="291">
        <v>17</v>
      </c>
      <c r="AI163" s="292">
        <v>0.585</v>
      </c>
      <c r="AJ163" s="291">
        <v>10.4</v>
      </c>
      <c r="AK163" s="292">
        <v>0.985</v>
      </c>
      <c r="AL163" s="294">
        <v>1.39</v>
      </c>
      <c r="AN163" s="49"/>
      <c r="AO163" s="98"/>
    </row>
    <row r="164" spans="1:41" ht="12.75">
      <c r="A164" s="329" t="s">
        <v>29</v>
      </c>
      <c r="B164" s="163" t="str">
        <f>IF(AND($D$34=0,$D$35=0,$D$36=0),"N.A.",IF(AND($D$34&gt;0,$D$35&gt;0,$D$35&lt;=0.5*$B$45,$D$36=0),$N$105,IF(AND($D$34&gt;0,$D$35&gt;0,$D$35&lt;=0.5*$B$45,$D$36&gt;0),"N.A.")))</f>
        <v>N.A.</v>
      </c>
      <c r="C164" s="9"/>
      <c r="D164" s="327" t="str">
        <f>IF(AND($D$34=0,$D$35=0,$D$36=0),"c/ho = not applicable for uncoped beam",IF(AND($D$34&gt;0,$D$35&gt;0,$D$35&lt;=0.5*$B$45,$D$36=0),$P$105,IF(AND($D$34&gt;0,$D$35&gt;0,$D$35&lt;=0.5*$B$45,$D$36&gt;0),"c/ho = not applicable for double coped beam")))</f>
        <v>c/ho = not applicable for uncoped beam</v>
      </c>
      <c r="E164" s="9"/>
      <c r="F164" s="9"/>
      <c r="G164" s="44"/>
      <c r="H164" s="9"/>
      <c r="I164" s="251"/>
      <c r="W164" s="133"/>
      <c r="X164" s="133"/>
      <c r="Y164" s="133"/>
      <c r="Z164" s="133"/>
      <c r="AA164" s="133"/>
      <c r="AB164" s="133"/>
      <c r="AC164" s="133"/>
      <c r="AF164" s="289" t="s">
        <v>606</v>
      </c>
      <c r="AG164" s="290">
        <v>26.2</v>
      </c>
      <c r="AH164" s="291">
        <v>16.8</v>
      </c>
      <c r="AI164" s="292">
        <v>0.525</v>
      </c>
      <c r="AJ164" s="291">
        <v>10.4</v>
      </c>
      <c r="AK164" s="292">
        <v>0.875</v>
      </c>
      <c r="AL164" s="294">
        <v>1.28</v>
      </c>
      <c r="AN164" s="49"/>
      <c r="AO164" s="98"/>
    </row>
    <row r="165" spans="1:38" ht="12.75">
      <c r="A165" s="329" t="s">
        <v>292</v>
      </c>
      <c r="B165" s="168" t="str">
        <f>IF(AND($D$34=0,$D$35=0,$D$36=0),"N.A.",IF(AND($D$34&gt;0,$D$35&gt;0,$D$35&lt;=0.5*$B$45,$D$36=0),$N$106,IF(AND($D$34&gt;0,$D$35&gt;0,$D$35&lt;=0.5*$B$45,$D$36&gt;0),"N.A.")))</f>
        <v>N.A.</v>
      </c>
      <c r="C165" s="9"/>
      <c r="D165" s="327" t="str">
        <f>IF(AND($D$34=0,$D$35=0,$D$36=0),"k = not applicable for uncoped beam",IF(AND($D$34&gt;0,$D$35&gt;0,$D$35&lt;=0.5*$B$45,$D$36=0),$P$106,IF(AND($D$34&gt;0,$D$35&gt;0,$D$35&lt;=0.5*$B$45,$D$36&gt;0),"k = not applicable for double coped beam")))</f>
        <v>k = not applicable for uncoped beam</v>
      </c>
      <c r="E165" s="9"/>
      <c r="F165" s="9"/>
      <c r="G165" s="44"/>
      <c r="H165" s="44"/>
      <c r="I165" s="251"/>
      <c r="W165" s="133"/>
      <c r="X165" s="133"/>
      <c r="Y165" s="133"/>
      <c r="Z165" s="133"/>
      <c r="AA165" s="133"/>
      <c r="AB165" s="133"/>
      <c r="AC165" s="132"/>
      <c r="AF165" s="289" t="s">
        <v>607</v>
      </c>
      <c r="AG165" s="290">
        <v>22.6</v>
      </c>
      <c r="AH165" s="291">
        <v>16.5</v>
      </c>
      <c r="AI165" s="292">
        <v>0.455</v>
      </c>
      <c r="AJ165" s="291">
        <v>10.3</v>
      </c>
      <c r="AK165" s="292">
        <v>0.76</v>
      </c>
      <c r="AL165" s="294">
        <v>1.16</v>
      </c>
    </row>
    <row r="166" spans="1:41" ht="12.75">
      <c r="A166" s="50" t="s">
        <v>408</v>
      </c>
      <c r="B166" s="168" t="str">
        <f>IF(AND($D$34=0,$D$35=0,$D$36=0),"N.A.",IF(AND($D$34&gt;0,$D$35&gt;0,$D$35&lt;=0.5*$B$45,$D$36=0),"N.A.",IF(AND($D$34&gt;0,$D$35&gt;0,$D$35&lt;=0.5*$B$45,$D$36&gt;0),$N$125)))</f>
        <v>N.A.</v>
      </c>
      <c r="C166" s="9"/>
      <c r="D166" s="327" t="str">
        <f>IF(AND($D$34=0,$D$35=0,$D$36=0),"fd = not applicable for uncoped beam",IF(AND($D$34&gt;0,$D$35&gt;0,$D$35&lt;=0.5*$B$45,$D$36=0),"fd = not applicable for single coped beam",IF(AND($D$34&gt;0,$D$35&gt;0,$D$35&lt;=0.5*$B$45,$D$36&gt;0),$P$125)))</f>
        <v>fd = not applicable for uncoped beam</v>
      </c>
      <c r="E166" s="9"/>
      <c r="F166" s="9"/>
      <c r="G166" s="24"/>
      <c r="H166" s="44"/>
      <c r="I166" s="251"/>
      <c r="W166" s="133"/>
      <c r="X166" s="132"/>
      <c r="Y166" s="133"/>
      <c r="Z166" s="133"/>
      <c r="AA166" s="132"/>
      <c r="AB166" s="133"/>
      <c r="AC166" s="132"/>
      <c r="AF166" s="289" t="s">
        <v>608</v>
      </c>
      <c r="AG166" s="290">
        <v>19.7</v>
      </c>
      <c r="AH166" s="291">
        <v>16.3</v>
      </c>
      <c r="AI166" s="292">
        <v>0.395</v>
      </c>
      <c r="AJ166" s="291">
        <v>10.2</v>
      </c>
      <c r="AK166" s="292">
        <v>0.665</v>
      </c>
      <c r="AL166" s="294">
        <v>1.07</v>
      </c>
      <c r="AN166" s="49"/>
      <c r="AO166" s="98"/>
    </row>
    <row r="167" spans="1:41" ht="12.75">
      <c r="A167" s="50" t="s">
        <v>409</v>
      </c>
      <c r="B167" s="168" t="str">
        <f>IF(AND($D$34=0,$D$35=0,$D$36=0),"N.A.",IF(AND($D$34&gt;0,$D$35&gt;0,$D$35&lt;=0.5*$B$45,$D$36=0),"N.A.",IF(AND($D$34&gt;0,$D$35&gt;0,$D$35&lt;=0.5*$B$45,$D$36&gt;0),$N$126)))</f>
        <v>N.A.</v>
      </c>
      <c r="C167" s="9"/>
      <c r="D167" s="327" t="str">
        <f>IF(AND($D$34=0,$D$35=0,$D$36=0),"lambda = not applicable for uncoped beam",IF(AND($D$34&gt;0,$D$35&gt;0,$D$35&lt;=0.5*$B$45,$D$36=0),"lambda = not applicable for single coped beam",IF(AND($D$34&gt;0,$D$35&gt;0,$D$35&lt;=0.5*$B$45,$D$36&gt;0),$P$126)))</f>
        <v>lambda = not applicable for uncoped beam</v>
      </c>
      <c r="E167" s="9"/>
      <c r="F167" s="9"/>
      <c r="G167" s="24"/>
      <c r="H167" s="44"/>
      <c r="I167" s="251"/>
      <c r="W167" s="133"/>
      <c r="X167" s="133"/>
      <c r="Y167" s="133"/>
      <c r="Z167" s="133"/>
      <c r="AA167" s="133"/>
      <c r="AB167" s="133"/>
      <c r="AC167" s="133"/>
      <c r="AF167" s="289" t="s">
        <v>609</v>
      </c>
      <c r="AG167" s="290">
        <v>16.8</v>
      </c>
      <c r="AH167" s="291">
        <v>16.4</v>
      </c>
      <c r="AI167" s="292">
        <v>0.43</v>
      </c>
      <c r="AJ167" s="293">
        <v>7.12</v>
      </c>
      <c r="AK167" s="292">
        <v>0.715</v>
      </c>
      <c r="AL167" s="294">
        <v>1.12</v>
      </c>
      <c r="AN167" s="49"/>
      <c r="AO167" s="98"/>
    </row>
    <row r="168" spans="1:41" ht="12.75">
      <c r="A168" s="50" t="s">
        <v>410</v>
      </c>
      <c r="B168" s="168" t="str">
        <f>IF(AND($D$34=0,$D$35=0,$D$36=0),"N.A.",IF(AND($D$34&gt;0,$D$35&gt;0,$D$35&lt;=0.5*$B$45,$D$36=0),"N.A.",IF(AND($D$34&gt;0,$D$35&gt;0,$D$35&lt;=0.5*$B$45,$D$36&gt;0),$N$127)))</f>
        <v>N.A.</v>
      </c>
      <c r="C168" s="9"/>
      <c r="D168" s="350" t="str">
        <f>IF(AND($D$34=0,$D$35=0,$D$36=0),"Q = not applicable for uncoped beam",IF(AND($D$34&gt;0,$D$35&gt;0,$D$35&lt;=0.5*$B$45,$D$36=0),"Q = not applicable for single coped beam",IF(AND($D$34&gt;0,$D$35&gt;0,$D$35&lt;=0.5*$B$45,$D$36&gt;0),$P$127)))</f>
        <v>Q = not applicable for uncoped beam</v>
      </c>
      <c r="E168" s="9"/>
      <c r="F168" s="9"/>
      <c r="G168" s="24"/>
      <c r="H168" s="44"/>
      <c r="I168" s="251"/>
      <c r="W168" s="133"/>
      <c r="X168" s="133"/>
      <c r="Y168" s="133"/>
      <c r="Z168" s="133"/>
      <c r="AA168" s="133"/>
      <c r="AB168" s="133"/>
      <c r="AC168" s="133"/>
      <c r="AF168" s="289" t="s">
        <v>610</v>
      </c>
      <c r="AG168" s="290">
        <v>14.7</v>
      </c>
      <c r="AH168" s="291">
        <v>16.3</v>
      </c>
      <c r="AI168" s="292">
        <v>0.38</v>
      </c>
      <c r="AJ168" s="293">
        <v>7.07</v>
      </c>
      <c r="AK168" s="292">
        <v>0.63</v>
      </c>
      <c r="AL168" s="294">
        <v>1.03</v>
      </c>
      <c r="AN168" s="49"/>
      <c r="AO168" s="98"/>
    </row>
    <row r="169" spans="1:41" ht="12.75">
      <c r="A169" s="329" t="s">
        <v>129</v>
      </c>
      <c r="B169" s="168" t="str">
        <f>IF(AND($D$34=0,$D$35=0,$D$36=0),"N.A.",IF(AND($D$34&gt;0,$D$35&gt;0,$D$35&lt;=0.5*$B$45,$D$36=0),$N$107,IF(AND($D$34&gt;0,$D$35&gt;0,$D$35&lt;=0.5*$B$45,$D$36&gt;0),$N$128)))</f>
        <v>N.A.</v>
      </c>
      <c r="C169" s="105" t="s">
        <v>212</v>
      </c>
      <c r="D169" s="328" t="str">
        <f>IF(AND($D$34=0,$D$35=0,$D$36=0),"Fbc = not applicable for uncoped beam",IF(AND($D$34&gt;0,$D$35&gt;0,$D$35&lt;=0.5*$B$45,$D$36=0),$P$107,IF(AND($D$34&gt;0,$D$35&gt;0,$D$35&lt;=0.5*$B$45,$D$36&gt;0),$P$128)))</f>
        <v>Fbc = not applicable for uncoped beam</v>
      </c>
      <c r="E169" s="9"/>
      <c r="F169" s="59"/>
      <c r="G169" s="24"/>
      <c r="H169" s="79"/>
      <c r="I169" s="251"/>
      <c r="W169" s="133"/>
      <c r="X169" s="133"/>
      <c r="Y169" s="133"/>
      <c r="Z169" s="133"/>
      <c r="AA169" s="133"/>
      <c r="AB169" s="132"/>
      <c r="AC169" s="133"/>
      <c r="AF169" s="289" t="s">
        <v>611</v>
      </c>
      <c r="AG169" s="290">
        <v>13.3</v>
      </c>
      <c r="AH169" s="291">
        <v>16.1</v>
      </c>
      <c r="AI169" s="292">
        <v>0.345</v>
      </c>
      <c r="AJ169" s="293">
        <v>7.04</v>
      </c>
      <c r="AK169" s="292">
        <v>0.565</v>
      </c>
      <c r="AL169" s="296">
        <v>0.967</v>
      </c>
      <c r="AN169" s="49"/>
      <c r="AO169" s="98"/>
    </row>
    <row r="170" spans="1:41" ht="12.75">
      <c r="A170" s="329" t="s">
        <v>120</v>
      </c>
      <c r="B170" s="172" t="str">
        <f>IF(AND($D$34=0,$D$35=0,$D$36=0),"N.A.",IF(AND($D$34&gt;0,$D$35&gt;0,$D$35&lt;=0.5*$B$45,$D$36=0),$N$108,IF(AND($D$34&gt;0,$D$35&gt;0,$D$35&lt;=0.5*$B$45,$D$36&gt;0),$N$129)))</f>
        <v>N.A.</v>
      </c>
      <c r="C170" s="105" t="s">
        <v>206</v>
      </c>
      <c r="D170" s="328" t="str">
        <f>IF(AND($D$34=0,$D$35=0,$D$36=0),"Rwb = not applicable for uncoped beam",IF(AND($D$34&gt;0,$D$35&gt;0,$D$35&lt;=0.5*$B$45,$D$36=0),$P$108,IF(AND($D$34&gt;0,$D$35&gt;0,$D$35&lt;=0.5*$B$45,$D$36&gt;0),$P$129)))</f>
        <v>Rwb = not applicable for uncoped beam</v>
      </c>
      <c r="E170" s="9"/>
      <c r="F170" s="331"/>
      <c r="G170" s="9"/>
      <c r="H170" s="9"/>
      <c r="I170" s="251">
        <f>IF(AND($D$34=0,$D$35=0,$D$36=0),"",IF($B$170&gt;=$D$16,"Rwb &gt;= R,  O.K.  ","Rwb &lt; R, N.G.  "))</f>
      </c>
      <c r="W170" s="133"/>
      <c r="X170" s="133"/>
      <c r="Y170" s="133"/>
      <c r="Z170" s="133"/>
      <c r="AA170" s="133"/>
      <c r="AB170" s="133"/>
      <c r="AC170" s="133"/>
      <c r="AF170" s="289" t="s">
        <v>612</v>
      </c>
      <c r="AG170" s="290">
        <v>11.8</v>
      </c>
      <c r="AH170" s="291">
        <v>16</v>
      </c>
      <c r="AI170" s="292">
        <v>0.305</v>
      </c>
      <c r="AJ170" s="293">
        <v>7</v>
      </c>
      <c r="AK170" s="292">
        <v>0.505</v>
      </c>
      <c r="AL170" s="296">
        <v>0.907</v>
      </c>
      <c r="AN170" s="49" t="str">
        <f>IF(AO170="","N.A.","SR =")</f>
        <v>N.A.</v>
      </c>
      <c r="AO170" s="98">
        <f>IF(AND($D$34=0,$D$35=0,$D$36=0),"",$D$16/$B$170)</f>
      </c>
    </row>
    <row r="171" spans="1:41" ht="12.75">
      <c r="A171" s="18"/>
      <c r="B171" s="75"/>
      <c r="C171" s="107"/>
      <c r="D171" s="54"/>
      <c r="E171" s="9"/>
      <c r="F171" s="9"/>
      <c r="G171" s="9"/>
      <c r="H171" s="87"/>
      <c r="I171" s="251"/>
      <c r="W171" s="138"/>
      <c r="X171" s="138"/>
      <c r="Y171" s="133"/>
      <c r="Z171" s="133"/>
      <c r="AA171" s="133"/>
      <c r="AB171" s="133"/>
      <c r="AC171" s="132"/>
      <c r="AF171" s="289" t="s">
        <v>613</v>
      </c>
      <c r="AG171" s="290">
        <v>10.6</v>
      </c>
      <c r="AH171" s="291">
        <v>15.9</v>
      </c>
      <c r="AI171" s="292">
        <v>0.295</v>
      </c>
      <c r="AJ171" s="293">
        <v>6.99</v>
      </c>
      <c r="AK171" s="292">
        <v>0.43</v>
      </c>
      <c r="AL171" s="296">
        <v>0.832</v>
      </c>
      <c r="AN171" s="49"/>
      <c r="AO171" s="98"/>
    </row>
    <row r="172" spans="1:41" ht="12.75">
      <c r="A172" s="63" t="s">
        <v>158</v>
      </c>
      <c r="B172" s="9"/>
      <c r="C172" s="9"/>
      <c r="D172" s="9"/>
      <c r="E172" s="9"/>
      <c r="F172" s="9"/>
      <c r="G172" s="9"/>
      <c r="H172" s="9"/>
      <c r="I172" s="251"/>
      <c r="W172" s="36"/>
      <c r="X172" s="36"/>
      <c r="Y172" s="133"/>
      <c r="Z172" s="133"/>
      <c r="AA172" s="133"/>
      <c r="AB172" s="133"/>
      <c r="AC172" s="133"/>
      <c r="AF172" s="289" t="s">
        <v>614</v>
      </c>
      <c r="AG172" s="297">
        <v>9.13</v>
      </c>
      <c r="AH172" s="291">
        <v>15.9</v>
      </c>
      <c r="AI172" s="292">
        <v>0.275</v>
      </c>
      <c r="AJ172" s="293">
        <v>5.53</v>
      </c>
      <c r="AK172" s="292">
        <v>0.44</v>
      </c>
      <c r="AL172" s="296">
        <v>0.842</v>
      </c>
      <c r="AN172" s="49"/>
      <c r="AO172" s="98"/>
    </row>
    <row r="173" spans="1:41" ht="12.75">
      <c r="A173" s="18"/>
      <c r="B173" s="9"/>
      <c r="C173" s="9"/>
      <c r="D173" s="9"/>
      <c r="E173" s="9"/>
      <c r="F173" s="9"/>
      <c r="G173" s="9"/>
      <c r="H173" s="9"/>
      <c r="I173" s="13"/>
      <c r="Y173" s="133"/>
      <c r="Z173" s="133"/>
      <c r="AA173" s="133"/>
      <c r="AB173" s="133"/>
      <c r="AC173" s="133"/>
      <c r="AF173" s="289" t="s">
        <v>615</v>
      </c>
      <c r="AG173" s="297">
        <v>7.68</v>
      </c>
      <c r="AH173" s="291">
        <v>15.7</v>
      </c>
      <c r="AI173" s="292">
        <v>0.25</v>
      </c>
      <c r="AJ173" s="293">
        <v>5.5</v>
      </c>
      <c r="AK173" s="292">
        <v>0.345</v>
      </c>
      <c r="AL173" s="296">
        <v>0.747</v>
      </c>
      <c r="AN173" s="49"/>
      <c r="AO173" s="98"/>
    </row>
    <row r="174" spans="1:38" ht="12.75">
      <c r="A174" s="72" t="s">
        <v>160</v>
      </c>
      <c r="B174" s="54"/>
      <c r="C174" s="54"/>
      <c r="D174" s="62"/>
      <c r="E174" s="54"/>
      <c r="F174" s="54"/>
      <c r="G174" s="54"/>
      <c r="H174" s="87"/>
      <c r="I174" s="251"/>
      <c r="Y174" s="132"/>
      <c r="Z174" s="133"/>
      <c r="AA174" s="133"/>
      <c r="AB174" s="133"/>
      <c r="AC174" s="133"/>
      <c r="AF174" s="289" t="s">
        <v>616</v>
      </c>
      <c r="AG174" s="295">
        <v>215</v>
      </c>
      <c r="AH174" s="291">
        <v>22.4</v>
      </c>
      <c r="AI174" s="293">
        <v>3.07</v>
      </c>
      <c r="AJ174" s="291">
        <v>17.9</v>
      </c>
      <c r="AK174" s="293">
        <v>4.91</v>
      </c>
      <c r="AL174" s="294">
        <v>5.51</v>
      </c>
    </row>
    <row r="175" spans="1:38" ht="12.75">
      <c r="A175" s="76" t="s">
        <v>146</v>
      </c>
      <c r="B175" s="171" t="str">
        <f>$N$132</f>
        <v>N.A.</v>
      </c>
      <c r="C175" s="107" t="s">
        <v>229</v>
      </c>
      <c r="D175" s="346" t="str">
        <f>$P$132</f>
        <v>twc = tw</v>
      </c>
      <c r="E175" s="54"/>
      <c r="F175" s="54"/>
      <c r="G175" s="54"/>
      <c r="H175" s="58"/>
      <c r="I175" s="251"/>
      <c r="Y175" s="133"/>
      <c r="Z175" s="132"/>
      <c r="AA175" s="133"/>
      <c r="AB175" s="133"/>
      <c r="AC175" s="133"/>
      <c r="AF175" s="289" t="s">
        <v>617</v>
      </c>
      <c r="AG175" s="295">
        <v>196</v>
      </c>
      <c r="AH175" s="291">
        <v>21.6</v>
      </c>
      <c r="AI175" s="293">
        <v>2.83</v>
      </c>
      <c r="AJ175" s="291">
        <v>17.7</v>
      </c>
      <c r="AK175" s="293">
        <v>4.52</v>
      </c>
      <c r="AL175" s="294">
        <v>5.12</v>
      </c>
    </row>
    <row r="176" spans="1:41" ht="12.75">
      <c r="A176" s="68" t="s">
        <v>16</v>
      </c>
      <c r="B176" s="164" t="str">
        <f>$N$133</f>
        <v>N.A.</v>
      </c>
      <c r="C176" s="107" t="s">
        <v>229</v>
      </c>
      <c r="D176" s="346" t="str">
        <f>$P$133</f>
        <v>p = S  (for bolts in column flange)</v>
      </c>
      <c r="E176" s="54"/>
      <c r="F176" s="54"/>
      <c r="G176" s="54"/>
      <c r="H176" s="9"/>
      <c r="I176" s="251"/>
      <c r="Y176" s="133"/>
      <c r="Z176" s="133"/>
      <c r="AA176" s="132"/>
      <c r="AB176" s="133"/>
      <c r="AC176" s="133"/>
      <c r="AF176" s="289" t="s">
        <v>618</v>
      </c>
      <c r="AG176" s="295">
        <v>178</v>
      </c>
      <c r="AH176" s="291">
        <v>20.9</v>
      </c>
      <c r="AI176" s="293">
        <v>2.6</v>
      </c>
      <c r="AJ176" s="291">
        <v>17.4</v>
      </c>
      <c r="AK176" s="293">
        <v>4.16</v>
      </c>
      <c r="AL176" s="294">
        <v>4.76</v>
      </c>
      <c r="AN176" s="49"/>
      <c r="AO176" s="98"/>
    </row>
    <row r="177" spans="1:41" ht="12.75">
      <c r="A177" s="68" t="s">
        <v>780</v>
      </c>
      <c r="B177" s="164" t="str">
        <f>$N$134</f>
        <v>N.A.</v>
      </c>
      <c r="C177" s="107" t="s">
        <v>229</v>
      </c>
      <c r="D177" s="346" t="str">
        <f>$P$134</f>
        <v>b = (g-tw)/2</v>
      </c>
      <c r="E177" s="54"/>
      <c r="F177" s="54"/>
      <c r="G177" s="44"/>
      <c r="H177" s="85"/>
      <c r="I177" s="251"/>
      <c r="Y177" s="133"/>
      <c r="Z177" s="133"/>
      <c r="AA177" s="133"/>
      <c r="AB177" s="133"/>
      <c r="AC177" s="133"/>
      <c r="AF177" s="289" t="s">
        <v>619</v>
      </c>
      <c r="AG177" s="295">
        <v>162</v>
      </c>
      <c r="AH177" s="291">
        <v>20.2</v>
      </c>
      <c r="AI177" s="293">
        <v>2.38</v>
      </c>
      <c r="AJ177" s="291">
        <v>17.2</v>
      </c>
      <c r="AK177" s="293">
        <v>3.82</v>
      </c>
      <c r="AL177" s="294">
        <v>4.42</v>
      </c>
      <c r="AN177" s="49"/>
      <c r="AO177" s="98"/>
    </row>
    <row r="178" spans="1:38" ht="12.75">
      <c r="A178" s="68" t="s">
        <v>781</v>
      </c>
      <c r="B178" s="164" t="str">
        <f>$N$135</f>
        <v>N.A.</v>
      </c>
      <c r="C178" s="107" t="s">
        <v>229</v>
      </c>
      <c r="D178" s="346" t="str">
        <f>$P$135</f>
        <v>b' = b-db/2</v>
      </c>
      <c r="E178" s="54"/>
      <c r="F178" s="54"/>
      <c r="G178" s="54"/>
      <c r="H178" s="9"/>
      <c r="I178" s="251"/>
      <c r="Y178" s="138"/>
      <c r="Z178" s="138"/>
      <c r="AA178" s="138"/>
      <c r="AB178" s="138"/>
      <c r="AC178" s="138"/>
      <c r="AF178" s="289" t="s">
        <v>620</v>
      </c>
      <c r="AG178" s="295">
        <v>147</v>
      </c>
      <c r="AH178" s="291">
        <v>19.6</v>
      </c>
      <c r="AI178" s="293">
        <v>2.19</v>
      </c>
      <c r="AJ178" s="291">
        <v>17</v>
      </c>
      <c r="AK178" s="293">
        <v>3.5</v>
      </c>
      <c r="AL178" s="294">
        <v>4.1</v>
      </c>
    </row>
    <row r="179" spans="1:41" ht="12.75">
      <c r="A179" s="68" t="s">
        <v>782</v>
      </c>
      <c r="B179" s="164" t="str">
        <f>$N$136</f>
        <v>N.A.</v>
      </c>
      <c r="C179" s="107" t="s">
        <v>229</v>
      </c>
      <c r="D179" s="346" t="str">
        <f>$P$136</f>
        <v>a = minimum of: (bfc-g)/2 , (Lc-g)/2 , or  1.25*b</v>
      </c>
      <c r="E179" s="54"/>
      <c r="F179" s="54"/>
      <c r="G179" s="44"/>
      <c r="H179" s="44"/>
      <c r="I179" s="251"/>
      <c r="Y179" s="36"/>
      <c r="Z179" s="36"/>
      <c r="AA179" s="36"/>
      <c r="AB179" s="36"/>
      <c r="AC179" s="36"/>
      <c r="AF179" s="289" t="s">
        <v>621</v>
      </c>
      <c r="AG179" s="295">
        <v>134</v>
      </c>
      <c r="AH179" s="291">
        <v>19</v>
      </c>
      <c r="AI179" s="293">
        <v>2.02</v>
      </c>
      <c r="AJ179" s="291">
        <v>16.8</v>
      </c>
      <c r="AK179" s="293">
        <v>3.21</v>
      </c>
      <c r="AL179" s="294">
        <v>3.81</v>
      </c>
      <c r="AN179" s="49"/>
      <c r="AO179" s="98"/>
    </row>
    <row r="180" spans="1:41" ht="12.75">
      <c r="A180" s="76" t="s">
        <v>125</v>
      </c>
      <c r="B180" s="164" t="str">
        <f>$N$137</f>
        <v>N.A.</v>
      </c>
      <c r="C180" s="107" t="s">
        <v>229</v>
      </c>
      <c r="D180" s="346" t="str">
        <f>$P$137</f>
        <v>a' = a+db/2</v>
      </c>
      <c r="E180" s="54"/>
      <c r="F180" s="54"/>
      <c r="G180" s="44"/>
      <c r="H180" s="44"/>
      <c r="I180" s="251"/>
      <c r="W180" s="112"/>
      <c r="X180" s="112"/>
      <c r="Y180" s="112"/>
      <c r="Z180" s="112"/>
      <c r="AA180" s="112"/>
      <c r="AB180" s="112"/>
      <c r="AC180" s="112"/>
      <c r="AF180" s="289" t="s">
        <v>622</v>
      </c>
      <c r="AG180" s="295">
        <v>125</v>
      </c>
      <c r="AH180" s="291">
        <v>18.7</v>
      </c>
      <c r="AI180" s="293">
        <v>1.88</v>
      </c>
      <c r="AJ180" s="291">
        <v>16.7</v>
      </c>
      <c r="AK180" s="293">
        <v>3.04</v>
      </c>
      <c r="AL180" s="294">
        <v>3.63</v>
      </c>
      <c r="AN180" s="49"/>
      <c r="AO180" s="98"/>
    </row>
    <row r="181" spans="1:41" ht="12.75">
      <c r="A181" s="80" t="s">
        <v>38</v>
      </c>
      <c r="B181" s="164" t="str">
        <f>$N$138</f>
        <v>N.A.</v>
      </c>
      <c r="C181" s="115"/>
      <c r="D181" s="81" t="s">
        <v>20</v>
      </c>
      <c r="E181" s="54"/>
      <c r="F181" s="54"/>
      <c r="G181" s="44"/>
      <c r="H181" s="44"/>
      <c r="I181" s="251"/>
      <c r="W181" s="112"/>
      <c r="X181" s="112"/>
      <c r="Y181" s="362"/>
      <c r="Z181" s="112"/>
      <c r="AA181" s="112"/>
      <c r="AB181" s="362"/>
      <c r="AC181" s="112"/>
      <c r="AF181" s="289" t="s">
        <v>623</v>
      </c>
      <c r="AG181" s="295">
        <v>117</v>
      </c>
      <c r="AH181" s="291">
        <v>18.3</v>
      </c>
      <c r="AI181" s="293">
        <v>1.77</v>
      </c>
      <c r="AJ181" s="291">
        <v>16.6</v>
      </c>
      <c r="AK181" s="293">
        <v>2.85</v>
      </c>
      <c r="AL181" s="294">
        <v>3.44</v>
      </c>
      <c r="AN181" s="49"/>
      <c r="AO181" s="98"/>
    </row>
    <row r="182" spans="1:41" ht="12.75">
      <c r="A182" s="76" t="s">
        <v>217</v>
      </c>
      <c r="B182" s="164" t="str">
        <f>$N$139</f>
        <v>N.A.</v>
      </c>
      <c r="C182" s="107" t="s">
        <v>229</v>
      </c>
      <c r="D182" s="346" t="str">
        <f>$P$139</f>
        <v>d' = Nominal hole dimensions from Table J3.3</v>
      </c>
      <c r="E182" s="54"/>
      <c r="F182" s="54"/>
      <c r="G182" s="44"/>
      <c r="H182" s="44"/>
      <c r="I182" s="251"/>
      <c r="W182" s="139"/>
      <c r="X182" s="139"/>
      <c r="Y182" s="139"/>
      <c r="Z182" s="139"/>
      <c r="AA182" s="139"/>
      <c r="AB182" s="139"/>
      <c r="AC182" s="139"/>
      <c r="AF182" s="289" t="s">
        <v>624</v>
      </c>
      <c r="AG182" s="295">
        <v>109</v>
      </c>
      <c r="AH182" s="291">
        <v>17.9</v>
      </c>
      <c r="AI182" s="293">
        <v>1.66</v>
      </c>
      <c r="AJ182" s="291">
        <v>16.5</v>
      </c>
      <c r="AK182" s="293">
        <v>2.66</v>
      </c>
      <c r="AL182" s="294">
        <v>3.26</v>
      </c>
      <c r="AN182" s="49"/>
      <c r="AO182" s="98"/>
    </row>
    <row r="183" spans="1:41" ht="12.75">
      <c r="A183" s="80" t="s">
        <v>18</v>
      </c>
      <c r="B183" s="164" t="str">
        <f>$N$140</f>
        <v>N.A.</v>
      </c>
      <c r="C183" s="115"/>
      <c r="D183" s="81" t="s">
        <v>259</v>
      </c>
      <c r="E183" s="54"/>
      <c r="F183" s="54"/>
      <c r="G183" s="54"/>
      <c r="H183" s="9"/>
      <c r="I183" s="251"/>
      <c r="W183" s="133"/>
      <c r="X183" s="132"/>
      <c r="Y183" s="133"/>
      <c r="Z183" s="133"/>
      <c r="AA183" s="133"/>
      <c r="AB183" s="133"/>
      <c r="AC183" s="133"/>
      <c r="AF183" s="289" t="s">
        <v>625</v>
      </c>
      <c r="AG183" s="295">
        <v>101</v>
      </c>
      <c r="AH183" s="291">
        <v>17.5</v>
      </c>
      <c r="AI183" s="293">
        <v>1.54</v>
      </c>
      <c r="AJ183" s="291">
        <v>16.4</v>
      </c>
      <c r="AK183" s="293">
        <v>2.47</v>
      </c>
      <c r="AL183" s="294">
        <v>3.07</v>
      </c>
      <c r="AN183" s="49"/>
      <c r="AO183" s="98"/>
    </row>
    <row r="184" spans="1:41" ht="12.75">
      <c r="A184" s="80" t="s">
        <v>123</v>
      </c>
      <c r="B184" s="163" t="str">
        <f>$N$141</f>
        <v>N.A.</v>
      </c>
      <c r="C184" s="115"/>
      <c r="D184" s="81" t="s">
        <v>124</v>
      </c>
      <c r="E184" s="54"/>
      <c r="F184" s="54"/>
      <c r="G184" s="44"/>
      <c r="H184" s="44"/>
      <c r="I184" s="251"/>
      <c r="W184" s="133"/>
      <c r="X184" s="133"/>
      <c r="Y184" s="133"/>
      <c r="Z184" s="133"/>
      <c r="AA184" s="133"/>
      <c r="AB184" s="133"/>
      <c r="AC184" s="133"/>
      <c r="AF184" s="289" t="s">
        <v>626</v>
      </c>
      <c r="AG184" s="290">
        <v>91.4</v>
      </c>
      <c r="AH184" s="291">
        <v>17.1</v>
      </c>
      <c r="AI184" s="293">
        <v>1.41</v>
      </c>
      <c r="AJ184" s="291">
        <v>16.2</v>
      </c>
      <c r="AK184" s="293">
        <v>2.26</v>
      </c>
      <c r="AL184" s="294">
        <v>2.86</v>
      </c>
      <c r="AN184" s="49"/>
      <c r="AO184" s="98"/>
    </row>
    <row r="185" spans="1:41" ht="12.75">
      <c r="A185" s="80" t="s">
        <v>19</v>
      </c>
      <c r="B185" s="164" t="str">
        <f>$N$142</f>
        <v>N.A.</v>
      </c>
      <c r="C185" s="115"/>
      <c r="D185" s="51" t="s">
        <v>37</v>
      </c>
      <c r="E185" s="54"/>
      <c r="F185" s="54"/>
      <c r="G185" s="97"/>
      <c r="H185" s="44"/>
      <c r="I185" s="251"/>
      <c r="W185" s="132"/>
      <c r="X185" s="133"/>
      <c r="Y185" s="133"/>
      <c r="Z185" s="133"/>
      <c r="AA185" s="133"/>
      <c r="AB185" s="133"/>
      <c r="AC185" s="133"/>
      <c r="AF185" s="289" t="s">
        <v>627</v>
      </c>
      <c r="AG185" s="290">
        <v>83.3</v>
      </c>
      <c r="AH185" s="291">
        <v>16.7</v>
      </c>
      <c r="AI185" s="293">
        <v>1.29</v>
      </c>
      <c r="AJ185" s="291">
        <v>16.1</v>
      </c>
      <c r="AK185" s="293">
        <v>2.07</v>
      </c>
      <c r="AL185" s="294">
        <v>2.67</v>
      </c>
      <c r="AN185" s="49"/>
      <c r="AO185" s="98"/>
    </row>
    <row r="186" spans="1:41" ht="12.75">
      <c r="A186" s="76" t="s">
        <v>138</v>
      </c>
      <c r="B186" s="164" t="str">
        <f>$N$143</f>
        <v>N.A.</v>
      </c>
      <c r="C186" s="107" t="s">
        <v>229</v>
      </c>
      <c r="D186" s="62" t="s">
        <v>157</v>
      </c>
      <c r="E186" s="54"/>
      <c r="F186" s="54"/>
      <c r="G186" s="44"/>
      <c r="H186" s="79"/>
      <c r="I186" s="251">
        <f>IF($D$17&gt;0,IF($D$48&gt;=$B$186,"tf &gt;= tf(req'd),  O.K.","tf &lt; tf(req'd), N.G."),"")</f>
      </c>
      <c r="W186" s="133"/>
      <c r="X186" s="133"/>
      <c r="Y186" s="133"/>
      <c r="Z186" s="133"/>
      <c r="AA186" s="133"/>
      <c r="AB186" s="133"/>
      <c r="AC186" s="365"/>
      <c r="AF186" s="289" t="s">
        <v>628</v>
      </c>
      <c r="AG186" s="290">
        <v>75.6</v>
      </c>
      <c r="AH186" s="291">
        <v>16.4</v>
      </c>
      <c r="AI186" s="293">
        <v>1.18</v>
      </c>
      <c r="AJ186" s="291">
        <v>16</v>
      </c>
      <c r="AK186" s="293">
        <v>1.89</v>
      </c>
      <c r="AL186" s="294">
        <v>2.49</v>
      </c>
      <c r="AN186" s="49" t="str">
        <f>IF(AO186="","N.A.","SR =")</f>
        <v>N.A.</v>
      </c>
      <c r="AO186" s="98">
        <f>IF($D$17&gt;0,$B$186/$D$48,"")</f>
      </c>
    </row>
    <row r="187" spans="1:41" ht="12.75">
      <c r="A187" s="76" t="s">
        <v>218</v>
      </c>
      <c r="B187" s="164" t="str">
        <f>$N$144</f>
        <v>N.A.</v>
      </c>
      <c r="C187" s="107" t="s">
        <v>229</v>
      </c>
      <c r="D187" s="346" t="str">
        <f>$P$144</f>
        <v>tc = SQRT(6.66*B*b'/(p*Fuc))  (to develop 'B' in bolts/no prying)</v>
      </c>
      <c r="E187" s="54"/>
      <c r="F187" s="54"/>
      <c r="G187" s="44"/>
      <c r="H187" s="54"/>
      <c r="I187" s="251"/>
      <c r="W187" s="133"/>
      <c r="X187" s="133"/>
      <c r="Y187" s="133"/>
      <c r="Z187" s="133"/>
      <c r="AA187" s="133"/>
      <c r="AB187" s="133"/>
      <c r="AC187" s="133"/>
      <c r="AF187" s="289" t="s">
        <v>629</v>
      </c>
      <c r="AG187" s="290">
        <v>68.5</v>
      </c>
      <c r="AH187" s="291">
        <v>16</v>
      </c>
      <c r="AI187" s="293">
        <v>1.07</v>
      </c>
      <c r="AJ187" s="291">
        <v>15.9</v>
      </c>
      <c r="AK187" s="293">
        <v>1.72</v>
      </c>
      <c r="AL187" s="294">
        <v>2.32</v>
      </c>
      <c r="AN187" s="49"/>
      <c r="AO187" s="98"/>
    </row>
    <row r="188" spans="1:41" ht="12.75">
      <c r="A188" s="80" t="s">
        <v>19</v>
      </c>
      <c r="B188" s="164" t="str">
        <f>$N$145</f>
        <v>N.A.</v>
      </c>
      <c r="C188" s="115"/>
      <c r="D188" s="81" t="s">
        <v>145</v>
      </c>
      <c r="E188" s="54"/>
      <c r="F188" s="54"/>
      <c r="G188" s="44"/>
      <c r="H188" s="44"/>
      <c r="I188" s="251"/>
      <c r="W188" s="133"/>
      <c r="X188" s="133"/>
      <c r="Y188" s="133"/>
      <c r="Z188" s="132"/>
      <c r="AA188" s="132"/>
      <c r="AB188" s="365"/>
      <c r="AC188" s="365"/>
      <c r="AF188" s="289" t="s">
        <v>630</v>
      </c>
      <c r="AG188" s="290">
        <v>62</v>
      </c>
      <c r="AH188" s="291">
        <v>15.7</v>
      </c>
      <c r="AI188" s="292">
        <v>0.98</v>
      </c>
      <c r="AJ188" s="291">
        <v>15.8</v>
      </c>
      <c r="AK188" s="293">
        <v>1.56</v>
      </c>
      <c r="AL188" s="294">
        <v>2.16</v>
      </c>
      <c r="AN188" s="49"/>
      <c r="AO188" s="98"/>
    </row>
    <row r="189" spans="1:41" ht="12.75">
      <c r="A189" s="76" t="s">
        <v>237</v>
      </c>
      <c r="B189" s="172" t="str">
        <f>$N$146</f>
        <v>N.A.</v>
      </c>
      <c r="C189" s="107" t="s">
        <v>206</v>
      </c>
      <c r="D189" s="54" t="s">
        <v>161</v>
      </c>
      <c r="E189" s="54"/>
      <c r="F189" s="54"/>
      <c r="G189" s="44"/>
      <c r="H189" s="44"/>
      <c r="I189" s="251"/>
      <c r="W189" s="133"/>
      <c r="X189" s="133"/>
      <c r="Y189" s="132"/>
      <c r="Z189" s="133"/>
      <c r="AA189" s="133"/>
      <c r="AB189" s="133"/>
      <c r="AC189" s="133"/>
      <c r="AF189" s="289" t="s">
        <v>631</v>
      </c>
      <c r="AG189" s="290">
        <v>56.8</v>
      </c>
      <c r="AH189" s="291">
        <v>15.5</v>
      </c>
      <c r="AI189" s="292">
        <v>0.89</v>
      </c>
      <c r="AJ189" s="291">
        <v>15.7</v>
      </c>
      <c r="AK189" s="293">
        <v>1.44</v>
      </c>
      <c r="AL189" s="294">
        <v>2.04</v>
      </c>
      <c r="AN189" s="49"/>
      <c r="AO189" s="98"/>
    </row>
    <row r="190" spans="1:41" ht="12.75">
      <c r="A190" s="78"/>
      <c r="B190" s="44"/>
      <c r="C190" s="115"/>
      <c r="D190" s="54" t="s">
        <v>162</v>
      </c>
      <c r="E190" s="54"/>
      <c r="F190" s="54"/>
      <c r="G190" s="44"/>
      <c r="H190" s="79"/>
      <c r="I190" s="251">
        <f>IF($D$17&gt;0,IF($B$189&gt;=$D$17,"Ra &gt;= P,  O.K.  ","Ra &lt; P, N.G."),"")</f>
      </c>
      <c r="W190" s="132"/>
      <c r="X190" s="133"/>
      <c r="Y190" s="133"/>
      <c r="Z190" s="133"/>
      <c r="AA190" s="133"/>
      <c r="AB190" s="132"/>
      <c r="AC190" s="133"/>
      <c r="AF190" s="289" t="s">
        <v>632</v>
      </c>
      <c r="AG190" s="290">
        <v>51.8</v>
      </c>
      <c r="AH190" s="291">
        <v>15.2</v>
      </c>
      <c r="AI190" s="292">
        <v>0.83</v>
      </c>
      <c r="AJ190" s="291">
        <v>15.7</v>
      </c>
      <c r="AK190" s="293">
        <v>1.31</v>
      </c>
      <c r="AL190" s="294">
        <v>1.91</v>
      </c>
      <c r="AN190" s="49" t="str">
        <f>IF(AO190="","N.A.","SR =")</f>
        <v>N.A.</v>
      </c>
      <c r="AO190" s="98">
        <f>IF($D$17&gt;0,$D$17/$B$189,"")</f>
      </c>
    </row>
    <row r="191" spans="1:41" ht="12.75">
      <c r="A191" s="18"/>
      <c r="B191" s="9"/>
      <c r="C191" s="9"/>
      <c r="D191" s="9"/>
      <c r="E191" s="9"/>
      <c r="F191" s="9"/>
      <c r="G191" s="9"/>
      <c r="H191" s="9"/>
      <c r="I191" s="251"/>
      <c r="W191" s="133"/>
      <c r="X191" s="133"/>
      <c r="Y191" s="133"/>
      <c r="Z191" s="133"/>
      <c r="AA191" s="133"/>
      <c r="AB191" s="133"/>
      <c r="AC191" s="133"/>
      <c r="AF191" s="289" t="s">
        <v>633</v>
      </c>
      <c r="AG191" s="290">
        <v>46.7</v>
      </c>
      <c r="AH191" s="291">
        <v>15</v>
      </c>
      <c r="AI191" s="292">
        <v>0.745</v>
      </c>
      <c r="AJ191" s="291">
        <v>15.6</v>
      </c>
      <c r="AK191" s="293">
        <v>1.19</v>
      </c>
      <c r="AL191" s="294">
        <v>1.79</v>
      </c>
      <c r="AN191" s="49"/>
      <c r="AO191" s="98"/>
    </row>
    <row r="192" spans="1:41" ht="12.75">
      <c r="A192" s="66" t="s">
        <v>23</v>
      </c>
      <c r="B192" s="44"/>
      <c r="C192" s="115"/>
      <c r="D192" s="51"/>
      <c r="E192" s="54"/>
      <c r="F192" s="44"/>
      <c r="G192" s="44"/>
      <c r="H192" s="44"/>
      <c r="I192" s="251"/>
      <c r="W192" s="133"/>
      <c r="X192" s="133"/>
      <c r="Y192" s="133"/>
      <c r="Z192" s="133"/>
      <c r="AA192" s="133"/>
      <c r="AB192" s="133"/>
      <c r="AC192" s="133"/>
      <c r="AF192" s="289" t="s">
        <v>634</v>
      </c>
      <c r="AG192" s="290">
        <v>42.7</v>
      </c>
      <c r="AH192" s="291">
        <v>14.8</v>
      </c>
      <c r="AI192" s="292">
        <v>0.68</v>
      </c>
      <c r="AJ192" s="291">
        <v>15.5</v>
      </c>
      <c r="AK192" s="293">
        <v>1.09</v>
      </c>
      <c r="AL192" s="294">
        <v>1.69</v>
      </c>
      <c r="AN192" s="49"/>
      <c r="AO192" s="98"/>
    </row>
    <row r="193" spans="1:41" ht="12.75">
      <c r="A193" s="68" t="s">
        <v>434</v>
      </c>
      <c r="B193" s="144">
        <f>$N$149</f>
        <v>335.78999999999996</v>
      </c>
      <c r="C193" s="107" t="s">
        <v>206</v>
      </c>
      <c r="D193" s="4" t="str">
        <f>$P$149</f>
        <v>Rpc = (1/2)*(2.4*db*tw*Fuc*Nb)</v>
      </c>
      <c r="E193" s="54"/>
      <c r="F193" s="44"/>
      <c r="G193" s="44"/>
      <c r="H193" s="58"/>
      <c r="I193" s="251" t="str">
        <f>IF($D$16&gt;0,IF($B$193&gt;=$D$16,"Rpc &gt;= R,  O.K.  ","Rpc &lt; R, N.G."),"")</f>
        <v>Rpc &gt;= R,  O.K.  </v>
      </c>
      <c r="W193" s="133"/>
      <c r="X193" s="133"/>
      <c r="Y193" s="133"/>
      <c r="Z193" s="133"/>
      <c r="AA193" s="133"/>
      <c r="AB193" s="133"/>
      <c r="AC193" s="132"/>
      <c r="AF193" s="289" t="s">
        <v>635</v>
      </c>
      <c r="AG193" s="290">
        <v>38.8</v>
      </c>
      <c r="AH193" s="291">
        <v>14.7</v>
      </c>
      <c r="AI193" s="292">
        <v>0.645</v>
      </c>
      <c r="AJ193" s="291">
        <v>14.7</v>
      </c>
      <c r="AK193" s="293">
        <v>1.03</v>
      </c>
      <c r="AL193" s="294">
        <v>1.63</v>
      </c>
      <c r="AN193" s="49" t="str">
        <f>IF(AO193="","N.A.","SR =")</f>
        <v>SR =</v>
      </c>
      <c r="AO193" s="98">
        <f>IF($D$16&gt;0,$D$16/$B$193,"")</f>
        <v>0.11912207034158255</v>
      </c>
    </row>
    <row r="194" spans="1:41" ht="12.75">
      <c r="A194" s="18"/>
      <c r="B194" s="9"/>
      <c r="C194" s="9"/>
      <c r="D194" s="9"/>
      <c r="E194" s="9"/>
      <c r="F194" s="9"/>
      <c r="G194" s="9"/>
      <c r="H194" s="9"/>
      <c r="I194" s="251"/>
      <c r="W194" s="133"/>
      <c r="X194" s="133"/>
      <c r="Y194" s="133"/>
      <c r="Z194" s="133"/>
      <c r="AA194" s="132"/>
      <c r="AB194" s="133"/>
      <c r="AC194" s="132"/>
      <c r="AF194" s="289" t="s">
        <v>636</v>
      </c>
      <c r="AG194" s="290">
        <v>35.3</v>
      </c>
      <c r="AH194" s="291">
        <v>14.5</v>
      </c>
      <c r="AI194" s="292">
        <v>0.59</v>
      </c>
      <c r="AJ194" s="291">
        <v>14.7</v>
      </c>
      <c r="AK194" s="292">
        <v>0.94</v>
      </c>
      <c r="AL194" s="294">
        <v>1.54</v>
      </c>
      <c r="AN194" s="49"/>
      <c r="AO194" s="98"/>
    </row>
    <row r="195" spans="1:41" ht="12.75">
      <c r="A195" s="66" t="s">
        <v>141</v>
      </c>
      <c r="B195" s="44"/>
      <c r="C195" s="115"/>
      <c r="D195" s="51" t="str">
        <f>P150</f>
        <v>(Criteria is assumed for beam near column end per AISC Eqn. J10-3)</v>
      </c>
      <c r="E195" s="54"/>
      <c r="F195" s="44"/>
      <c r="G195" s="44"/>
      <c r="H195" s="44"/>
      <c r="I195" s="251"/>
      <c r="W195" s="133"/>
      <c r="X195" s="133"/>
      <c r="Y195" s="133"/>
      <c r="Z195" s="133"/>
      <c r="AA195" s="133"/>
      <c r="AB195" s="133"/>
      <c r="AC195" s="133"/>
      <c r="AF195" s="289" t="s">
        <v>637</v>
      </c>
      <c r="AG195" s="290">
        <v>32</v>
      </c>
      <c r="AH195" s="291">
        <v>14.3</v>
      </c>
      <c r="AI195" s="292">
        <v>0.525</v>
      </c>
      <c r="AJ195" s="291">
        <v>14.6</v>
      </c>
      <c r="AK195" s="292">
        <v>0.86</v>
      </c>
      <c r="AL195" s="294">
        <v>1.46</v>
      </c>
      <c r="AN195" s="49"/>
      <c r="AO195" s="98"/>
    </row>
    <row r="196" spans="1:38" ht="12.75">
      <c r="A196" s="68" t="s">
        <v>146</v>
      </c>
      <c r="B196" s="171" t="str">
        <f>$N$151</f>
        <v>N.A.</v>
      </c>
      <c r="C196" s="107" t="s">
        <v>229</v>
      </c>
      <c r="D196" s="51" t="str">
        <f>$P$151</f>
        <v>twc = tw</v>
      </c>
      <c r="E196" s="44"/>
      <c r="F196" s="44"/>
      <c r="G196" s="44"/>
      <c r="H196" s="44"/>
      <c r="I196" s="251"/>
      <c r="W196" s="133"/>
      <c r="X196" s="133"/>
      <c r="Y196" s="133"/>
      <c r="Z196" s="133"/>
      <c r="AA196" s="133"/>
      <c r="AB196" s="133"/>
      <c r="AC196" s="133"/>
      <c r="AF196" s="289" t="s">
        <v>638</v>
      </c>
      <c r="AG196" s="290">
        <v>29.1</v>
      </c>
      <c r="AH196" s="291">
        <v>14.2</v>
      </c>
      <c r="AI196" s="292">
        <v>0.485</v>
      </c>
      <c r="AJ196" s="291">
        <v>14.6</v>
      </c>
      <c r="AK196" s="292">
        <v>0.78</v>
      </c>
      <c r="AL196" s="294">
        <v>1.38</v>
      </c>
    </row>
    <row r="197" spans="1:41" ht="12.75">
      <c r="A197" s="68" t="s">
        <v>142</v>
      </c>
      <c r="B197" s="163" t="str">
        <f>$N$152</f>
        <v>N.A.</v>
      </c>
      <c r="C197" s="107" t="s">
        <v>229</v>
      </c>
      <c r="D197" s="51" t="str">
        <f>$P$152</f>
        <v>Assume: N = (Nr-1)*S</v>
      </c>
      <c r="E197" s="44"/>
      <c r="F197" s="44"/>
      <c r="G197" s="44"/>
      <c r="H197" s="44"/>
      <c r="I197" s="251"/>
      <c r="W197" s="133"/>
      <c r="X197" s="133"/>
      <c r="Y197" s="133"/>
      <c r="Z197" s="133"/>
      <c r="AA197" s="133"/>
      <c r="AB197" s="132"/>
      <c r="AC197" s="133"/>
      <c r="AF197" s="289" t="s">
        <v>639</v>
      </c>
      <c r="AG197" s="290">
        <v>26.5</v>
      </c>
      <c r="AH197" s="291">
        <v>14</v>
      </c>
      <c r="AI197" s="292">
        <v>0.44</v>
      </c>
      <c r="AJ197" s="291">
        <v>14.5</v>
      </c>
      <c r="AK197" s="292">
        <v>0.71</v>
      </c>
      <c r="AL197" s="294">
        <v>1.31</v>
      </c>
      <c r="AO197" s="98"/>
    </row>
    <row r="198" spans="1:41" ht="12.75">
      <c r="A198" s="68" t="s">
        <v>436</v>
      </c>
      <c r="B198" s="172" t="str">
        <f>$N$153</f>
        <v>N.A.</v>
      </c>
      <c r="C198" s="107" t="s">
        <v>206</v>
      </c>
      <c r="D198" s="51" t="str">
        <f>$P$153</f>
        <v>Rwy = (1/1.5)*Fyc*twc*(N+2.5*kc)</v>
      </c>
      <c r="E198" s="44"/>
      <c r="F198" s="44"/>
      <c r="G198" s="44"/>
      <c r="H198" s="79"/>
      <c r="I198" s="251">
        <f>IF($D$17&gt;0,IF($B$198&gt;=$D$17,"Rwy &gt;= P,  O.K.  ","Rwy &lt; P, N.G."),"")</f>
      </c>
      <c r="W198" s="133"/>
      <c r="X198" s="133"/>
      <c r="Y198" s="133"/>
      <c r="Z198" s="133"/>
      <c r="AA198" s="133"/>
      <c r="AB198" s="133"/>
      <c r="AC198" s="133"/>
      <c r="AF198" s="289" t="s">
        <v>640</v>
      </c>
      <c r="AG198" s="290">
        <v>24</v>
      </c>
      <c r="AH198" s="291">
        <v>14.3</v>
      </c>
      <c r="AI198" s="292">
        <v>0.51</v>
      </c>
      <c r="AJ198" s="291">
        <v>10.1</v>
      </c>
      <c r="AK198" s="292">
        <v>0.855</v>
      </c>
      <c r="AL198" s="294">
        <v>1.45</v>
      </c>
      <c r="AN198" s="49" t="str">
        <f>IF(AO198="","N.A.","SR =")</f>
        <v>N.A.</v>
      </c>
      <c r="AO198" s="98">
        <f>IF($D$17&gt;0,$D$17/$B$198,"")</f>
      </c>
    </row>
    <row r="199" spans="1:41" ht="12.75">
      <c r="A199" s="18"/>
      <c r="B199" s="9"/>
      <c r="C199" s="9"/>
      <c r="D199" s="9"/>
      <c r="E199" s="9"/>
      <c r="F199" s="9"/>
      <c r="G199" s="9"/>
      <c r="H199" s="9"/>
      <c r="I199" s="13"/>
      <c r="W199" s="133"/>
      <c r="X199" s="133"/>
      <c r="Y199" s="133"/>
      <c r="Z199" s="133"/>
      <c r="AA199" s="133"/>
      <c r="AB199" s="133"/>
      <c r="AC199" s="132"/>
      <c r="AF199" s="289" t="s">
        <v>641</v>
      </c>
      <c r="AG199" s="290">
        <v>21.8</v>
      </c>
      <c r="AH199" s="291">
        <v>14.2</v>
      </c>
      <c r="AI199" s="292">
        <v>0.45</v>
      </c>
      <c r="AJ199" s="291">
        <v>10.1</v>
      </c>
      <c r="AK199" s="292">
        <v>0.785</v>
      </c>
      <c r="AL199" s="294">
        <v>1.38</v>
      </c>
      <c r="AO199" s="98"/>
    </row>
    <row r="200" spans="1:41" ht="12.75">
      <c r="A200" s="66" t="s">
        <v>143</v>
      </c>
      <c r="B200" s="44"/>
      <c r="C200" s="115"/>
      <c r="D200" s="51" t="str">
        <f>$P$154</f>
        <v>(Criteria is for beam near column end per AISC Eqn. J10-5a)</v>
      </c>
      <c r="E200" s="54"/>
      <c r="F200" s="44"/>
      <c r="G200" s="44"/>
      <c r="H200" s="55"/>
      <c r="I200" s="251"/>
      <c r="W200" s="133"/>
      <c r="X200" s="133"/>
      <c r="Y200" s="133"/>
      <c r="Z200" s="133"/>
      <c r="AA200" s="133"/>
      <c r="AB200" s="133"/>
      <c r="AC200" s="133"/>
      <c r="AF200" s="289" t="s">
        <v>642</v>
      </c>
      <c r="AG200" s="290">
        <v>20</v>
      </c>
      <c r="AH200" s="291">
        <v>14</v>
      </c>
      <c r="AI200" s="292">
        <v>0.415</v>
      </c>
      <c r="AJ200" s="291">
        <v>10</v>
      </c>
      <c r="AK200" s="292">
        <v>0.72</v>
      </c>
      <c r="AL200" s="294">
        <v>1.31</v>
      </c>
      <c r="AO200" s="98"/>
    </row>
    <row r="201" spans="1:41" ht="12.75">
      <c r="A201" s="68" t="s">
        <v>146</v>
      </c>
      <c r="B201" s="171" t="str">
        <f>$N$155</f>
        <v>N.A.</v>
      </c>
      <c r="C201" s="107" t="s">
        <v>229</v>
      </c>
      <c r="D201" s="51" t="str">
        <f>$P$155</f>
        <v>twc = tw</v>
      </c>
      <c r="E201" s="44"/>
      <c r="F201" s="44"/>
      <c r="G201" s="44"/>
      <c r="H201" s="44"/>
      <c r="I201" s="251"/>
      <c r="W201" s="133"/>
      <c r="X201" s="132"/>
      <c r="Y201" s="133"/>
      <c r="Z201" s="133"/>
      <c r="AA201" s="133"/>
      <c r="AB201" s="133"/>
      <c r="AC201" s="133"/>
      <c r="AF201" s="289" t="s">
        <v>643</v>
      </c>
      <c r="AG201" s="290">
        <v>17.9</v>
      </c>
      <c r="AH201" s="291">
        <v>13.9</v>
      </c>
      <c r="AI201" s="292">
        <v>0.375</v>
      </c>
      <c r="AJ201" s="291">
        <v>10</v>
      </c>
      <c r="AK201" s="292">
        <v>0.645</v>
      </c>
      <c r="AL201" s="294">
        <v>1.24</v>
      </c>
      <c r="AO201" s="98"/>
    </row>
    <row r="202" spans="1:41" ht="12.75">
      <c r="A202" s="68" t="s">
        <v>142</v>
      </c>
      <c r="B202" s="163" t="str">
        <f>$N$156</f>
        <v>N.A.</v>
      </c>
      <c r="C202" s="107" t="s">
        <v>229</v>
      </c>
      <c r="D202" s="51" t="str">
        <f>$P$156</f>
        <v>Assume: N = (Nr-1)*S</v>
      </c>
      <c r="E202" s="44"/>
      <c r="F202" s="44"/>
      <c r="G202" s="55"/>
      <c r="H202" s="44"/>
      <c r="I202" s="251"/>
      <c r="W202" s="133"/>
      <c r="X202" s="133"/>
      <c r="Y202" s="132"/>
      <c r="Z202" s="133"/>
      <c r="AA202" s="133"/>
      <c r="AB202" s="133"/>
      <c r="AC202" s="133"/>
      <c r="AF202" s="289" t="s">
        <v>644</v>
      </c>
      <c r="AG202" s="290">
        <v>15.6</v>
      </c>
      <c r="AH202" s="291">
        <v>13.9</v>
      </c>
      <c r="AI202" s="292">
        <v>0.37</v>
      </c>
      <c r="AJ202" s="293">
        <v>8.06</v>
      </c>
      <c r="AK202" s="292">
        <v>0.66</v>
      </c>
      <c r="AL202" s="294">
        <v>1.25</v>
      </c>
      <c r="AO202" s="98"/>
    </row>
    <row r="203" spans="1:41" ht="12.75">
      <c r="A203" s="68" t="s">
        <v>411</v>
      </c>
      <c r="B203" s="172" t="str">
        <f>$N$157</f>
        <v>N.A.</v>
      </c>
      <c r="C203" s="107" t="s">
        <v>206</v>
      </c>
      <c r="D203" s="51" t="str">
        <f>$P$157</f>
        <v>Rwc = (1/2.0)*0.4*twc^2*(1+3*(N/d)*(twc/tfc)^1.5)*SQRT(E*Fyc*tfc/twc)</v>
      </c>
      <c r="E203" s="44"/>
      <c r="F203" s="44"/>
      <c r="G203" s="44"/>
      <c r="H203" s="44"/>
      <c r="I203" s="251"/>
      <c r="W203" s="133"/>
      <c r="X203" s="133"/>
      <c r="Y203" s="133"/>
      <c r="Z203" s="132"/>
      <c r="AA203" s="133"/>
      <c r="AB203" s="133"/>
      <c r="AC203" s="133"/>
      <c r="AF203" s="289" t="s">
        <v>645</v>
      </c>
      <c r="AG203" s="290">
        <v>14.1</v>
      </c>
      <c r="AH203" s="291">
        <v>13.8</v>
      </c>
      <c r="AI203" s="292">
        <v>0.34</v>
      </c>
      <c r="AJ203" s="293">
        <v>8.03</v>
      </c>
      <c r="AK203" s="292">
        <v>0.595</v>
      </c>
      <c r="AL203" s="294">
        <v>1.19</v>
      </c>
      <c r="AO203" s="98"/>
    </row>
    <row r="204" spans="1:41" ht="12.75">
      <c r="A204" s="76"/>
      <c r="B204" s="3"/>
      <c r="C204" s="107"/>
      <c r="D204" s="51"/>
      <c r="E204" s="54"/>
      <c r="F204" s="44"/>
      <c r="G204" s="44"/>
      <c r="H204" s="79"/>
      <c r="I204" s="251">
        <f>IF($D$17&gt;0,IF($B$203&gt;=$D$17,"Ra &gt;= P,  O.K.  ","Ra &lt; P, N.G."),"")</f>
      </c>
      <c r="W204" s="133"/>
      <c r="X204" s="133"/>
      <c r="Y204" s="133"/>
      <c r="Z204" s="133"/>
      <c r="AA204" s="132"/>
      <c r="AB204" s="133"/>
      <c r="AC204" s="133"/>
      <c r="AF204" s="289" t="s">
        <v>646</v>
      </c>
      <c r="AG204" s="290">
        <v>12.6</v>
      </c>
      <c r="AH204" s="291">
        <v>13.7</v>
      </c>
      <c r="AI204" s="292">
        <v>0.305</v>
      </c>
      <c r="AJ204" s="293">
        <v>8</v>
      </c>
      <c r="AK204" s="292">
        <v>0.53</v>
      </c>
      <c r="AL204" s="294">
        <v>1.12</v>
      </c>
      <c r="AN204" s="49" t="str">
        <f>IF(AO204="","N.A.","SR =")</f>
        <v>N.A.</v>
      </c>
      <c r="AO204" s="98">
        <f>IF($D$17&gt;0,$D$17/$B$203,"")</f>
      </c>
    </row>
    <row r="205" spans="1:41" ht="12.75">
      <c r="A205" s="18"/>
      <c r="B205" s="9"/>
      <c r="C205" s="9"/>
      <c r="D205" s="9"/>
      <c r="E205" s="9"/>
      <c r="F205" s="9"/>
      <c r="G205" s="9"/>
      <c r="H205" s="9"/>
      <c r="I205" s="13"/>
      <c r="W205" s="133"/>
      <c r="X205" s="133"/>
      <c r="Y205" s="133"/>
      <c r="Z205" s="133"/>
      <c r="AA205" s="133"/>
      <c r="AB205" s="133"/>
      <c r="AC205" s="133"/>
      <c r="AF205" s="289" t="s">
        <v>647</v>
      </c>
      <c r="AG205" s="290">
        <v>11.2</v>
      </c>
      <c r="AH205" s="291">
        <v>14.1</v>
      </c>
      <c r="AI205" s="292">
        <v>0.31</v>
      </c>
      <c r="AJ205" s="293">
        <v>6.77</v>
      </c>
      <c r="AK205" s="292">
        <v>0.515</v>
      </c>
      <c r="AL205" s="296">
        <v>0.915</v>
      </c>
      <c r="AO205" s="98"/>
    </row>
    <row r="206" spans="1:41" ht="12.75">
      <c r="A206" s="78" t="s">
        <v>149</v>
      </c>
      <c r="B206" s="54"/>
      <c r="C206" s="115"/>
      <c r="D206" s="62"/>
      <c r="E206" s="54"/>
      <c r="F206" s="54"/>
      <c r="G206" s="44"/>
      <c r="H206" s="44"/>
      <c r="I206" s="251"/>
      <c r="W206" s="138"/>
      <c r="X206" s="138"/>
      <c r="Y206" s="138"/>
      <c r="Z206" s="138"/>
      <c r="AA206" s="138"/>
      <c r="AB206" s="138"/>
      <c r="AC206" s="138"/>
      <c r="AF206" s="289" t="s">
        <v>648</v>
      </c>
      <c r="AG206" s="290">
        <v>10</v>
      </c>
      <c r="AH206" s="291">
        <v>14</v>
      </c>
      <c r="AI206" s="292">
        <v>0.285</v>
      </c>
      <c r="AJ206" s="293">
        <v>6.75</v>
      </c>
      <c r="AK206" s="292">
        <v>0.455</v>
      </c>
      <c r="AL206" s="296">
        <v>0.855</v>
      </c>
      <c r="AO206" s="98"/>
    </row>
    <row r="207" spans="1:41" ht="12.75">
      <c r="A207" s="76" t="s">
        <v>150</v>
      </c>
      <c r="B207" s="162" t="str">
        <f>$N$159</f>
        <v>N.A.</v>
      </c>
      <c r="C207" s="107" t="s">
        <v>229</v>
      </c>
      <c r="D207" s="51" t="str">
        <f>$P$159</f>
        <v>Ldw = 2*((Nr-1)*S+2*ED)</v>
      </c>
      <c r="E207" s="54"/>
      <c r="F207" s="54"/>
      <c r="G207" s="44"/>
      <c r="H207" s="44"/>
      <c r="I207" s="251"/>
      <c r="W207" s="36"/>
      <c r="X207" s="36"/>
      <c r="Y207" s="36"/>
      <c r="Z207" s="36"/>
      <c r="AA207" s="36"/>
      <c r="AB207" s="36"/>
      <c r="AC207" s="36"/>
      <c r="AF207" s="289" t="s">
        <v>649</v>
      </c>
      <c r="AG207" s="297">
        <v>8.85</v>
      </c>
      <c r="AH207" s="291">
        <v>13.8</v>
      </c>
      <c r="AI207" s="292">
        <v>0.27</v>
      </c>
      <c r="AJ207" s="293">
        <v>6.73</v>
      </c>
      <c r="AK207" s="292">
        <v>0.385</v>
      </c>
      <c r="AL207" s="296">
        <v>0.785</v>
      </c>
      <c r="AO207" s="98"/>
    </row>
    <row r="208" spans="1:41" ht="12.75">
      <c r="A208" s="76" t="s">
        <v>139</v>
      </c>
      <c r="B208" s="168" t="str">
        <f>$N$160</f>
        <v>N.A.</v>
      </c>
      <c r="C208" s="107" t="s">
        <v>140</v>
      </c>
      <c r="D208" s="51" t="str">
        <f>$P$160</f>
        <v>fw = P/Ldw</v>
      </c>
      <c r="E208" s="54"/>
      <c r="F208" s="54"/>
      <c r="G208" s="44"/>
      <c r="H208" s="44"/>
      <c r="I208" s="251"/>
      <c r="W208" s="112"/>
      <c r="X208" s="112"/>
      <c r="Y208" s="112"/>
      <c r="Z208" s="112"/>
      <c r="AA208" s="112"/>
      <c r="AB208" s="112"/>
      <c r="AC208" s="112"/>
      <c r="AF208" s="289" t="s">
        <v>650</v>
      </c>
      <c r="AG208" s="297">
        <v>7.69</v>
      </c>
      <c r="AH208" s="291">
        <v>13.9</v>
      </c>
      <c r="AI208" s="292">
        <v>0.255</v>
      </c>
      <c r="AJ208" s="293">
        <v>5.03</v>
      </c>
      <c r="AK208" s="292">
        <v>0.42</v>
      </c>
      <c r="AL208" s="296">
        <v>0.82</v>
      </c>
      <c r="AO208" s="98"/>
    </row>
    <row r="209" spans="1:41" ht="12.75">
      <c r="A209" s="80" t="s">
        <v>147</v>
      </c>
      <c r="B209" s="168" t="str">
        <f>$N$161</f>
        <v>N.A.</v>
      </c>
      <c r="C209" s="107" t="s">
        <v>280</v>
      </c>
      <c r="D209" s="81" t="s">
        <v>151</v>
      </c>
      <c r="E209" s="54"/>
      <c r="F209" s="54"/>
      <c r="G209" s="44"/>
      <c r="H209" s="44"/>
      <c r="I209" s="251"/>
      <c r="W209" s="112"/>
      <c r="X209" s="112"/>
      <c r="Y209" s="362"/>
      <c r="Z209" s="112"/>
      <c r="AA209" s="112"/>
      <c r="AB209" s="362"/>
      <c r="AC209" s="112"/>
      <c r="AF209" s="289" t="s">
        <v>651</v>
      </c>
      <c r="AG209" s="297">
        <v>6.49</v>
      </c>
      <c r="AH209" s="291">
        <v>13.7</v>
      </c>
      <c r="AI209" s="292">
        <v>0.23</v>
      </c>
      <c r="AJ209" s="293">
        <v>5</v>
      </c>
      <c r="AK209" s="292">
        <v>0.335</v>
      </c>
      <c r="AL209" s="296">
        <v>0.735</v>
      </c>
      <c r="AO209" s="98"/>
    </row>
    <row r="210" spans="1:38" ht="12.75">
      <c r="A210" s="80" t="s">
        <v>225</v>
      </c>
      <c r="B210" s="172" t="str">
        <f>$N$162</f>
        <v>N.A.</v>
      </c>
      <c r="C210" s="107" t="s">
        <v>280</v>
      </c>
      <c r="D210" s="81" t="s">
        <v>225</v>
      </c>
      <c r="E210" s="51" t="str">
        <f>$Q$162</f>
        <v>0.40*Fyd*td/((SQRT(2)/2)*0.30*70)</v>
      </c>
      <c r="F210" s="54"/>
      <c r="G210" s="44"/>
      <c r="H210" s="97"/>
      <c r="I210" s="251"/>
      <c r="W210" s="139"/>
      <c r="X210" s="139"/>
      <c r="Y210" s="139"/>
      <c r="Z210" s="139"/>
      <c r="AA210" s="139"/>
      <c r="AB210" s="139"/>
      <c r="AC210" s="139"/>
      <c r="AF210" s="289" t="s">
        <v>652</v>
      </c>
      <c r="AG210" s="290">
        <v>98.8</v>
      </c>
      <c r="AH210" s="291">
        <v>16.8</v>
      </c>
      <c r="AI210" s="293">
        <v>1.78</v>
      </c>
      <c r="AJ210" s="291">
        <v>13.4</v>
      </c>
      <c r="AK210" s="293">
        <v>2.96</v>
      </c>
      <c r="AL210" s="294">
        <v>3.55</v>
      </c>
    </row>
    <row r="211" spans="1:41" ht="12.75">
      <c r="A211" s="332"/>
      <c r="B211" s="333"/>
      <c r="C211" s="151"/>
      <c r="D211" s="337"/>
      <c r="E211" s="334"/>
      <c r="F211" s="77"/>
      <c r="G211" s="335"/>
      <c r="H211" s="20"/>
      <c r="I211" s="336">
        <f>IF($D$17&gt;0,IF($D$37&gt;0,IF($B$209&lt;=$B$210,"Weld size &lt;= weld max., O.K.  ","Weld size &gt; weld max."),""),"")</f>
      </c>
      <c r="W211" s="133"/>
      <c r="X211" s="132"/>
      <c r="Y211" s="133"/>
      <c r="Z211" s="133"/>
      <c r="AA211" s="133"/>
      <c r="AB211" s="133"/>
      <c r="AC211" s="133"/>
      <c r="AF211" s="289" t="s">
        <v>653</v>
      </c>
      <c r="AG211" s="290">
        <v>89.6</v>
      </c>
      <c r="AH211" s="291">
        <v>16.3</v>
      </c>
      <c r="AI211" s="293">
        <v>1.63</v>
      </c>
      <c r="AJ211" s="291">
        <v>13.2</v>
      </c>
      <c r="AK211" s="293">
        <v>2.71</v>
      </c>
      <c r="AL211" s="294">
        <v>3.3</v>
      </c>
      <c r="AN211" s="49" t="str">
        <f>IF(AO211="","N.A.","SR =")</f>
        <v>N.A.</v>
      </c>
      <c r="AO211" s="98">
        <f>IF($D$17&gt;0,IF($D$37&gt;0,$B$209/$B$210,""),"")</f>
      </c>
    </row>
    <row r="212" spans="23:38" ht="12.75">
      <c r="W212" s="133"/>
      <c r="X212" s="133"/>
      <c r="Y212" s="133"/>
      <c r="Z212" s="133"/>
      <c r="AA212" s="133"/>
      <c r="AB212" s="133"/>
      <c r="AC212" s="133"/>
      <c r="AF212" s="289" t="s">
        <v>654</v>
      </c>
      <c r="AG212" s="290">
        <v>81.9</v>
      </c>
      <c r="AH212" s="291">
        <v>15.9</v>
      </c>
      <c r="AI212" s="293">
        <v>1.53</v>
      </c>
      <c r="AJ212" s="291">
        <v>13.1</v>
      </c>
      <c r="AK212" s="293">
        <v>2.47</v>
      </c>
      <c r="AL212" s="294">
        <v>3.07</v>
      </c>
    </row>
    <row r="213" spans="1:38" ht="12.75">
      <c r="A213" s="9"/>
      <c r="B213" s="9"/>
      <c r="C213" s="9"/>
      <c r="D213" s="9"/>
      <c r="E213" s="9"/>
      <c r="F213" s="9"/>
      <c r="G213" s="9"/>
      <c r="H213" s="9"/>
      <c r="I213" s="9"/>
      <c r="W213" s="132"/>
      <c r="X213" s="133"/>
      <c r="Y213" s="133"/>
      <c r="Z213" s="133"/>
      <c r="AA213" s="133"/>
      <c r="AB213" s="133"/>
      <c r="AC213" s="133"/>
      <c r="AF213" s="289" t="s">
        <v>655</v>
      </c>
      <c r="AG213" s="290">
        <v>74</v>
      </c>
      <c r="AH213" s="291">
        <v>15.4</v>
      </c>
      <c r="AI213" s="293">
        <v>1.4</v>
      </c>
      <c r="AJ213" s="291">
        <v>13</v>
      </c>
      <c r="AK213" s="293">
        <v>2.25</v>
      </c>
      <c r="AL213" s="294">
        <v>2.85</v>
      </c>
    </row>
    <row r="214" spans="1:38" ht="12.75">
      <c r="A214" s="9"/>
      <c r="B214" s="9"/>
      <c r="C214" s="9"/>
      <c r="D214" s="9"/>
      <c r="E214" s="9"/>
      <c r="F214" s="9"/>
      <c r="G214" s="9"/>
      <c r="H214" s="9"/>
      <c r="I214" s="9"/>
      <c r="W214" s="133"/>
      <c r="X214" s="133"/>
      <c r="Y214" s="133"/>
      <c r="Z214" s="133"/>
      <c r="AA214" s="133"/>
      <c r="AB214" s="133"/>
      <c r="AC214" s="365"/>
      <c r="AF214" s="289" t="s">
        <v>656</v>
      </c>
      <c r="AG214" s="290">
        <v>67.7</v>
      </c>
      <c r="AH214" s="291">
        <v>15.1</v>
      </c>
      <c r="AI214" s="293">
        <v>1.29</v>
      </c>
      <c r="AJ214" s="291">
        <v>12.9</v>
      </c>
      <c r="AK214" s="293">
        <v>2.07</v>
      </c>
      <c r="AL214" s="294">
        <v>2.67</v>
      </c>
    </row>
    <row r="215" spans="1:38" ht="12.75">
      <c r="A215" s="9"/>
      <c r="B215" s="9"/>
      <c r="C215" s="9"/>
      <c r="D215" s="9"/>
      <c r="E215" s="9"/>
      <c r="F215" s="9"/>
      <c r="G215" s="9"/>
      <c r="H215" s="9"/>
      <c r="I215" s="9"/>
      <c r="W215" s="133"/>
      <c r="X215" s="133"/>
      <c r="Y215" s="133"/>
      <c r="Z215" s="133"/>
      <c r="AA215" s="133"/>
      <c r="AB215" s="133"/>
      <c r="AC215" s="133"/>
      <c r="AF215" s="289" t="s">
        <v>657</v>
      </c>
      <c r="AG215" s="290">
        <v>61.8</v>
      </c>
      <c r="AH215" s="291">
        <v>14.7</v>
      </c>
      <c r="AI215" s="293">
        <v>1.18</v>
      </c>
      <c r="AJ215" s="291">
        <v>12.8</v>
      </c>
      <c r="AK215" s="293">
        <v>1.9</v>
      </c>
      <c r="AL215" s="294">
        <v>2.5</v>
      </c>
    </row>
    <row r="216" spans="1:38" ht="12.75">
      <c r="A216" s="9"/>
      <c r="B216" s="9"/>
      <c r="C216" s="9"/>
      <c r="D216" s="9"/>
      <c r="E216" s="9"/>
      <c r="F216" s="9"/>
      <c r="G216" s="9"/>
      <c r="H216" s="9"/>
      <c r="I216" s="9"/>
      <c r="W216" s="133"/>
      <c r="X216" s="133"/>
      <c r="Y216" s="133"/>
      <c r="Z216" s="132"/>
      <c r="AA216" s="132"/>
      <c r="AB216" s="365"/>
      <c r="AC216" s="365"/>
      <c r="AF216" s="289" t="s">
        <v>658</v>
      </c>
      <c r="AG216" s="290">
        <v>55.8</v>
      </c>
      <c r="AH216" s="291">
        <v>14.4</v>
      </c>
      <c r="AI216" s="293">
        <v>1.06</v>
      </c>
      <c r="AJ216" s="291">
        <v>12.7</v>
      </c>
      <c r="AK216" s="293">
        <v>1.74</v>
      </c>
      <c r="AL216" s="294">
        <v>2.33</v>
      </c>
    </row>
    <row r="217" spans="1:38" ht="12.75">
      <c r="A217" s="9"/>
      <c r="B217" s="9"/>
      <c r="C217" s="9"/>
      <c r="D217" s="9"/>
      <c r="E217" s="9"/>
      <c r="F217" s="9"/>
      <c r="G217" s="9"/>
      <c r="H217" s="9"/>
      <c r="I217" s="9"/>
      <c r="W217" s="133"/>
      <c r="X217" s="133"/>
      <c r="Y217" s="132"/>
      <c r="Z217" s="133"/>
      <c r="AA217" s="133"/>
      <c r="AB217" s="133"/>
      <c r="AC217" s="133"/>
      <c r="AF217" s="289" t="s">
        <v>659</v>
      </c>
      <c r="AG217" s="290">
        <v>50</v>
      </c>
      <c r="AH217" s="291">
        <v>14</v>
      </c>
      <c r="AI217" s="292">
        <v>0.96</v>
      </c>
      <c r="AJ217" s="291">
        <v>12.6</v>
      </c>
      <c r="AK217" s="293">
        <v>1.56</v>
      </c>
      <c r="AL217" s="294">
        <v>2.16</v>
      </c>
    </row>
    <row r="218" spans="1:38" ht="12.75">
      <c r="A218" s="9"/>
      <c r="B218" s="9"/>
      <c r="C218" s="9"/>
      <c r="D218" s="9"/>
      <c r="E218" s="9"/>
      <c r="F218" s="9"/>
      <c r="G218" s="9"/>
      <c r="H218" s="9"/>
      <c r="I218" s="9"/>
      <c r="W218" s="132"/>
      <c r="X218" s="133"/>
      <c r="Y218" s="133"/>
      <c r="Z218" s="133"/>
      <c r="AA218" s="133"/>
      <c r="AB218" s="132"/>
      <c r="AC218" s="133"/>
      <c r="AF218" s="289" t="s">
        <v>660</v>
      </c>
      <c r="AG218" s="290">
        <v>44.7</v>
      </c>
      <c r="AH218" s="291">
        <v>13.7</v>
      </c>
      <c r="AI218" s="292">
        <v>0.87</v>
      </c>
      <c r="AJ218" s="291">
        <v>12.5</v>
      </c>
      <c r="AK218" s="293">
        <v>1.4</v>
      </c>
      <c r="AL218" s="294">
        <v>2</v>
      </c>
    </row>
    <row r="219" spans="1:38" ht="12.75">
      <c r="A219" s="9"/>
      <c r="B219" s="9"/>
      <c r="C219" s="9"/>
      <c r="D219" s="9"/>
      <c r="E219" s="9"/>
      <c r="F219" s="9"/>
      <c r="G219" s="9"/>
      <c r="H219" s="9"/>
      <c r="I219" s="9"/>
      <c r="W219" s="133"/>
      <c r="X219" s="133"/>
      <c r="Y219" s="133"/>
      <c r="Z219" s="133"/>
      <c r="AA219" s="133"/>
      <c r="AB219" s="133"/>
      <c r="AC219" s="133"/>
      <c r="AF219" s="289" t="s">
        <v>661</v>
      </c>
      <c r="AG219" s="290">
        <v>39.9</v>
      </c>
      <c r="AH219" s="291">
        <v>13.4</v>
      </c>
      <c r="AI219" s="292">
        <v>0.79</v>
      </c>
      <c r="AJ219" s="291">
        <v>12.4</v>
      </c>
      <c r="AK219" s="293">
        <v>1.25</v>
      </c>
      <c r="AL219" s="294">
        <v>1.85</v>
      </c>
    </row>
    <row r="220" spans="1:38" ht="12.75">
      <c r="A220" s="9"/>
      <c r="B220" s="9"/>
      <c r="C220" s="9"/>
      <c r="D220" s="9"/>
      <c r="E220" s="9"/>
      <c r="F220" s="9"/>
      <c r="G220" s="9"/>
      <c r="H220" s="9"/>
      <c r="I220" s="9"/>
      <c r="W220" s="133"/>
      <c r="X220" s="133"/>
      <c r="Y220" s="133"/>
      <c r="Z220" s="133"/>
      <c r="AA220" s="133"/>
      <c r="AB220" s="133"/>
      <c r="AC220" s="133"/>
      <c r="AF220" s="289" t="s">
        <v>662</v>
      </c>
      <c r="AG220" s="290">
        <v>35.3</v>
      </c>
      <c r="AH220" s="291">
        <v>13.1</v>
      </c>
      <c r="AI220" s="292">
        <v>0.71</v>
      </c>
      <c r="AJ220" s="291">
        <v>12.3</v>
      </c>
      <c r="AK220" s="293">
        <v>1.11</v>
      </c>
      <c r="AL220" s="294">
        <v>1.7</v>
      </c>
    </row>
    <row r="221" spans="1:38" ht="12.75">
      <c r="A221" s="9"/>
      <c r="B221" s="9"/>
      <c r="C221" s="9"/>
      <c r="D221" s="9"/>
      <c r="E221" s="9"/>
      <c r="F221" s="9"/>
      <c r="G221" s="9"/>
      <c r="H221" s="9"/>
      <c r="I221" s="9"/>
      <c r="W221" s="133"/>
      <c r="X221" s="133"/>
      <c r="Y221" s="133"/>
      <c r="Z221" s="133"/>
      <c r="AA221" s="133"/>
      <c r="AB221" s="133"/>
      <c r="AC221" s="132"/>
      <c r="AF221" s="289" t="s">
        <v>663</v>
      </c>
      <c r="AG221" s="290">
        <v>31.2</v>
      </c>
      <c r="AH221" s="291">
        <v>12.9</v>
      </c>
      <c r="AI221" s="292">
        <v>0.61</v>
      </c>
      <c r="AJ221" s="291">
        <v>12.2</v>
      </c>
      <c r="AK221" s="292">
        <v>0.99</v>
      </c>
      <c r="AL221" s="294">
        <v>1.59</v>
      </c>
    </row>
    <row r="222" spans="1:38" ht="12.75">
      <c r="A222" s="9"/>
      <c r="B222" s="9"/>
      <c r="C222" s="9"/>
      <c r="D222" s="9"/>
      <c r="E222" s="9"/>
      <c r="F222" s="9"/>
      <c r="G222" s="9"/>
      <c r="H222" s="9"/>
      <c r="I222" s="9"/>
      <c r="W222" s="133"/>
      <c r="X222" s="133"/>
      <c r="Y222" s="133"/>
      <c r="Z222" s="133"/>
      <c r="AA222" s="132"/>
      <c r="AB222" s="133"/>
      <c r="AC222" s="132"/>
      <c r="AF222" s="289" t="s">
        <v>664</v>
      </c>
      <c r="AG222" s="290">
        <v>28.2</v>
      </c>
      <c r="AH222" s="291">
        <v>12.7</v>
      </c>
      <c r="AI222" s="292">
        <v>0.55</v>
      </c>
      <c r="AJ222" s="291">
        <v>12.2</v>
      </c>
      <c r="AK222" s="292">
        <v>0.9</v>
      </c>
      <c r="AL222" s="294">
        <v>1.5</v>
      </c>
    </row>
    <row r="223" spans="1:38" ht="12.75">
      <c r="A223" s="9"/>
      <c r="B223" s="9"/>
      <c r="C223" s="9"/>
      <c r="D223" s="9"/>
      <c r="E223" s="9"/>
      <c r="F223" s="9"/>
      <c r="G223" s="9"/>
      <c r="H223" s="9"/>
      <c r="I223" s="9"/>
      <c r="W223" s="133"/>
      <c r="X223" s="133"/>
      <c r="Y223" s="133"/>
      <c r="Z223" s="133"/>
      <c r="AA223" s="133"/>
      <c r="AB223" s="133"/>
      <c r="AC223" s="133"/>
      <c r="AF223" s="289" t="s">
        <v>665</v>
      </c>
      <c r="AG223" s="290">
        <v>25.6</v>
      </c>
      <c r="AH223" s="291">
        <v>12.5</v>
      </c>
      <c r="AI223" s="292">
        <v>0.515</v>
      </c>
      <c r="AJ223" s="291">
        <v>12.1</v>
      </c>
      <c r="AK223" s="292">
        <v>0.81</v>
      </c>
      <c r="AL223" s="294">
        <v>1.41</v>
      </c>
    </row>
    <row r="224" spans="1:38" ht="12.75">
      <c r="A224" s="9"/>
      <c r="B224" s="9"/>
      <c r="C224" s="9"/>
      <c r="D224" s="9"/>
      <c r="E224" s="9"/>
      <c r="F224" s="9"/>
      <c r="G224" s="9"/>
      <c r="H224" s="9"/>
      <c r="I224" s="9"/>
      <c r="W224" s="133"/>
      <c r="X224" s="133"/>
      <c r="Y224" s="133"/>
      <c r="Z224" s="133"/>
      <c r="AA224" s="133"/>
      <c r="AB224" s="133"/>
      <c r="AC224" s="133"/>
      <c r="AF224" s="289" t="s">
        <v>666</v>
      </c>
      <c r="AG224" s="290">
        <v>23.2</v>
      </c>
      <c r="AH224" s="291">
        <v>12.4</v>
      </c>
      <c r="AI224" s="292">
        <v>0.47</v>
      </c>
      <c r="AJ224" s="291">
        <v>12.1</v>
      </c>
      <c r="AK224" s="292">
        <v>0.735</v>
      </c>
      <c r="AL224" s="294">
        <v>1.33</v>
      </c>
    </row>
    <row r="225" spans="1:38" ht="12.75">
      <c r="A225" s="9"/>
      <c r="B225" s="9"/>
      <c r="C225" s="9"/>
      <c r="D225" s="9"/>
      <c r="E225" s="9"/>
      <c r="F225" s="9"/>
      <c r="G225" s="9"/>
      <c r="H225" s="9"/>
      <c r="I225" s="9"/>
      <c r="W225" s="133"/>
      <c r="X225" s="133"/>
      <c r="Y225" s="133"/>
      <c r="Z225" s="133"/>
      <c r="AA225" s="133"/>
      <c r="AB225" s="132"/>
      <c r="AC225" s="133"/>
      <c r="AF225" s="289" t="s">
        <v>667</v>
      </c>
      <c r="AG225" s="290">
        <v>21.1</v>
      </c>
      <c r="AH225" s="291">
        <v>12.3</v>
      </c>
      <c r="AI225" s="292">
        <v>0.43</v>
      </c>
      <c r="AJ225" s="291">
        <v>12</v>
      </c>
      <c r="AK225" s="292">
        <v>0.67</v>
      </c>
      <c r="AL225" s="294">
        <v>1.27</v>
      </c>
    </row>
    <row r="226" spans="1:38" ht="12.75">
      <c r="A226" s="9"/>
      <c r="B226" s="9"/>
      <c r="C226" s="9"/>
      <c r="D226" s="9"/>
      <c r="E226" s="9"/>
      <c r="F226" s="9"/>
      <c r="G226" s="9"/>
      <c r="H226" s="9"/>
      <c r="I226" s="9"/>
      <c r="K226" s="7"/>
      <c r="W226" s="133"/>
      <c r="X226" s="133"/>
      <c r="Y226" s="133"/>
      <c r="Z226" s="133"/>
      <c r="AA226" s="133"/>
      <c r="AB226" s="133"/>
      <c r="AC226" s="133"/>
      <c r="AF226" s="289" t="s">
        <v>668</v>
      </c>
      <c r="AG226" s="290">
        <v>19.1</v>
      </c>
      <c r="AH226" s="291">
        <v>12.1</v>
      </c>
      <c r="AI226" s="292">
        <v>0.39</v>
      </c>
      <c r="AJ226" s="291">
        <v>12</v>
      </c>
      <c r="AK226" s="292">
        <v>0.605</v>
      </c>
      <c r="AL226" s="294">
        <v>1.2</v>
      </c>
    </row>
    <row r="227" spans="1:38" ht="12.75">
      <c r="A227" s="9"/>
      <c r="B227" s="9"/>
      <c r="C227" s="9"/>
      <c r="D227" s="9"/>
      <c r="E227" s="9"/>
      <c r="F227" s="9"/>
      <c r="G227" s="9"/>
      <c r="H227" s="9"/>
      <c r="I227" s="9"/>
      <c r="K227" s="7"/>
      <c r="W227" s="133"/>
      <c r="X227" s="133"/>
      <c r="Y227" s="133"/>
      <c r="Z227" s="133"/>
      <c r="AA227" s="133"/>
      <c r="AB227" s="133"/>
      <c r="AC227" s="132"/>
      <c r="AF227" s="289" t="s">
        <v>669</v>
      </c>
      <c r="AG227" s="290">
        <v>17</v>
      </c>
      <c r="AH227" s="291">
        <v>12.2</v>
      </c>
      <c r="AI227" s="292">
        <v>0.36</v>
      </c>
      <c r="AJ227" s="291">
        <v>10</v>
      </c>
      <c r="AK227" s="292">
        <v>0.64</v>
      </c>
      <c r="AL227" s="294">
        <v>1.24</v>
      </c>
    </row>
    <row r="228" spans="1:38" ht="12.75">
      <c r="A228" s="9"/>
      <c r="B228" s="9"/>
      <c r="C228" s="9"/>
      <c r="D228" s="9"/>
      <c r="E228" s="9"/>
      <c r="F228" s="9"/>
      <c r="G228" s="9"/>
      <c r="H228" s="9"/>
      <c r="I228" s="9"/>
      <c r="K228" s="7"/>
      <c r="W228" s="133"/>
      <c r="X228" s="133"/>
      <c r="Y228" s="133"/>
      <c r="Z228" s="133"/>
      <c r="AA228" s="133"/>
      <c r="AB228" s="133"/>
      <c r="AC228" s="133"/>
      <c r="AF228" s="289" t="s">
        <v>670</v>
      </c>
      <c r="AG228" s="290">
        <v>15.6</v>
      </c>
      <c r="AH228" s="291">
        <v>12.1</v>
      </c>
      <c r="AI228" s="292">
        <v>0.345</v>
      </c>
      <c r="AJ228" s="291">
        <v>10</v>
      </c>
      <c r="AK228" s="292">
        <v>0.575</v>
      </c>
      <c r="AL228" s="294">
        <v>1.18</v>
      </c>
    </row>
    <row r="229" spans="1:38" ht="12.75">
      <c r="A229" s="9"/>
      <c r="B229" s="9"/>
      <c r="C229" s="9"/>
      <c r="D229" s="9"/>
      <c r="E229" s="9"/>
      <c r="F229" s="9"/>
      <c r="G229" s="9"/>
      <c r="H229" s="9"/>
      <c r="I229" s="9"/>
      <c r="K229" s="7"/>
      <c r="W229" s="133"/>
      <c r="X229" s="132"/>
      <c r="Y229" s="133"/>
      <c r="Z229" s="133"/>
      <c r="AA229" s="133"/>
      <c r="AB229" s="133"/>
      <c r="AC229" s="133"/>
      <c r="AF229" s="289" t="s">
        <v>671</v>
      </c>
      <c r="AG229" s="290">
        <v>14.6</v>
      </c>
      <c r="AH229" s="291">
        <v>12.2</v>
      </c>
      <c r="AI229" s="292">
        <v>0.37</v>
      </c>
      <c r="AJ229" s="293">
        <v>8.08</v>
      </c>
      <c r="AK229" s="292">
        <v>0.64</v>
      </c>
      <c r="AL229" s="294">
        <v>1.14</v>
      </c>
    </row>
    <row r="230" spans="1:38" ht="12.75">
      <c r="A230" s="9"/>
      <c r="B230" s="9"/>
      <c r="C230" s="9"/>
      <c r="D230" s="9"/>
      <c r="E230" s="9"/>
      <c r="F230" s="9"/>
      <c r="G230" s="9"/>
      <c r="H230" s="9"/>
      <c r="I230" s="9"/>
      <c r="K230" s="7"/>
      <c r="W230" s="133"/>
      <c r="X230" s="133"/>
      <c r="Y230" s="132"/>
      <c r="Z230" s="133"/>
      <c r="AA230" s="133"/>
      <c r="AB230" s="133"/>
      <c r="AC230" s="133"/>
      <c r="AF230" s="289" t="s">
        <v>672</v>
      </c>
      <c r="AG230" s="290">
        <v>13.1</v>
      </c>
      <c r="AH230" s="291">
        <v>12.1</v>
      </c>
      <c r="AI230" s="292">
        <v>0.335</v>
      </c>
      <c r="AJ230" s="293">
        <v>8.05</v>
      </c>
      <c r="AK230" s="292">
        <v>0.575</v>
      </c>
      <c r="AL230" s="294">
        <v>1.08</v>
      </c>
    </row>
    <row r="231" spans="1:38" ht="12.75">
      <c r="A231" s="9"/>
      <c r="B231" s="9"/>
      <c r="C231" s="9"/>
      <c r="D231" s="9"/>
      <c r="E231" s="9"/>
      <c r="F231" s="9"/>
      <c r="G231" s="9"/>
      <c r="H231" s="9"/>
      <c r="I231" s="9"/>
      <c r="K231" s="7"/>
      <c r="W231" s="133"/>
      <c r="X231" s="133"/>
      <c r="Y231" s="133"/>
      <c r="Z231" s="132"/>
      <c r="AA231" s="133"/>
      <c r="AB231" s="133"/>
      <c r="AC231" s="133"/>
      <c r="AF231" s="289" t="s">
        <v>673</v>
      </c>
      <c r="AG231" s="290">
        <v>11.7</v>
      </c>
      <c r="AH231" s="291">
        <v>11.9</v>
      </c>
      <c r="AI231" s="292">
        <v>0.295</v>
      </c>
      <c r="AJ231" s="293">
        <v>8.01</v>
      </c>
      <c r="AK231" s="292">
        <v>0.515</v>
      </c>
      <c r="AL231" s="294">
        <v>1.02</v>
      </c>
    </row>
    <row r="232" spans="1:38" ht="12.75">
      <c r="A232" s="9"/>
      <c r="B232" s="9"/>
      <c r="C232" s="9"/>
      <c r="D232" s="9"/>
      <c r="E232" s="9"/>
      <c r="F232" s="9"/>
      <c r="G232" s="9"/>
      <c r="H232" s="9"/>
      <c r="I232" s="9"/>
      <c r="K232" s="7"/>
      <c r="W232" s="133"/>
      <c r="X232" s="133"/>
      <c r="Y232" s="133"/>
      <c r="Z232" s="133"/>
      <c r="AA232" s="132"/>
      <c r="AB232" s="133"/>
      <c r="AC232" s="133"/>
      <c r="AF232" s="289" t="s">
        <v>674</v>
      </c>
      <c r="AG232" s="290">
        <v>10.3</v>
      </c>
      <c r="AH232" s="291">
        <v>12.5</v>
      </c>
      <c r="AI232" s="292">
        <v>0.3</v>
      </c>
      <c r="AJ232" s="293">
        <v>6.56</v>
      </c>
      <c r="AK232" s="292">
        <v>0.52</v>
      </c>
      <c r="AL232" s="296">
        <v>0.82</v>
      </c>
    </row>
    <row r="233" spans="1:38" ht="12.75">
      <c r="A233" s="9"/>
      <c r="B233" s="9"/>
      <c r="C233" s="9"/>
      <c r="D233" s="9"/>
      <c r="E233" s="9"/>
      <c r="F233" s="9"/>
      <c r="G233" s="9"/>
      <c r="H233" s="9"/>
      <c r="I233" s="9"/>
      <c r="K233" s="7"/>
      <c r="W233" s="133"/>
      <c r="X233" s="133"/>
      <c r="Y233" s="133"/>
      <c r="Z233" s="133"/>
      <c r="AA233" s="133"/>
      <c r="AB233" s="133"/>
      <c r="AC233" s="133"/>
      <c r="AF233" s="289" t="s">
        <v>675</v>
      </c>
      <c r="AG233" s="297">
        <v>8.79</v>
      </c>
      <c r="AH233" s="291">
        <v>12.3</v>
      </c>
      <c r="AI233" s="292">
        <v>0.26</v>
      </c>
      <c r="AJ233" s="293">
        <v>6.52</v>
      </c>
      <c r="AK233" s="292">
        <v>0.44</v>
      </c>
      <c r="AL233" s="296">
        <v>0.74</v>
      </c>
    </row>
    <row r="234" spans="1:38" ht="12.75">
      <c r="A234" s="9"/>
      <c r="B234" s="9"/>
      <c r="C234" s="9"/>
      <c r="D234" s="9"/>
      <c r="E234" s="9"/>
      <c r="F234" s="9"/>
      <c r="G234" s="9"/>
      <c r="H234" s="9"/>
      <c r="I234" s="9"/>
      <c r="K234" s="7"/>
      <c r="W234" s="138"/>
      <c r="X234" s="138"/>
      <c r="Y234" s="138"/>
      <c r="Z234" s="138"/>
      <c r="AA234" s="138"/>
      <c r="AB234" s="138"/>
      <c r="AC234" s="138"/>
      <c r="AF234" s="289" t="s">
        <v>676</v>
      </c>
      <c r="AG234" s="297">
        <v>7.65</v>
      </c>
      <c r="AH234" s="291">
        <v>12.2</v>
      </c>
      <c r="AI234" s="292">
        <v>0.23</v>
      </c>
      <c r="AJ234" s="293">
        <v>6.49</v>
      </c>
      <c r="AK234" s="292">
        <v>0.38</v>
      </c>
      <c r="AL234" s="296">
        <v>0.68</v>
      </c>
    </row>
    <row r="235" spans="1:38" ht="12.75">
      <c r="A235" s="9"/>
      <c r="B235" s="9"/>
      <c r="C235" s="9"/>
      <c r="D235" s="9"/>
      <c r="E235" s="9"/>
      <c r="F235" s="9"/>
      <c r="G235" s="9"/>
      <c r="H235" s="9"/>
      <c r="I235" s="9"/>
      <c r="K235" s="5"/>
      <c r="W235" s="36"/>
      <c r="X235" s="36"/>
      <c r="Y235" s="36"/>
      <c r="Z235" s="36"/>
      <c r="AA235" s="36"/>
      <c r="AB235" s="36"/>
      <c r="AC235" s="36"/>
      <c r="AF235" s="289" t="s">
        <v>677</v>
      </c>
      <c r="AG235" s="297">
        <v>6.48</v>
      </c>
      <c r="AH235" s="291">
        <v>12.3</v>
      </c>
      <c r="AI235" s="292">
        <v>0.26</v>
      </c>
      <c r="AJ235" s="293">
        <v>4.03</v>
      </c>
      <c r="AK235" s="292">
        <v>0.425</v>
      </c>
      <c r="AL235" s="296">
        <v>0.725</v>
      </c>
    </row>
    <row r="236" spans="1:38" ht="12.75">
      <c r="A236" s="9"/>
      <c r="B236" s="9"/>
      <c r="C236" s="9"/>
      <c r="D236" s="9"/>
      <c r="E236" s="9"/>
      <c r="F236" s="9"/>
      <c r="G236" s="9"/>
      <c r="H236" s="9"/>
      <c r="I236" s="9"/>
      <c r="K236" s="7"/>
      <c r="W236" s="112"/>
      <c r="X236" s="112"/>
      <c r="Y236" s="112"/>
      <c r="Z236" s="112"/>
      <c r="AA236" s="112"/>
      <c r="AB236" s="112"/>
      <c r="AC236" s="112"/>
      <c r="AF236" s="289" t="s">
        <v>678</v>
      </c>
      <c r="AG236" s="297">
        <v>5.57</v>
      </c>
      <c r="AH236" s="291">
        <v>12.2</v>
      </c>
      <c r="AI236" s="292">
        <v>0.235</v>
      </c>
      <c r="AJ236" s="293">
        <v>4.01</v>
      </c>
      <c r="AK236" s="292">
        <v>0.35</v>
      </c>
      <c r="AL236" s="296">
        <v>0.65</v>
      </c>
    </row>
    <row r="237" spans="1:38" ht="12.75">
      <c r="A237" s="9"/>
      <c r="B237" s="9"/>
      <c r="C237" s="9"/>
      <c r="D237" s="9"/>
      <c r="E237" s="9"/>
      <c r="F237" s="9"/>
      <c r="G237" s="9"/>
      <c r="H237" s="9"/>
      <c r="I237" s="9"/>
      <c r="K237" s="7"/>
      <c r="W237" s="112"/>
      <c r="X237" s="112"/>
      <c r="Y237" s="362"/>
      <c r="Z237" s="112"/>
      <c r="AA237" s="112"/>
      <c r="AB237" s="362"/>
      <c r="AC237" s="112"/>
      <c r="AF237" s="289" t="s">
        <v>679</v>
      </c>
      <c r="AG237" s="297">
        <v>4.71</v>
      </c>
      <c r="AH237" s="291">
        <v>12</v>
      </c>
      <c r="AI237" s="292">
        <v>0.22</v>
      </c>
      <c r="AJ237" s="293">
        <v>3.99</v>
      </c>
      <c r="AK237" s="292">
        <v>0.265</v>
      </c>
      <c r="AL237" s="296">
        <v>0.565</v>
      </c>
    </row>
    <row r="238" spans="1:38" ht="12.75">
      <c r="A238" s="9"/>
      <c r="B238" s="9"/>
      <c r="C238" s="9"/>
      <c r="D238" s="9"/>
      <c r="E238" s="9"/>
      <c r="F238" s="9"/>
      <c r="G238" s="9"/>
      <c r="H238" s="9"/>
      <c r="I238" s="9"/>
      <c r="K238" s="7"/>
      <c r="W238" s="139"/>
      <c r="X238" s="139"/>
      <c r="Y238" s="139"/>
      <c r="Z238" s="139"/>
      <c r="AA238" s="139"/>
      <c r="AB238" s="139"/>
      <c r="AC238" s="139"/>
      <c r="AF238" s="289" t="s">
        <v>680</v>
      </c>
      <c r="AG238" s="297">
        <v>4.16</v>
      </c>
      <c r="AH238" s="291">
        <v>11.9</v>
      </c>
      <c r="AI238" s="292">
        <v>0.2</v>
      </c>
      <c r="AJ238" s="293">
        <v>3.97</v>
      </c>
      <c r="AK238" s="292">
        <v>0.225</v>
      </c>
      <c r="AL238" s="296">
        <v>0.525</v>
      </c>
    </row>
    <row r="239" spans="1:38" ht="12.75">
      <c r="A239" s="9"/>
      <c r="B239" s="9"/>
      <c r="C239" s="9"/>
      <c r="D239" s="9"/>
      <c r="E239" s="9"/>
      <c r="F239" s="9"/>
      <c r="G239" s="9"/>
      <c r="H239" s="9"/>
      <c r="I239" s="9"/>
      <c r="K239" s="7"/>
      <c r="W239" s="133"/>
      <c r="X239" s="132"/>
      <c r="Y239" s="133"/>
      <c r="Z239" s="133"/>
      <c r="AA239" s="133"/>
      <c r="AB239" s="133"/>
      <c r="AC239" s="133"/>
      <c r="AF239" s="289" t="s">
        <v>681</v>
      </c>
      <c r="AG239" s="290">
        <v>32.9</v>
      </c>
      <c r="AH239" s="291">
        <v>11.4</v>
      </c>
      <c r="AI239" s="292">
        <v>0.755</v>
      </c>
      <c r="AJ239" s="291">
        <v>10.4</v>
      </c>
      <c r="AK239" s="293">
        <v>1.25</v>
      </c>
      <c r="AL239" s="294">
        <v>1.75</v>
      </c>
    </row>
    <row r="240" spans="1:38" ht="12.75">
      <c r="A240" s="9"/>
      <c r="B240" s="9"/>
      <c r="C240" s="9"/>
      <c r="D240" s="9"/>
      <c r="E240" s="9"/>
      <c r="F240" s="9"/>
      <c r="G240" s="9"/>
      <c r="H240" s="9"/>
      <c r="I240" s="9"/>
      <c r="K240" s="2"/>
      <c r="M240" s="138"/>
      <c r="N240" s="133"/>
      <c r="O240" s="133"/>
      <c r="P240" s="133"/>
      <c r="Q240" s="132"/>
      <c r="R240" s="133"/>
      <c r="S240" s="133"/>
      <c r="T240" s="133"/>
      <c r="U240" s="133"/>
      <c r="V240" s="133"/>
      <c r="W240" s="133"/>
      <c r="X240" s="133"/>
      <c r="Y240" s="133"/>
      <c r="Z240" s="133"/>
      <c r="AA240" s="133"/>
      <c r="AB240" s="133"/>
      <c r="AC240" s="133"/>
      <c r="AF240" s="289" t="s">
        <v>682</v>
      </c>
      <c r="AG240" s="290">
        <v>29.4</v>
      </c>
      <c r="AH240" s="291">
        <v>11.1</v>
      </c>
      <c r="AI240" s="292">
        <v>0.68</v>
      </c>
      <c r="AJ240" s="291">
        <v>10.3</v>
      </c>
      <c r="AK240" s="293">
        <v>1.12</v>
      </c>
      <c r="AL240" s="294">
        <v>1.62</v>
      </c>
    </row>
    <row r="241" spans="1:38" ht="12.75">
      <c r="A241" s="9"/>
      <c r="B241" s="9"/>
      <c r="C241" s="9"/>
      <c r="D241" s="9"/>
      <c r="E241" s="9"/>
      <c r="F241" s="9"/>
      <c r="G241" s="9"/>
      <c r="H241" s="9"/>
      <c r="I241" s="9"/>
      <c r="M241" s="138"/>
      <c r="N241" s="133"/>
      <c r="O241" s="133"/>
      <c r="P241" s="133"/>
      <c r="Q241" s="133"/>
      <c r="R241" s="133"/>
      <c r="S241" s="133"/>
      <c r="T241" s="132"/>
      <c r="U241" s="133"/>
      <c r="V241" s="133"/>
      <c r="W241" s="132"/>
      <c r="X241" s="133"/>
      <c r="Y241" s="133"/>
      <c r="Z241" s="133"/>
      <c r="AA241" s="133"/>
      <c r="AB241" s="133"/>
      <c r="AC241" s="133"/>
      <c r="AF241" s="289" t="s">
        <v>683</v>
      </c>
      <c r="AG241" s="290">
        <v>25.9</v>
      </c>
      <c r="AH241" s="291">
        <v>10.8</v>
      </c>
      <c r="AI241" s="292">
        <v>0.605</v>
      </c>
      <c r="AJ241" s="291">
        <v>10.3</v>
      </c>
      <c r="AK241" s="292">
        <v>0.99</v>
      </c>
      <c r="AL241" s="294">
        <v>1.49</v>
      </c>
    </row>
    <row r="242" spans="1:38" ht="12.75">
      <c r="A242" s="9"/>
      <c r="B242" s="9"/>
      <c r="C242" s="9"/>
      <c r="D242" s="9"/>
      <c r="E242" s="9"/>
      <c r="F242" s="9"/>
      <c r="G242" s="9"/>
      <c r="H242" s="9"/>
      <c r="I242" s="9"/>
      <c r="M242" s="138"/>
      <c r="N242" s="133"/>
      <c r="O242" s="133"/>
      <c r="P242" s="133"/>
      <c r="Q242" s="133"/>
      <c r="R242" s="132"/>
      <c r="S242" s="133"/>
      <c r="T242" s="133"/>
      <c r="U242" s="133"/>
      <c r="V242" s="133"/>
      <c r="W242" s="133"/>
      <c r="X242" s="133"/>
      <c r="Y242" s="133"/>
      <c r="Z242" s="133"/>
      <c r="AA242" s="133"/>
      <c r="AB242" s="133"/>
      <c r="AC242" s="365"/>
      <c r="AF242" s="289" t="s">
        <v>684</v>
      </c>
      <c r="AG242" s="290">
        <v>22.6</v>
      </c>
      <c r="AH242" s="291">
        <v>10.6</v>
      </c>
      <c r="AI242" s="292">
        <v>0.53</v>
      </c>
      <c r="AJ242" s="291">
        <v>10.2</v>
      </c>
      <c r="AK242" s="292">
        <v>0.87</v>
      </c>
      <c r="AL242" s="294">
        <v>1.37</v>
      </c>
    </row>
    <row r="243" spans="1:38" ht="12.75">
      <c r="A243" s="9"/>
      <c r="B243" s="9"/>
      <c r="C243" s="9"/>
      <c r="D243" s="9"/>
      <c r="E243" s="9"/>
      <c r="F243" s="9"/>
      <c r="G243" s="9"/>
      <c r="H243" s="9"/>
      <c r="I243" s="9"/>
      <c r="M243" s="138"/>
      <c r="N243" s="133"/>
      <c r="O243" s="133"/>
      <c r="P243" s="133"/>
      <c r="Q243" s="133"/>
      <c r="R243" s="133"/>
      <c r="S243" s="133"/>
      <c r="T243" s="133"/>
      <c r="U243" s="133"/>
      <c r="V243" s="133"/>
      <c r="W243" s="133"/>
      <c r="X243" s="133"/>
      <c r="Y243" s="133"/>
      <c r="Z243" s="133"/>
      <c r="AA243" s="133"/>
      <c r="AB243" s="133"/>
      <c r="AC243" s="133"/>
      <c r="AF243" s="289" t="s">
        <v>685</v>
      </c>
      <c r="AG243" s="290">
        <v>20</v>
      </c>
      <c r="AH243" s="291">
        <v>10.4</v>
      </c>
      <c r="AI243" s="292">
        <v>0.47</v>
      </c>
      <c r="AJ243" s="291">
        <v>10.1</v>
      </c>
      <c r="AK243" s="292">
        <v>0.77</v>
      </c>
      <c r="AL243" s="294">
        <v>1.27</v>
      </c>
    </row>
    <row r="244" spans="1:38" ht="12.75">
      <c r="A244" s="9"/>
      <c r="B244" s="9"/>
      <c r="C244" s="9"/>
      <c r="D244" s="9"/>
      <c r="E244" s="9"/>
      <c r="F244" s="9"/>
      <c r="G244" s="9"/>
      <c r="H244" s="9"/>
      <c r="I244" s="9"/>
      <c r="M244" s="138"/>
      <c r="N244" s="133"/>
      <c r="O244" s="133"/>
      <c r="P244" s="133"/>
      <c r="Q244" s="133"/>
      <c r="R244" s="133"/>
      <c r="S244" s="133"/>
      <c r="T244" s="133"/>
      <c r="U244" s="132"/>
      <c r="V244" s="133"/>
      <c r="W244" s="133"/>
      <c r="X244" s="133"/>
      <c r="Y244" s="133"/>
      <c r="Z244" s="132"/>
      <c r="AA244" s="132"/>
      <c r="AB244" s="365"/>
      <c r="AC244" s="365"/>
      <c r="AF244" s="289" t="s">
        <v>686</v>
      </c>
      <c r="AG244" s="290">
        <v>17.6</v>
      </c>
      <c r="AH244" s="291">
        <v>10.2</v>
      </c>
      <c r="AI244" s="292">
        <v>0.42</v>
      </c>
      <c r="AJ244" s="291">
        <v>10.1</v>
      </c>
      <c r="AK244" s="292">
        <v>0.68</v>
      </c>
      <c r="AL244" s="294">
        <v>1.18</v>
      </c>
    </row>
    <row r="245" spans="1:38" ht="12.75">
      <c r="A245" s="9"/>
      <c r="B245" s="9"/>
      <c r="C245" s="9"/>
      <c r="D245" s="9"/>
      <c r="E245" s="9"/>
      <c r="F245" s="9"/>
      <c r="G245" s="9"/>
      <c r="H245" s="9"/>
      <c r="I245" s="9"/>
      <c r="M245" s="138"/>
      <c r="N245" s="133"/>
      <c r="O245" s="133"/>
      <c r="P245" s="133"/>
      <c r="Q245" s="133"/>
      <c r="R245" s="133"/>
      <c r="S245" s="133"/>
      <c r="T245" s="133"/>
      <c r="U245" s="133"/>
      <c r="V245" s="132"/>
      <c r="W245" s="133"/>
      <c r="X245" s="133"/>
      <c r="Y245" s="132"/>
      <c r="Z245" s="133"/>
      <c r="AA245" s="133"/>
      <c r="AB245" s="133"/>
      <c r="AC245" s="133"/>
      <c r="AF245" s="289" t="s">
        <v>687</v>
      </c>
      <c r="AG245" s="290">
        <v>15.8</v>
      </c>
      <c r="AH245" s="291">
        <v>10.1</v>
      </c>
      <c r="AI245" s="292">
        <v>0.37</v>
      </c>
      <c r="AJ245" s="291">
        <v>10</v>
      </c>
      <c r="AK245" s="292">
        <v>0.615</v>
      </c>
      <c r="AL245" s="294">
        <v>1.12</v>
      </c>
    </row>
    <row r="246" spans="1:38" ht="12.75">
      <c r="A246" s="9"/>
      <c r="B246" s="9"/>
      <c r="C246" s="9"/>
      <c r="D246" s="9"/>
      <c r="E246" s="9"/>
      <c r="F246" s="9"/>
      <c r="G246" s="9"/>
      <c r="H246" s="9"/>
      <c r="I246" s="9"/>
      <c r="M246" s="138"/>
      <c r="N246" s="133"/>
      <c r="O246" s="133"/>
      <c r="P246" s="133"/>
      <c r="Q246" s="133"/>
      <c r="R246" s="133"/>
      <c r="S246" s="133"/>
      <c r="T246" s="133"/>
      <c r="U246" s="132"/>
      <c r="V246" s="132"/>
      <c r="W246" s="132"/>
      <c r="X246" s="133"/>
      <c r="Y246" s="133"/>
      <c r="Z246" s="133"/>
      <c r="AA246" s="133"/>
      <c r="AB246" s="132"/>
      <c r="AC246" s="133"/>
      <c r="AF246" s="289" t="s">
        <v>688</v>
      </c>
      <c r="AG246" s="290">
        <v>14.4</v>
      </c>
      <c r="AH246" s="291">
        <v>10</v>
      </c>
      <c r="AI246" s="292">
        <v>0.34</v>
      </c>
      <c r="AJ246" s="291">
        <v>10</v>
      </c>
      <c r="AK246" s="292">
        <v>0.56</v>
      </c>
      <c r="AL246" s="294">
        <v>1.06</v>
      </c>
    </row>
    <row r="247" spans="1:38" ht="12.75">
      <c r="A247" s="9"/>
      <c r="B247" s="9"/>
      <c r="C247" s="9"/>
      <c r="D247" s="9"/>
      <c r="E247" s="9"/>
      <c r="F247" s="9"/>
      <c r="G247" s="9"/>
      <c r="H247" s="9"/>
      <c r="I247" s="9"/>
      <c r="M247" s="138"/>
      <c r="N247" s="133"/>
      <c r="O247" s="133"/>
      <c r="P247" s="133"/>
      <c r="Q247" s="133"/>
      <c r="R247" s="133"/>
      <c r="S247" s="133"/>
      <c r="T247" s="133"/>
      <c r="U247" s="132"/>
      <c r="V247" s="133"/>
      <c r="W247" s="133"/>
      <c r="X247" s="133"/>
      <c r="Y247" s="133"/>
      <c r="Z247" s="133"/>
      <c r="AA247" s="133"/>
      <c r="AB247" s="133"/>
      <c r="AC247" s="133"/>
      <c r="AF247" s="289" t="s">
        <v>689</v>
      </c>
      <c r="AG247" s="290">
        <v>13.3</v>
      </c>
      <c r="AH247" s="291">
        <v>10.1</v>
      </c>
      <c r="AI247" s="292">
        <v>0.35</v>
      </c>
      <c r="AJ247" s="293">
        <v>8.02</v>
      </c>
      <c r="AK247" s="292">
        <v>0.62</v>
      </c>
      <c r="AL247" s="294">
        <v>1.12</v>
      </c>
    </row>
    <row r="248" spans="1:38" ht="12.75">
      <c r="A248" s="9"/>
      <c r="B248" s="9"/>
      <c r="C248" s="9"/>
      <c r="D248" s="9"/>
      <c r="E248" s="9"/>
      <c r="F248" s="9"/>
      <c r="G248" s="9"/>
      <c r="H248" s="9"/>
      <c r="I248" s="9"/>
      <c r="M248" s="138"/>
      <c r="N248" s="133"/>
      <c r="O248" s="133"/>
      <c r="P248" s="133"/>
      <c r="Q248" s="133"/>
      <c r="R248" s="133"/>
      <c r="S248" s="133"/>
      <c r="T248" s="133"/>
      <c r="U248" s="133"/>
      <c r="V248" s="132"/>
      <c r="W248" s="133"/>
      <c r="X248" s="133"/>
      <c r="Y248" s="133"/>
      <c r="Z248" s="133"/>
      <c r="AA248" s="133"/>
      <c r="AB248" s="133"/>
      <c r="AC248" s="133"/>
      <c r="AF248" s="289" t="s">
        <v>690</v>
      </c>
      <c r="AG248" s="290">
        <v>11.5</v>
      </c>
      <c r="AH248" s="293">
        <v>9.92</v>
      </c>
      <c r="AI248" s="292">
        <v>0.315</v>
      </c>
      <c r="AJ248" s="293">
        <v>7.99</v>
      </c>
      <c r="AK248" s="292">
        <v>0.53</v>
      </c>
      <c r="AL248" s="294">
        <v>1.03</v>
      </c>
    </row>
    <row r="249" spans="1:38" ht="12.75">
      <c r="A249" s="9"/>
      <c r="B249" s="9"/>
      <c r="C249" s="9"/>
      <c r="D249" s="9"/>
      <c r="E249" s="9"/>
      <c r="F249" s="9"/>
      <c r="G249" s="9"/>
      <c r="H249" s="9"/>
      <c r="I249" s="9"/>
      <c r="M249" s="138"/>
      <c r="N249" s="133"/>
      <c r="O249" s="133"/>
      <c r="P249" s="133"/>
      <c r="Q249" s="133"/>
      <c r="R249" s="133"/>
      <c r="S249" s="133"/>
      <c r="T249" s="132"/>
      <c r="U249" s="133"/>
      <c r="V249" s="132"/>
      <c r="W249" s="133"/>
      <c r="X249" s="133"/>
      <c r="Y249" s="133"/>
      <c r="Z249" s="133"/>
      <c r="AA249" s="133"/>
      <c r="AB249" s="133"/>
      <c r="AC249" s="132"/>
      <c r="AF249" s="289" t="s">
        <v>691</v>
      </c>
      <c r="AG249" s="297">
        <v>9.71</v>
      </c>
      <c r="AH249" s="293">
        <v>9.73</v>
      </c>
      <c r="AI249" s="292">
        <v>0.29</v>
      </c>
      <c r="AJ249" s="293">
        <v>7.96</v>
      </c>
      <c r="AK249" s="292">
        <v>0.435</v>
      </c>
      <c r="AL249" s="296">
        <v>0.935</v>
      </c>
    </row>
    <row r="250" spans="1:38" ht="12.75">
      <c r="A250" s="9"/>
      <c r="B250" s="9"/>
      <c r="C250" s="9"/>
      <c r="D250" s="9"/>
      <c r="E250" s="9"/>
      <c r="F250" s="9"/>
      <c r="G250" s="9"/>
      <c r="H250" s="9"/>
      <c r="I250" s="59"/>
      <c r="M250" s="138"/>
      <c r="N250" s="133"/>
      <c r="O250" s="133"/>
      <c r="P250" s="133"/>
      <c r="Q250" s="133"/>
      <c r="R250" s="133"/>
      <c r="S250" s="133"/>
      <c r="T250" s="133"/>
      <c r="U250" s="133"/>
      <c r="V250" s="133"/>
      <c r="W250" s="133"/>
      <c r="X250" s="133"/>
      <c r="Y250" s="133"/>
      <c r="Z250" s="133"/>
      <c r="AA250" s="132"/>
      <c r="AB250" s="133"/>
      <c r="AC250" s="132"/>
      <c r="AF250" s="289" t="s">
        <v>692</v>
      </c>
      <c r="AG250" s="297">
        <v>8.84</v>
      </c>
      <c r="AH250" s="291">
        <v>10.5</v>
      </c>
      <c r="AI250" s="292">
        <v>0.3</v>
      </c>
      <c r="AJ250" s="293">
        <v>5.81</v>
      </c>
      <c r="AK250" s="292">
        <v>0.51</v>
      </c>
      <c r="AL250" s="296">
        <v>0.81</v>
      </c>
    </row>
    <row r="251" spans="1:38" ht="12.75">
      <c r="A251" s="9"/>
      <c r="B251" s="9"/>
      <c r="C251" s="9"/>
      <c r="D251" s="9"/>
      <c r="E251" s="9"/>
      <c r="F251" s="9"/>
      <c r="G251" s="9"/>
      <c r="H251" s="9"/>
      <c r="I251" s="9"/>
      <c r="M251" s="132"/>
      <c r="N251" s="133"/>
      <c r="O251" s="133"/>
      <c r="P251" s="132"/>
      <c r="Q251" s="133"/>
      <c r="R251" s="133"/>
      <c r="S251" s="133"/>
      <c r="T251" s="133"/>
      <c r="U251" s="133"/>
      <c r="V251" s="133"/>
      <c r="W251" s="133"/>
      <c r="X251" s="133"/>
      <c r="Y251" s="133"/>
      <c r="Z251" s="133"/>
      <c r="AA251" s="133"/>
      <c r="AB251" s="133"/>
      <c r="AC251" s="133"/>
      <c r="AF251" s="289" t="s">
        <v>693</v>
      </c>
      <c r="AG251" s="297">
        <v>7.61</v>
      </c>
      <c r="AH251" s="291">
        <v>10.3</v>
      </c>
      <c r="AI251" s="292">
        <v>0.26</v>
      </c>
      <c r="AJ251" s="293">
        <v>5.77</v>
      </c>
      <c r="AK251" s="292">
        <v>0.44</v>
      </c>
      <c r="AL251" s="296">
        <v>0.74</v>
      </c>
    </row>
    <row r="252" spans="1:38" ht="12.75">
      <c r="A252" s="9"/>
      <c r="B252" s="9"/>
      <c r="C252" s="9"/>
      <c r="D252" s="9"/>
      <c r="E252" s="9"/>
      <c r="F252" s="9"/>
      <c r="G252" s="9"/>
      <c r="H252" s="9"/>
      <c r="I252" s="9"/>
      <c r="M252" s="132"/>
      <c r="N252" s="133"/>
      <c r="O252" s="133"/>
      <c r="P252" s="133"/>
      <c r="Q252" s="133"/>
      <c r="R252" s="133"/>
      <c r="S252" s="133"/>
      <c r="T252" s="133"/>
      <c r="U252" s="133"/>
      <c r="V252" s="133"/>
      <c r="W252" s="133"/>
      <c r="X252" s="133"/>
      <c r="Y252" s="133"/>
      <c r="Z252" s="133"/>
      <c r="AA252" s="133"/>
      <c r="AB252" s="133"/>
      <c r="AC252" s="133"/>
      <c r="AF252" s="289" t="s">
        <v>694</v>
      </c>
      <c r="AG252" s="297">
        <v>6.49</v>
      </c>
      <c r="AH252" s="291">
        <v>10.2</v>
      </c>
      <c r="AI252" s="292">
        <v>0.24</v>
      </c>
      <c r="AJ252" s="293">
        <v>5.75</v>
      </c>
      <c r="AK252" s="292">
        <v>0.36</v>
      </c>
      <c r="AL252" s="296">
        <v>0.66</v>
      </c>
    </row>
    <row r="253" spans="1:38" ht="12.75">
      <c r="A253" s="9"/>
      <c r="B253" s="9"/>
      <c r="C253" s="9"/>
      <c r="D253" s="9"/>
      <c r="E253" s="9"/>
      <c r="F253" s="9"/>
      <c r="G253" s="9"/>
      <c r="H253" s="9"/>
      <c r="I253" s="9"/>
      <c r="M253" s="132"/>
      <c r="N253" s="133"/>
      <c r="O253" s="133"/>
      <c r="P253" s="133"/>
      <c r="Q253" s="133"/>
      <c r="R253" s="133"/>
      <c r="S253" s="133"/>
      <c r="T253" s="133"/>
      <c r="U253" s="133"/>
      <c r="V253" s="133"/>
      <c r="W253" s="133"/>
      <c r="X253" s="133"/>
      <c r="Y253" s="133"/>
      <c r="Z253" s="133"/>
      <c r="AA253" s="133"/>
      <c r="AB253" s="132"/>
      <c r="AC253" s="133"/>
      <c r="AF253" s="289" t="s">
        <v>695</v>
      </c>
      <c r="AG253" s="297">
        <v>5.62</v>
      </c>
      <c r="AH253" s="291">
        <v>10.2</v>
      </c>
      <c r="AI253" s="292">
        <v>0.25</v>
      </c>
      <c r="AJ253" s="293">
        <v>4.02</v>
      </c>
      <c r="AK253" s="292">
        <v>0.395</v>
      </c>
      <c r="AL253" s="296">
        <v>0.695</v>
      </c>
    </row>
    <row r="254" spans="1:38" ht="12.75">
      <c r="A254" s="9"/>
      <c r="B254" s="9"/>
      <c r="C254" s="9"/>
      <c r="D254" s="9"/>
      <c r="E254" s="9"/>
      <c r="F254" s="9"/>
      <c r="G254" s="9"/>
      <c r="H254" s="9"/>
      <c r="I254" s="9"/>
      <c r="M254" s="132"/>
      <c r="N254" s="133"/>
      <c r="O254" s="133"/>
      <c r="P254" s="133"/>
      <c r="Q254" s="133"/>
      <c r="R254" s="133"/>
      <c r="S254" s="133"/>
      <c r="T254" s="133"/>
      <c r="U254" s="133"/>
      <c r="V254" s="133"/>
      <c r="W254" s="133"/>
      <c r="X254" s="133"/>
      <c r="Y254" s="133"/>
      <c r="Z254" s="133"/>
      <c r="AA254" s="133"/>
      <c r="AB254" s="133"/>
      <c r="AC254" s="133"/>
      <c r="AF254" s="289" t="s">
        <v>696</v>
      </c>
      <c r="AG254" s="297">
        <v>4.99</v>
      </c>
      <c r="AH254" s="291">
        <v>10.1</v>
      </c>
      <c r="AI254" s="292">
        <v>0.24</v>
      </c>
      <c r="AJ254" s="293">
        <v>4.01</v>
      </c>
      <c r="AK254" s="292">
        <v>0.33</v>
      </c>
      <c r="AL254" s="296">
        <v>0.63</v>
      </c>
    </row>
    <row r="255" spans="1:38" ht="12.75">
      <c r="A255" s="9"/>
      <c r="B255" s="9"/>
      <c r="C255" s="9"/>
      <c r="D255" s="9"/>
      <c r="E255" s="9"/>
      <c r="F255" s="9"/>
      <c r="G255" s="9"/>
      <c r="H255" s="9"/>
      <c r="I255" s="9"/>
      <c r="M255" s="132"/>
      <c r="N255" s="133"/>
      <c r="O255" s="138"/>
      <c r="P255" s="133"/>
      <c r="Q255" s="133"/>
      <c r="R255" s="133"/>
      <c r="S255" s="133"/>
      <c r="T255" s="133"/>
      <c r="U255" s="133"/>
      <c r="V255" s="133"/>
      <c r="W255" s="133"/>
      <c r="X255" s="133"/>
      <c r="Y255" s="133"/>
      <c r="Z255" s="133"/>
      <c r="AA255" s="133"/>
      <c r="AB255" s="133"/>
      <c r="AC255" s="132"/>
      <c r="AF255" s="289" t="s">
        <v>697</v>
      </c>
      <c r="AG255" s="297">
        <v>4.41</v>
      </c>
      <c r="AH255" s="291">
        <v>10</v>
      </c>
      <c r="AI255" s="292">
        <v>0.23</v>
      </c>
      <c r="AJ255" s="293">
        <v>4</v>
      </c>
      <c r="AK255" s="292">
        <v>0.27</v>
      </c>
      <c r="AL255" s="296">
        <v>0.57</v>
      </c>
    </row>
    <row r="256" spans="1:38" ht="12.75">
      <c r="A256" s="9"/>
      <c r="B256" s="9"/>
      <c r="C256" s="9"/>
      <c r="D256" s="9"/>
      <c r="E256" s="9"/>
      <c r="F256" s="9"/>
      <c r="G256" s="9"/>
      <c r="H256" s="9"/>
      <c r="I256" s="9"/>
      <c r="M256" s="132"/>
      <c r="N256" s="133"/>
      <c r="O256" s="133"/>
      <c r="P256" s="133"/>
      <c r="Q256" s="133"/>
      <c r="R256" s="133"/>
      <c r="S256" s="133"/>
      <c r="T256" s="133"/>
      <c r="U256" s="133"/>
      <c r="V256" s="133"/>
      <c r="W256" s="133"/>
      <c r="X256" s="133"/>
      <c r="Y256" s="133"/>
      <c r="Z256" s="133"/>
      <c r="AA256" s="133"/>
      <c r="AB256" s="133"/>
      <c r="AC256" s="133"/>
      <c r="AF256" s="289" t="s">
        <v>698</v>
      </c>
      <c r="AG256" s="297">
        <v>3.54</v>
      </c>
      <c r="AH256" s="293">
        <v>9.87</v>
      </c>
      <c r="AI256" s="292">
        <v>0.19</v>
      </c>
      <c r="AJ256" s="293">
        <v>3.96</v>
      </c>
      <c r="AK256" s="292">
        <v>0.21</v>
      </c>
      <c r="AL256" s="296">
        <v>0.51</v>
      </c>
    </row>
    <row r="257" spans="1:38" ht="12.75">
      <c r="A257" s="9"/>
      <c r="B257" s="9"/>
      <c r="C257" s="9"/>
      <c r="D257" s="9"/>
      <c r="E257" s="9"/>
      <c r="F257" s="9"/>
      <c r="G257" s="9"/>
      <c r="H257" s="9"/>
      <c r="I257" s="9"/>
      <c r="M257" s="132"/>
      <c r="N257" s="368"/>
      <c r="O257" s="133"/>
      <c r="P257" s="133"/>
      <c r="Q257" s="133"/>
      <c r="R257" s="133"/>
      <c r="S257" s="133"/>
      <c r="T257" s="133"/>
      <c r="U257" s="133"/>
      <c r="V257" s="132"/>
      <c r="W257" s="133"/>
      <c r="X257" s="132"/>
      <c r="Y257" s="133"/>
      <c r="Z257" s="133"/>
      <c r="AA257" s="133"/>
      <c r="AB257" s="133"/>
      <c r="AC257" s="133"/>
      <c r="AF257" s="289" t="s">
        <v>699</v>
      </c>
      <c r="AG257" s="290">
        <v>19.7</v>
      </c>
      <c r="AH257" s="293">
        <v>9</v>
      </c>
      <c r="AI257" s="292">
        <v>0.57</v>
      </c>
      <c r="AJ257" s="293">
        <v>8.28</v>
      </c>
      <c r="AK257" s="292">
        <v>0.935</v>
      </c>
      <c r="AL257" s="294">
        <v>1.33</v>
      </c>
    </row>
    <row r="258" spans="1:38" ht="12.75">
      <c r="A258" s="9"/>
      <c r="B258" s="9"/>
      <c r="C258" s="9"/>
      <c r="D258" s="9"/>
      <c r="E258" s="9"/>
      <c r="F258" s="9"/>
      <c r="G258" s="9"/>
      <c r="H258" s="9"/>
      <c r="I258" s="9"/>
      <c r="M258" s="132"/>
      <c r="N258" s="133"/>
      <c r="O258" s="133"/>
      <c r="P258" s="133"/>
      <c r="Q258" s="138"/>
      <c r="R258" s="133"/>
      <c r="S258" s="133"/>
      <c r="T258" s="133"/>
      <c r="U258" s="133"/>
      <c r="V258" s="132"/>
      <c r="W258" s="133"/>
      <c r="X258" s="133"/>
      <c r="Y258" s="132"/>
      <c r="Z258" s="133"/>
      <c r="AA258" s="133"/>
      <c r="AB258" s="133"/>
      <c r="AC258" s="133"/>
      <c r="AF258" s="289" t="s">
        <v>700</v>
      </c>
      <c r="AG258" s="290">
        <v>17.1</v>
      </c>
      <c r="AH258" s="293">
        <v>8.75</v>
      </c>
      <c r="AI258" s="292">
        <v>0.51</v>
      </c>
      <c r="AJ258" s="293">
        <v>8.22</v>
      </c>
      <c r="AK258" s="292">
        <v>0.81</v>
      </c>
      <c r="AL258" s="294">
        <v>1.2</v>
      </c>
    </row>
    <row r="259" spans="1:38" ht="12.75">
      <c r="A259" s="9"/>
      <c r="B259" s="9"/>
      <c r="C259" s="9"/>
      <c r="D259" s="9"/>
      <c r="E259" s="9"/>
      <c r="F259" s="9"/>
      <c r="G259" s="9"/>
      <c r="H259" s="9"/>
      <c r="I259" s="9"/>
      <c r="M259" s="132"/>
      <c r="N259" s="133"/>
      <c r="O259" s="138"/>
      <c r="P259" s="133"/>
      <c r="Q259" s="133"/>
      <c r="R259" s="133"/>
      <c r="S259" s="133"/>
      <c r="T259" s="133"/>
      <c r="U259" s="138"/>
      <c r="V259" s="133"/>
      <c r="W259" s="133"/>
      <c r="X259" s="133"/>
      <c r="Y259" s="133"/>
      <c r="Z259" s="132"/>
      <c r="AA259" s="133"/>
      <c r="AB259" s="133"/>
      <c r="AC259" s="133"/>
      <c r="AF259" s="289" t="s">
        <v>701</v>
      </c>
      <c r="AG259" s="290">
        <v>14.1</v>
      </c>
      <c r="AH259" s="293">
        <v>8.5</v>
      </c>
      <c r="AI259" s="292">
        <v>0.4</v>
      </c>
      <c r="AJ259" s="293">
        <v>8.11</v>
      </c>
      <c r="AK259" s="292">
        <v>0.685</v>
      </c>
      <c r="AL259" s="294">
        <v>1.08</v>
      </c>
    </row>
    <row r="260" spans="1:38" ht="12.75">
      <c r="A260" s="9"/>
      <c r="B260" s="9"/>
      <c r="C260" s="9"/>
      <c r="D260" s="9"/>
      <c r="E260" s="9"/>
      <c r="F260" s="9"/>
      <c r="G260" s="9"/>
      <c r="H260" s="9"/>
      <c r="I260" s="9"/>
      <c r="M260" s="132"/>
      <c r="N260" s="133"/>
      <c r="O260" s="133"/>
      <c r="P260" s="133"/>
      <c r="Q260" s="133"/>
      <c r="R260" s="133"/>
      <c r="S260" s="133"/>
      <c r="T260" s="133"/>
      <c r="U260" s="133"/>
      <c r="V260" s="133"/>
      <c r="W260" s="133"/>
      <c r="X260" s="133"/>
      <c r="Y260" s="133"/>
      <c r="Z260" s="133"/>
      <c r="AA260" s="132"/>
      <c r="AB260" s="133"/>
      <c r="AC260" s="133"/>
      <c r="AF260" s="289" t="s">
        <v>702</v>
      </c>
      <c r="AG260" s="290">
        <v>11.7</v>
      </c>
      <c r="AH260" s="293">
        <v>8.25</v>
      </c>
      <c r="AI260" s="292">
        <v>0.36</v>
      </c>
      <c r="AJ260" s="293">
        <v>8.07</v>
      </c>
      <c r="AK260" s="292">
        <v>0.56</v>
      </c>
      <c r="AL260" s="296">
        <v>0.954</v>
      </c>
    </row>
    <row r="261" spans="1:38" ht="12.75">
      <c r="A261" s="9"/>
      <c r="B261" s="9"/>
      <c r="C261" s="9"/>
      <c r="D261" s="9"/>
      <c r="E261" s="9"/>
      <c r="F261" s="9"/>
      <c r="G261" s="9"/>
      <c r="H261" s="9"/>
      <c r="I261" s="9"/>
      <c r="M261" s="132"/>
      <c r="N261" s="133"/>
      <c r="O261" s="133"/>
      <c r="P261" s="133"/>
      <c r="Q261" s="133"/>
      <c r="R261" s="138"/>
      <c r="S261" s="133"/>
      <c r="T261" s="133"/>
      <c r="U261" s="133"/>
      <c r="V261" s="133"/>
      <c r="W261" s="133"/>
      <c r="X261" s="133"/>
      <c r="Y261" s="133"/>
      <c r="Z261" s="133"/>
      <c r="AA261" s="133"/>
      <c r="AB261" s="133"/>
      <c r="AC261" s="133"/>
      <c r="AF261" s="289" t="s">
        <v>703</v>
      </c>
      <c r="AG261" s="290">
        <v>10.3</v>
      </c>
      <c r="AH261" s="293">
        <v>8.12</v>
      </c>
      <c r="AI261" s="292">
        <v>0.31</v>
      </c>
      <c r="AJ261" s="293">
        <v>8.02</v>
      </c>
      <c r="AK261" s="292">
        <v>0.495</v>
      </c>
      <c r="AL261" s="296">
        <v>0.889</v>
      </c>
    </row>
    <row r="262" spans="1:38" ht="12.75">
      <c r="A262" s="9"/>
      <c r="B262" s="9"/>
      <c r="C262" s="9"/>
      <c r="D262" s="9"/>
      <c r="E262" s="9"/>
      <c r="F262" s="9"/>
      <c r="G262" s="9"/>
      <c r="H262" s="9"/>
      <c r="I262" s="9"/>
      <c r="M262" s="366"/>
      <c r="N262" s="138"/>
      <c r="O262" s="138"/>
      <c r="P262" s="138"/>
      <c r="Q262" s="138"/>
      <c r="R262" s="138"/>
      <c r="S262" s="138"/>
      <c r="T262" s="138"/>
      <c r="U262" s="138"/>
      <c r="V262" s="138"/>
      <c r="W262" s="138"/>
      <c r="X262" s="138"/>
      <c r="Y262" s="138"/>
      <c r="Z262" s="138"/>
      <c r="AA262" s="138"/>
      <c r="AB262" s="138"/>
      <c r="AC262" s="138"/>
      <c r="AF262" s="289" t="s">
        <v>704</v>
      </c>
      <c r="AG262" s="297">
        <v>9.12</v>
      </c>
      <c r="AH262" s="293">
        <v>8</v>
      </c>
      <c r="AI262" s="292">
        <v>0.285</v>
      </c>
      <c r="AJ262" s="293">
        <v>8</v>
      </c>
      <c r="AK262" s="292">
        <v>0.435</v>
      </c>
      <c r="AL262" s="296">
        <v>0.829</v>
      </c>
    </row>
    <row r="263" spans="1:38" ht="12.75">
      <c r="A263" s="9"/>
      <c r="B263" s="9"/>
      <c r="C263" s="9"/>
      <c r="D263" s="9"/>
      <c r="E263" s="9"/>
      <c r="F263" s="9"/>
      <c r="G263" s="9"/>
      <c r="H263" s="9"/>
      <c r="I263" s="9"/>
      <c r="M263" s="36"/>
      <c r="N263" s="36"/>
      <c r="O263" s="36"/>
      <c r="P263" s="36"/>
      <c r="Q263" s="36"/>
      <c r="R263" s="36"/>
      <c r="S263" s="36"/>
      <c r="T263" s="36"/>
      <c r="U263" s="36"/>
      <c r="V263" s="36"/>
      <c r="W263" s="36"/>
      <c r="X263" s="36"/>
      <c r="Y263" s="36"/>
      <c r="Z263" s="36"/>
      <c r="AA263" s="36"/>
      <c r="AB263" s="36"/>
      <c r="AC263" s="36"/>
      <c r="AF263" s="289" t="s">
        <v>705</v>
      </c>
      <c r="AG263" s="297">
        <v>8.24</v>
      </c>
      <c r="AH263" s="293">
        <v>8.06</v>
      </c>
      <c r="AI263" s="292">
        <v>0.285</v>
      </c>
      <c r="AJ263" s="293">
        <v>6.54</v>
      </c>
      <c r="AK263" s="292">
        <v>0.465</v>
      </c>
      <c r="AL263" s="296">
        <v>0.859</v>
      </c>
    </row>
    <row r="264" spans="1:38" ht="12.75">
      <c r="A264" s="9"/>
      <c r="B264" s="9"/>
      <c r="C264" s="9"/>
      <c r="D264" s="9"/>
      <c r="E264" s="9"/>
      <c r="F264" s="9"/>
      <c r="G264" s="9"/>
      <c r="H264" s="9"/>
      <c r="I264" s="9"/>
      <c r="M264" s="355"/>
      <c r="N264" s="112"/>
      <c r="O264" s="362"/>
      <c r="P264" s="112"/>
      <c r="Q264" s="112"/>
      <c r="R264" s="112"/>
      <c r="S264" s="112"/>
      <c r="T264" s="112"/>
      <c r="U264" s="356"/>
      <c r="V264" s="112"/>
      <c r="W264" s="112"/>
      <c r="X264" s="112"/>
      <c r="Y264" s="112"/>
      <c r="Z264" s="112"/>
      <c r="AA264" s="112"/>
      <c r="AB264" s="112"/>
      <c r="AC264" s="112"/>
      <c r="AF264" s="289" t="s">
        <v>706</v>
      </c>
      <c r="AG264" s="297">
        <v>7.08</v>
      </c>
      <c r="AH264" s="293">
        <v>7.93</v>
      </c>
      <c r="AI264" s="292">
        <v>0.245</v>
      </c>
      <c r="AJ264" s="293">
        <v>6.5</v>
      </c>
      <c r="AK264" s="292">
        <v>0.4</v>
      </c>
      <c r="AL264" s="296">
        <v>0.794</v>
      </c>
    </row>
    <row r="265" spans="1:38" ht="12.75">
      <c r="A265" s="9"/>
      <c r="B265" s="9"/>
      <c r="C265" s="9"/>
      <c r="D265" s="9"/>
      <c r="E265" s="9"/>
      <c r="F265" s="9"/>
      <c r="G265" s="9"/>
      <c r="H265" s="9"/>
      <c r="I265" s="9"/>
      <c r="M265" s="357"/>
      <c r="N265" s="355"/>
      <c r="O265" s="362"/>
      <c r="P265" s="112"/>
      <c r="Q265" s="112"/>
      <c r="R265" s="112"/>
      <c r="S265" s="112"/>
      <c r="T265" s="355"/>
      <c r="U265" s="112"/>
      <c r="V265" s="112"/>
      <c r="W265" s="112"/>
      <c r="X265" s="112"/>
      <c r="Y265" s="362"/>
      <c r="Z265" s="112"/>
      <c r="AA265" s="112"/>
      <c r="AB265" s="362"/>
      <c r="AC265" s="112"/>
      <c r="AF265" s="289" t="s">
        <v>707</v>
      </c>
      <c r="AG265" s="297">
        <v>6.16</v>
      </c>
      <c r="AH265" s="293">
        <v>8.28</v>
      </c>
      <c r="AI265" s="292">
        <v>0.25</v>
      </c>
      <c r="AJ265" s="293">
        <v>5.27</v>
      </c>
      <c r="AK265" s="292">
        <v>0.4</v>
      </c>
      <c r="AL265" s="296">
        <v>0.7</v>
      </c>
    </row>
    <row r="266" spans="1:38" ht="12.75">
      <c r="A266" s="9"/>
      <c r="B266" s="9"/>
      <c r="C266" s="9"/>
      <c r="D266" s="9"/>
      <c r="E266" s="9"/>
      <c r="F266" s="9"/>
      <c r="G266" s="9"/>
      <c r="H266" s="9"/>
      <c r="I266" s="9"/>
      <c r="M266" s="363"/>
      <c r="N266" s="139"/>
      <c r="O266" s="139"/>
      <c r="P266" s="139"/>
      <c r="Q266" s="139"/>
      <c r="R266" s="139"/>
      <c r="S266" s="139"/>
      <c r="T266" s="139"/>
      <c r="U266" s="139"/>
      <c r="V266" s="139"/>
      <c r="W266" s="139"/>
      <c r="X266" s="139"/>
      <c r="Y266" s="139"/>
      <c r="Z266" s="139"/>
      <c r="AA266" s="139"/>
      <c r="AB266" s="139"/>
      <c r="AC266" s="139"/>
      <c r="AF266" s="289" t="s">
        <v>708</v>
      </c>
      <c r="AG266" s="297">
        <v>5.26</v>
      </c>
      <c r="AH266" s="293">
        <v>8.14</v>
      </c>
      <c r="AI266" s="292">
        <v>0.23</v>
      </c>
      <c r="AJ266" s="293">
        <v>5.25</v>
      </c>
      <c r="AK266" s="292">
        <v>0.33</v>
      </c>
      <c r="AL266" s="296">
        <v>0.63</v>
      </c>
    </row>
    <row r="267" spans="1:38" ht="12.75">
      <c r="A267" s="9"/>
      <c r="B267" s="9"/>
      <c r="C267" s="9"/>
      <c r="D267" s="9"/>
      <c r="E267" s="9"/>
      <c r="F267" s="9"/>
      <c r="G267" s="9"/>
      <c r="H267" s="9"/>
      <c r="I267" s="9"/>
      <c r="M267" s="132"/>
      <c r="N267" s="133"/>
      <c r="O267" s="133"/>
      <c r="P267" s="133"/>
      <c r="Q267" s="132"/>
      <c r="R267" s="133"/>
      <c r="S267" s="133"/>
      <c r="T267" s="133"/>
      <c r="U267" s="133"/>
      <c r="V267" s="133"/>
      <c r="W267" s="133"/>
      <c r="X267" s="132"/>
      <c r="Y267" s="133"/>
      <c r="Z267" s="133"/>
      <c r="AA267" s="133"/>
      <c r="AB267" s="133"/>
      <c r="AC267" s="133"/>
      <c r="AF267" s="289" t="s">
        <v>709</v>
      </c>
      <c r="AG267" s="297">
        <v>4.44</v>
      </c>
      <c r="AH267" s="293">
        <v>8.11</v>
      </c>
      <c r="AI267" s="292">
        <v>0.245</v>
      </c>
      <c r="AJ267" s="293">
        <v>4.01</v>
      </c>
      <c r="AK267" s="292">
        <v>0.315</v>
      </c>
      <c r="AL267" s="296">
        <v>0.615</v>
      </c>
    </row>
    <row r="268" spans="1:38" ht="12.75">
      <c r="A268" s="9"/>
      <c r="B268" s="9"/>
      <c r="C268" s="9"/>
      <c r="D268" s="9"/>
      <c r="E268" s="9"/>
      <c r="F268" s="9"/>
      <c r="G268" s="9"/>
      <c r="H268" s="9"/>
      <c r="I268" s="9"/>
      <c r="M268" s="138"/>
      <c r="N268" s="133"/>
      <c r="O268" s="133"/>
      <c r="P268" s="133"/>
      <c r="Q268" s="132"/>
      <c r="R268" s="133"/>
      <c r="S268" s="133"/>
      <c r="T268" s="133"/>
      <c r="U268" s="133"/>
      <c r="V268" s="133"/>
      <c r="W268" s="133"/>
      <c r="X268" s="133"/>
      <c r="Y268" s="133"/>
      <c r="Z268" s="133"/>
      <c r="AA268" s="133"/>
      <c r="AB268" s="133"/>
      <c r="AC268" s="133"/>
      <c r="AF268" s="289" t="s">
        <v>710</v>
      </c>
      <c r="AG268" s="297">
        <v>3.84</v>
      </c>
      <c r="AH268" s="293">
        <v>7.99</v>
      </c>
      <c r="AI268" s="292">
        <v>0.23</v>
      </c>
      <c r="AJ268" s="293">
        <v>4</v>
      </c>
      <c r="AK268" s="292">
        <v>0.255</v>
      </c>
      <c r="AL268" s="296">
        <v>0.555</v>
      </c>
    </row>
    <row r="269" spans="1:38" ht="12.75">
      <c r="A269" s="9"/>
      <c r="B269" s="9"/>
      <c r="C269" s="9"/>
      <c r="D269" s="9"/>
      <c r="E269" s="9"/>
      <c r="F269" s="9"/>
      <c r="G269" s="9"/>
      <c r="H269" s="9"/>
      <c r="I269" s="9"/>
      <c r="M269" s="138"/>
      <c r="N269" s="133"/>
      <c r="O269" s="133"/>
      <c r="P269" s="133"/>
      <c r="Q269" s="133"/>
      <c r="R269" s="133"/>
      <c r="S269" s="133"/>
      <c r="T269" s="132"/>
      <c r="U269" s="133"/>
      <c r="V269" s="133"/>
      <c r="W269" s="132"/>
      <c r="X269" s="133"/>
      <c r="Y269" s="133"/>
      <c r="Z269" s="133"/>
      <c r="AA269" s="133"/>
      <c r="AB269" s="133"/>
      <c r="AC269" s="133"/>
      <c r="AF269" s="289" t="s">
        <v>711</v>
      </c>
      <c r="AG269" s="297">
        <v>2.96</v>
      </c>
      <c r="AH269" s="293">
        <v>7.89</v>
      </c>
      <c r="AI269" s="292">
        <v>0.17</v>
      </c>
      <c r="AJ269" s="293">
        <v>3.94</v>
      </c>
      <c r="AK269" s="292">
        <v>0.205</v>
      </c>
      <c r="AL269" s="296">
        <v>0.505</v>
      </c>
    </row>
    <row r="270" spans="1:38" ht="12.75">
      <c r="A270" s="9"/>
      <c r="B270" s="9"/>
      <c r="C270" s="9"/>
      <c r="D270" s="9"/>
      <c r="E270" s="9"/>
      <c r="F270" s="9"/>
      <c r="G270" s="9"/>
      <c r="H270" s="9"/>
      <c r="I270" s="9"/>
      <c r="M270" s="138"/>
      <c r="N270" s="133"/>
      <c r="O270" s="133"/>
      <c r="P270" s="133"/>
      <c r="Q270" s="133"/>
      <c r="R270" s="132"/>
      <c r="S270" s="133"/>
      <c r="T270" s="133"/>
      <c r="U270" s="133"/>
      <c r="V270" s="133"/>
      <c r="W270" s="133"/>
      <c r="X270" s="133"/>
      <c r="Y270" s="133"/>
      <c r="Z270" s="133"/>
      <c r="AA270" s="133"/>
      <c r="AB270" s="133"/>
      <c r="AC270" s="365"/>
      <c r="AF270" s="289" t="s">
        <v>712</v>
      </c>
      <c r="AG270" s="297">
        <v>7.34</v>
      </c>
      <c r="AH270" s="293">
        <v>6.38</v>
      </c>
      <c r="AI270" s="292">
        <v>0.32</v>
      </c>
      <c r="AJ270" s="293">
        <v>6.08</v>
      </c>
      <c r="AK270" s="292">
        <v>0.455</v>
      </c>
      <c r="AL270" s="296">
        <v>0.705</v>
      </c>
    </row>
    <row r="271" spans="1:38" ht="12.75">
      <c r="A271" s="9"/>
      <c r="B271" s="9"/>
      <c r="C271" s="9"/>
      <c r="D271" s="9"/>
      <c r="E271" s="9"/>
      <c r="F271" s="9"/>
      <c r="G271" s="9"/>
      <c r="H271" s="9"/>
      <c r="I271" s="9"/>
      <c r="M271" s="138"/>
      <c r="N271" s="133"/>
      <c r="O271" s="133"/>
      <c r="P271" s="133"/>
      <c r="Q271" s="133"/>
      <c r="R271" s="133"/>
      <c r="S271" s="133"/>
      <c r="T271" s="133"/>
      <c r="U271" s="133"/>
      <c r="V271" s="133"/>
      <c r="W271" s="133"/>
      <c r="X271" s="133"/>
      <c r="Y271" s="133"/>
      <c r="Z271" s="133"/>
      <c r="AA271" s="133"/>
      <c r="AB271" s="133"/>
      <c r="AC271" s="133"/>
      <c r="AF271" s="289" t="s">
        <v>713</v>
      </c>
      <c r="AG271" s="297">
        <v>5.87</v>
      </c>
      <c r="AH271" s="293">
        <v>6.2</v>
      </c>
      <c r="AI271" s="292">
        <v>0.26</v>
      </c>
      <c r="AJ271" s="293">
        <v>6.02</v>
      </c>
      <c r="AK271" s="292">
        <v>0.365</v>
      </c>
      <c r="AL271" s="296">
        <v>0.615</v>
      </c>
    </row>
    <row r="272" spans="1:38" ht="12.75">
      <c r="A272" s="9"/>
      <c r="B272" s="9"/>
      <c r="C272" s="9"/>
      <c r="D272" s="9"/>
      <c r="E272" s="9"/>
      <c r="F272" s="9"/>
      <c r="G272" s="9"/>
      <c r="H272" s="9"/>
      <c r="I272" s="9"/>
      <c r="M272" s="138"/>
      <c r="N272" s="133"/>
      <c r="O272" s="133"/>
      <c r="P272" s="133"/>
      <c r="Q272" s="133"/>
      <c r="R272" s="133"/>
      <c r="S272" s="133"/>
      <c r="T272" s="133"/>
      <c r="U272" s="132"/>
      <c r="V272" s="133"/>
      <c r="W272" s="133"/>
      <c r="X272" s="133"/>
      <c r="Y272" s="133"/>
      <c r="Z272" s="132"/>
      <c r="AA272" s="132"/>
      <c r="AB272" s="133"/>
      <c r="AC272" s="365"/>
      <c r="AF272" s="289" t="s">
        <v>714</v>
      </c>
      <c r="AG272" s="297">
        <v>4.43</v>
      </c>
      <c r="AH272" s="293">
        <v>5.99</v>
      </c>
      <c r="AI272" s="292">
        <v>0.23</v>
      </c>
      <c r="AJ272" s="293">
        <v>5.99</v>
      </c>
      <c r="AK272" s="292">
        <v>0.26</v>
      </c>
      <c r="AL272" s="296">
        <v>0.51</v>
      </c>
    </row>
    <row r="273" spans="1:38" ht="12.75">
      <c r="A273" s="9"/>
      <c r="B273" s="9"/>
      <c r="C273" s="9"/>
      <c r="D273" s="9"/>
      <c r="E273" s="9"/>
      <c r="F273" s="9"/>
      <c r="G273" s="9"/>
      <c r="H273" s="9"/>
      <c r="I273" s="9"/>
      <c r="M273" s="138"/>
      <c r="N273" s="133"/>
      <c r="O273" s="133"/>
      <c r="P273" s="133"/>
      <c r="Q273" s="133"/>
      <c r="R273" s="133"/>
      <c r="S273" s="133"/>
      <c r="T273" s="133"/>
      <c r="U273" s="133"/>
      <c r="V273" s="132"/>
      <c r="W273" s="133"/>
      <c r="X273" s="133"/>
      <c r="Y273" s="132"/>
      <c r="Z273" s="133"/>
      <c r="AA273" s="133"/>
      <c r="AB273" s="133"/>
      <c r="AC273" s="133"/>
      <c r="AF273" s="289" t="s">
        <v>715</v>
      </c>
      <c r="AG273" s="297">
        <v>4.74</v>
      </c>
      <c r="AH273" s="293">
        <v>6.28</v>
      </c>
      <c r="AI273" s="292">
        <v>0.26</v>
      </c>
      <c r="AJ273" s="293">
        <v>4.03</v>
      </c>
      <c r="AK273" s="292">
        <v>0.405</v>
      </c>
      <c r="AL273" s="296">
        <v>0.655</v>
      </c>
    </row>
    <row r="274" spans="1:38" ht="12.75">
      <c r="A274" s="9"/>
      <c r="B274" s="9"/>
      <c r="C274" s="9"/>
      <c r="D274" s="9"/>
      <c r="E274" s="9"/>
      <c r="F274" s="9"/>
      <c r="G274" s="9"/>
      <c r="H274" s="9"/>
      <c r="I274" s="9"/>
      <c r="M274" s="138"/>
      <c r="N274" s="133"/>
      <c r="O274" s="133"/>
      <c r="P274" s="133"/>
      <c r="Q274" s="133"/>
      <c r="R274" s="133"/>
      <c r="S274" s="133"/>
      <c r="T274" s="133"/>
      <c r="U274" s="132"/>
      <c r="V274" s="132"/>
      <c r="W274" s="132"/>
      <c r="X274" s="133"/>
      <c r="Y274" s="133"/>
      <c r="Z274" s="133"/>
      <c r="AA274" s="133"/>
      <c r="AB274" s="132"/>
      <c r="AC274" s="133"/>
      <c r="AF274" s="289" t="s">
        <v>716</v>
      </c>
      <c r="AG274" s="297">
        <v>3.55</v>
      </c>
      <c r="AH274" s="293">
        <v>6.03</v>
      </c>
      <c r="AI274" s="292">
        <v>0.23</v>
      </c>
      <c r="AJ274" s="293">
        <v>4</v>
      </c>
      <c r="AK274" s="292">
        <v>0.28</v>
      </c>
      <c r="AL274" s="296">
        <v>0.53</v>
      </c>
    </row>
    <row r="275" spans="1:38" ht="12.75">
      <c r="A275" s="9"/>
      <c r="B275" s="9"/>
      <c r="C275" s="9"/>
      <c r="D275" s="9"/>
      <c r="E275" s="9"/>
      <c r="F275" s="9"/>
      <c r="G275" s="9"/>
      <c r="H275" s="9"/>
      <c r="I275" s="9"/>
      <c r="M275" s="138"/>
      <c r="N275" s="133"/>
      <c r="O275" s="133"/>
      <c r="P275" s="133"/>
      <c r="Q275" s="133"/>
      <c r="R275" s="133"/>
      <c r="S275" s="133"/>
      <c r="T275" s="133"/>
      <c r="U275" s="132"/>
      <c r="V275" s="133"/>
      <c r="W275" s="133"/>
      <c r="X275" s="133"/>
      <c r="Y275" s="133"/>
      <c r="Z275" s="133"/>
      <c r="AA275" s="133"/>
      <c r="AB275" s="133"/>
      <c r="AC275" s="133"/>
      <c r="AF275" s="289" t="s">
        <v>717</v>
      </c>
      <c r="AG275" s="297">
        <v>2.68</v>
      </c>
      <c r="AH275" s="293">
        <v>5.9</v>
      </c>
      <c r="AI275" s="292">
        <v>0.17</v>
      </c>
      <c r="AJ275" s="293">
        <v>3.94</v>
      </c>
      <c r="AK275" s="292">
        <v>0.215</v>
      </c>
      <c r="AL275" s="296">
        <v>0.465</v>
      </c>
    </row>
    <row r="276" spans="1:38" ht="12.75">
      <c r="A276" s="9"/>
      <c r="B276" s="9"/>
      <c r="C276" s="9"/>
      <c r="D276" s="9"/>
      <c r="E276" s="9"/>
      <c r="F276" s="9"/>
      <c r="G276" s="9"/>
      <c r="H276" s="9"/>
      <c r="I276" s="9"/>
      <c r="M276" s="138"/>
      <c r="N276" s="133"/>
      <c r="O276" s="133"/>
      <c r="P276" s="133"/>
      <c r="Q276" s="133"/>
      <c r="R276" s="133"/>
      <c r="S276" s="133"/>
      <c r="T276" s="133"/>
      <c r="U276" s="133"/>
      <c r="V276" s="132"/>
      <c r="W276" s="133"/>
      <c r="X276" s="133"/>
      <c r="Y276" s="133"/>
      <c r="Z276" s="133"/>
      <c r="AA276" s="133"/>
      <c r="AB276" s="133"/>
      <c r="AC276" s="133"/>
      <c r="AF276" s="289" t="s">
        <v>718</v>
      </c>
      <c r="AG276" s="297">
        <v>2.52</v>
      </c>
      <c r="AH276" s="293">
        <v>5.83</v>
      </c>
      <c r="AI276" s="292">
        <v>0.17</v>
      </c>
      <c r="AJ276" s="293">
        <v>3.94</v>
      </c>
      <c r="AK276" s="292">
        <v>0.195</v>
      </c>
      <c r="AL276" s="296">
        <v>0.445</v>
      </c>
    </row>
    <row r="277" spans="1:38" ht="12.75">
      <c r="A277" s="9"/>
      <c r="B277" s="9"/>
      <c r="C277" s="9"/>
      <c r="D277" s="9"/>
      <c r="E277" s="9"/>
      <c r="F277" s="9"/>
      <c r="G277" s="9"/>
      <c r="H277" s="9"/>
      <c r="I277" s="9"/>
      <c r="M277" s="138"/>
      <c r="N277" s="133"/>
      <c r="O277" s="133"/>
      <c r="P277" s="133"/>
      <c r="Q277" s="133"/>
      <c r="R277" s="133"/>
      <c r="S277" s="133"/>
      <c r="T277" s="132"/>
      <c r="U277" s="133"/>
      <c r="V277" s="132"/>
      <c r="W277" s="133"/>
      <c r="X277" s="133"/>
      <c r="Y277" s="133"/>
      <c r="Z277" s="133"/>
      <c r="AA277" s="133"/>
      <c r="AB277" s="133"/>
      <c r="AC277" s="132"/>
      <c r="AF277" s="289" t="s">
        <v>719</v>
      </c>
      <c r="AG277" s="297">
        <v>5.56</v>
      </c>
      <c r="AH277" s="293">
        <v>5.15</v>
      </c>
      <c r="AI277" s="292">
        <v>0.27</v>
      </c>
      <c r="AJ277" s="293">
        <v>5.03</v>
      </c>
      <c r="AK277" s="292">
        <v>0.43</v>
      </c>
      <c r="AL277" s="296">
        <v>0.73</v>
      </c>
    </row>
    <row r="278" spans="1:38" ht="12.75">
      <c r="A278" s="9"/>
      <c r="B278" s="9"/>
      <c r="C278" s="9"/>
      <c r="D278" s="9"/>
      <c r="E278" s="9"/>
      <c r="F278" s="9"/>
      <c r="G278" s="9"/>
      <c r="H278" s="9"/>
      <c r="I278" s="9"/>
      <c r="M278" s="138"/>
      <c r="N278" s="133"/>
      <c r="O278" s="133"/>
      <c r="P278" s="133"/>
      <c r="Q278" s="133"/>
      <c r="R278" s="133"/>
      <c r="S278" s="133"/>
      <c r="T278" s="133"/>
      <c r="U278" s="133"/>
      <c r="V278" s="133"/>
      <c r="W278" s="133"/>
      <c r="X278" s="133"/>
      <c r="Y278" s="133"/>
      <c r="Z278" s="133"/>
      <c r="AA278" s="132"/>
      <c r="AB278" s="133"/>
      <c r="AC278" s="132"/>
      <c r="AF278" s="289" t="s">
        <v>720</v>
      </c>
      <c r="AG278" s="297">
        <v>4.71</v>
      </c>
      <c r="AH278" s="293">
        <v>5.01</v>
      </c>
      <c r="AI278" s="292">
        <v>0.24</v>
      </c>
      <c r="AJ278" s="293">
        <v>5</v>
      </c>
      <c r="AK278" s="292">
        <v>0.36</v>
      </c>
      <c r="AL278" s="296">
        <v>0.66</v>
      </c>
    </row>
    <row r="279" spans="1:38" ht="12.75">
      <c r="A279" s="9"/>
      <c r="B279" s="9"/>
      <c r="C279" s="9"/>
      <c r="D279" s="9"/>
      <c r="E279" s="9"/>
      <c r="F279" s="9"/>
      <c r="G279" s="9"/>
      <c r="H279" s="9"/>
      <c r="I279" s="9"/>
      <c r="M279" s="132"/>
      <c r="N279" s="133"/>
      <c r="O279" s="133"/>
      <c r="P279" s="132"/>
      <c r="Q279" s="133"/>
      <c r="R279" s="133"/>
      <c r="S279" s="133"/>
      <c r="T279" s="133"/>
      <c r="U279" s="133"/>
      <c r="V279" s="133"/>
      <c r="W279" s="133"/>
      <c r="X279" s="133"/>
      <c r="Y279" s="133"/>
      <c r="Z279" s="133"/>
      <c r="AA279" s="133"/>
      <c r="AB279" s="133"/>
      <c r="AC279" s="133"/>
      <c r="AF279" s="298" t="s">
        <v>721</v>
      </c>
      <c r="AG279" s="299">
        <v>3.83</v>
      </c>
      <c r="AH279" s="300">
        <v>4.16</v>
      </c>
      <c r="AI279" s="301">
        <v>0.28</v>
      </c>
      <c r="AJ279" s="300">
        <v>4.06</v>
      </c>
      <c r="AK279" s="301">
        <v>0.345</v>
      </c>
      <c r="AL279" s="302">
        <v>0.595</v>
      </c>
    </row>
    <row r="280" spans="1:38" ht="12.75">
      <c r="A280" s="9"/>
      <c r="B280" s="9"/>
      <c r="C280" s="9"/>
      <c r="D280" s="9"/>
      <c r="E280" s="9"/>
      <c r="F280" s="9"/>
      <c r="G280" s="9"/>
      <c r="H280" s="9"/>
      <c r="I280" s="9"/>
      <c r="M280" s="132"/>
      <c r="N280" s="133"/>
      <c r="O280" s="133"/>
      <c r="P280" s="133"/>
      <c r="Q280" s="133"/>
      <c r="R280" s="133"/>
      <c r="S280" s="133"/>
      <c r="T280" s="133"/>
      <c r="U280" s="133"/>
      <c r="V280" s="133"/>
      <c r="W280" s="133"/>
      <c r="X280" s="133"/>
      <c r="Y280" s="133"/>
      <c r="Z280" s="133"/>
      <c r="AA280" s="133"/>
      <c r="AB280" s="133"/>
      <c r="AC280" s="133"/>
      <c r="AF280" s="303" t="s">
        <v>722</v>
      </c>
      <c r="AG280" s="304">
        <v>3.63</v>
      </c>
      <c r="AH280" s="305">
        <v>12.5</v>
      </c>
      <c r="AI280" s="306">
        <v>0.155</v>
      </c>
      <c r="AJ280" s="307">
        <v>3.75</v>
      </c>
      <c r="AK280" s="306">
        <v>0.228</v>
      </c>
      <c r="AL280" s="308">
        <v>0.563</v>
      </c>
    </row>
    <row r="281" spans="1:38" ht="12.75">
      <c r="A281" s="9"/>
      <c r="B281" s="9"/>
      <c r="C281" s="9"/>
      <c r="D281" s="9"/>
      <c r="E281" s="9"/>
      <c r="F281" s="9"/>
      <c r="G281" s="9"/>
      <c r="H281" s="9"/>
      <c r="I281" s="9"/>
      <c r="M281" s="132"/>
      <c r="N281" s="133"/>
      <c r="O281" s="133"/>
      <c r="P281" s="133"/>
      <c r="Q281" s="133"/>
      <c r="R281" s="133"/>
      <c r="S281" s="133"/>
      <c r="T281" s="133"/>
      <c r="U281" s="133"/>
      <c r="V281" s="133"/>
      <c r="W281" s="133"/>
      <c r="X281" s="133"/>
      <c r="Y281" s="133"/>
      <c r="Z281" s="133"/>
      <c r="AA281" s="133"/>
      <c r="AB281" s="132"/>
      <c r="AC281" s="133"/>
      <c r="AF281" s="289" t="s">
        <v>723</v>
      </c>
      <c r="AG281" s="297">
        <v>3.4</v>
      </c>
      <c r="AH281" s="291">
        <v>12.5</v>
      </c>
      <c r="AI281" s="292">
        <v>0.155</v>
      </c>
      <c r="AJ281" s="293">
        <v>3.5</v>
      </c>
      <c r="AK281" s="292">
        <v>0.211</v>
      </c>
      <c r="AL281" s="309">
        <v>0.563</v>
      </c>
    </row>
    <row r="282" spans="1:38" ht="12.75">
      <c r="A282" s="9"/>
      <c r="B282" s="9"/>
      <c r="C282" s="9"/>
      <c r="D282" s="9"/>
      <c r="E282" s="9"/>
      <c r="F282" s="9"/>
      <c r="G282" s="9"/>
      <c r="H282" s="9"/>
      <c r="I282" s="9"/>
      <c r="M282" s="132"/>
      <c r="N282" s="133"/>
      <c r="O282" s="133"/>
      <c r="P282" s="133"/>
      <c r="Q282" s="133"/>
      <c r="R282" s="133"/>
      <c r="S282" s="133"/>
      <c r="T282" s="133"/>
      <c r="U282" s="133"/>
      <c r="V282" s="133"/>
      <c r="W282" s="133"/>
      <c r="X282" s="133"/>
      <c r="Y282" s="133"/>
      <c r="Z282" s="133"/>
      <c r="AA282" s="133"/>
      <c r="AB282" s="133"/>
      <c r="AC282" s="133"/>
      <c r="AF282" s="289" t="s">
        <v>724</v>
      </c>
      <c r="AG282" s="297">
        <v>3.47</v>
      </c>
      <c r="AH282" s="291">
        <v>12</v>
      </c>
      <c r="AI282" s="292">
        <v>0.177</v>
      </c>
      <c r="AJ282" s="293">
        <v>3.07</v>
      </c>
      <c r="AK282" s="292">
        <v>0.225</v>
      </c>
      <c r="AL282" s="309">
        <v>0.563</v>
      </c>
    </row>
    <row r="283" spans="1:38" ht="12.75">
      <c r="A283" s="9"/>
      <c r="B283" s="9"/>
      <c r="C283" s="9"/>
      <c r="D283" s="9"/>
      <c r="E283" s="9"/>
      <c r="F283" s="9"/>
      <c r="G283" s="9"/>
      <c r="H283" s="9"/>
      <c r="I283" s="9"/>
      <c r="M283" s="132"/>
      <c r="N283" s="133"/>
      <c r="O283" s="138"/>
      <c r="P283" s="133"/>
      <c r="Q283" s="133"/>
      <c r="R283" s="133"/>
      <c r="S283" s="133"/>
      <c r="T283" s="133"/>
      <c r="U283" s="133"/>
      <c r="V283" s="133"/>
      <c r="W283" s="133"/>
      <c r="X283" s="133"/>
      <c r="Y283" s="133"/>
      <c r="Z283" s="133"/>
      <c r="AA283" s="133"/>
      <c r="AB283" s="133"/>
      <c r="AC283" s="132"/>
      <c r="AF283" s="289" t="s">
        <v>725</v>
      </c>
      <c r="AG283" s="297">
        <v>3.18</v>
      </c>
      <c r="AH283" s="291">
        <v>12</v>
      </c>
      <c r="AI283" s="292">
        <v>0.16</v>
      </c>
      <c r="AJ283" s="293">
        <v>3.07</v>
      </c>
      <c r="AK283" s="292">
        <v>0.21</v>
      </c>
      <c r="AL283" s="309">
        <v>0.563</v>
      </c>
    </row>
    <row r="284" spans="1:38" ht="12.75">
      <c r="A284" s="9"/>
      <c r="B284" s="9"/>
      <c r="C284" s="9"/>
      <c r="D284" s="9"/>
      <c r="E284" s="9"/>
      <c r="F284" s="9"/>
      <c r="G284" s="9"/>
      <c r="H284" s="9"/>
      <c r="I284" s="9"/>
      <c r="M284" s="132"/>
      <c r="N284" s="133"/>
      <c r="O284" s="133"/>
      <c r="P284" s="133"/>
      <c r="Q284" s="133"/>
      <c r="R284" s="133"/>
      <c r="S284" s="133"/>
      <c r="T284" s="133"/>
      <c r="U284" s="133"/>
      <c r="V284" s="133"/>
      <c r="W284" s="133"/>
      <c r="X284" s="133"/>
      <c r="Y284" s="133"/>
      <c r="Z284" s="133"/>
      <c r="AA284" s="133"/>
      <c r="AB284" s="133"/>
      <c r="AC284" s="133"/>
      <c r="AF284" s="289" t="s">
        <v>726</v>
      </c>
      <c r="AG284" s="297">
        <v>2.95</v>
      </c>
      <c r="AH284" s="291">
        <v>12</v>
      </c>
      <c r="AI284" s="292">
        <v>0.149</v>
      </c>
      <c r="AJ284" s="293">
        <v>3.25</v>
      </c>
      <c r="AK284" s="292">
        <v>0.18</v>
      </c>
      <c r="AL284" s="309">
        <v>0.5</v>
      </c>
    </row>
    <row r="285" spans="1:38" ht="12.75">
      <c r="A285" s="9"/>
      <c r="B285" s="9"/>
      <c r="C285" s="9"/>
      <c r="D285" s="9"/>
      <c r="E285" s="9"/>
      <c r="F285" s="9"/>
      <c r="G285" s="9"/>
      <c r="H285" s="9"/>
      <c r="I285" s="9"/>
      <c r="M285" s="132"/>
      <c r="N285" s="368"/>
      <c r="O285" s="133"/>
      <c r="P285" s="133"/>
      <c r="Q285" s="133"/>
      <c r="R285" s="133"/>
      <c r="S285" s="133"/>
      <c r="T285" s="133"/>
      <c r="U285" s="133"/>
      <c r="V285" s="132"/>
      <c r="W285" s="133"/>
      <c r="X285" s="132"/>
      <c r="Y285" s="133"/>
      <c r="Z285" s="133"/>
      <c r="AA285" s="133"/>
      <c r="AB285" s="133"/>
      <c r="AC285" s="133"/>
      <c r="AF285" s="289" t="s">
        <v>727</v>
      </c>
      <c r="AG285" s="297">
        <v>2.65</v>
      </c>
      <c r="AH285" s="291">
        <v>10</v>
      </c>
      <c r="AI285" s="292">
        <v>0.157</v>
      </c>
      <c r="AJ285" s="293">
        <v>2.69</v>
      </c>
      <c r="AK285" s="292">
        <v>0.206</v>
      </c>
      <c r="AL285" s="309">
        <v>0.563</v>
      </c>
    </row>
    <row r="286" spans="1:38" ht="12.75">
      <c r="A286" s="9"/>
      <c r="B286" s="9"/>
      <c r="C286" s="9"/>
      <c r="D286" s="9"/>
      <c r="E286" s="9"/>
      <c r="F286" s="9"/>
      <c r="G286" s="9"/>
      <c r="H286" s="9"/>
      <c r="I286" s="9"/>
      <c r="M286" s="132"/>
      <c r="N286" s="133"/>
      <c r="O286" s="133"/>
      <c r="P286" s="133"/>
      <c r="Q286" s="138"/>
      <c r="R286" s="133"/>
      <c r="S286" s="133"/>
      <c r="T286" s="133"/>
      <c r="U286" s="133"/>
      <c r="V286" s="132"/>
      <c r="W286" s="133"/>
      <c r="X286" s="133"/>
      <c r="Y286" s="132"/>
      <c r="Z286" s="133"/>
      <c r="AA286" s="133"/>
      <c r="AB286" s="133"/>
      <c r="AC286" s="133"/>
      <c r="AF286" s="289" t="s">
        <v>728</v>
      </c>
      <c r="AG286" s="297">
        <v>2.37</v>
      </c>
      <c r="AH286" s="291">
        <v>10</v>
      </c>
      <c r="AI286" s="292">
        <v>0.141</v>
      </c>
      <c r="AJ286" s="293">
        <v>2.69</v>
      </c>
      <c r="AK286" s="292">
        <v>0.182</v>
      </c>
      <c r="AL286" s="309">
        <v>0.563</v>
      </c>
    </row>
    <row r="287" spans="1:38" ht="12.75">
      <c r="A287" s="9"/>
      <c r="B287" s="9"/>
      <c r="C287" s="9"/>
      <c r="D287" s="9"/>
      <c r="E287" s="9"/>
      <c r="F287" s="9"/>
      <c r="G287" s="9"/>
      <c r="H287" s="9"/>
      <c r="I287" s="9"/>
      <c r="M287" s="132"/>
      <c r="N287" s="133"/>
      <c r="O287" s="138"/>
      <c r="P287" s="133"/>
      <c r="Q287" s="133"/>
      <c r="R287" s="133"/>
      <c r="S287" s="133"/>
      <c r="T287" s="133"/>
      <c r="U287" s="138"/>
      <c r="V287" s="133"/>
      <c r="W287" s="133"/>
      <c r="X287" s="133"/>
      <c r="Y287" s="133"/>
      <c r="Z287" s="132"/>
      <c r="AA287" s="133"/>
      <c r="AB287" s="133"/>
      <c r="AC287" s="133"/>
      <c r="AF287" s="289" t="s">
        <v>729</v>
      </c>
      <c r="AG287" s="297">
        <v>2.22</v>
      </c>
      <c r="AH287" s="291">
        <v>10</v>
      </c>
      <c r="AI287" s="292">
        <v>0.13</v>
      </c>
      <c r="AJ287" s="293">
        <v>2.69</v>
      </c>
      <c r="AK287" s="292">
        <v>0.173</v>
      </c>
      <c r="AL287" s="309">
        <v>0.438</v>
      </c>
    </row>
    <row r="288" spans="1:38" ht="12.75">
      <c r="A288" s="9"/>
      <c r="B288" s="9"/>
      <c r="C288" s="9"/>
      <c r="D288" s="9"/>
      <c r="E288" s="9"/>
      <c r="F288" s="9"/>
      <c r="G288" s="9"/>
      <c r="H288" s="9"/>
      <c r="I288" s="9"/>
      <c r="M288" s="132"/>
      <c r="N288" s="133"/>
      <c r="O288" s="133"/>
      <c r="P288" s="133"/>
      <c r="Q288" s="133"/>
      <c r="R288" s="133"/>
      <c r="S288" s="133"/>
      <c r="T288" s="133"/>
      <c r="U288" s="133"/>
      <c r="V288" s="133"/>
      <c r="W288" s="133"/>
      <c r="X288" s="133"/>
      <c r="Y288" s="133"/>
      <c r="Z288" s="133"/>
      <c r="AA288" s="132"/>
      <c r="AB288" s="133"/>
      <c r="AC288" s="133"/>
      <c r="AF288" s="289" t="s">
        <v>730</v>
      </c>
      <c r="AG288" s="297">
        <v>1.92</v>
      </c>
      <c r="AH288" s="293">
        <v>8</v>
      </c>
      <c r="AI288" s="292">
        <v>0.135</v>
      </c>
      <c r="AJ288" s="293">
        <v>2.28</v>
      </c>
      <c r="AK288" s="292">
        <v>0.189</v>
      </c>
      <c r="AL288" s="309">
        <v>0.563</v>
      </c>
    </row>
    <row r="289" spans="1:38" ht="12.75">
      <c r="A289" s="9"/>
      <c r="B289" s="9"/>
      <c r="C289" s="9"/>
      <c r="D289" s="9"/>
      <c r="E289" s="9"/>
      <c r="F289" s="9"/>
      <c r="G289" s="9"/>
      <c r="H289" s="9"/>
      <c r="I289" s="9"/>
      <c r="M289" s="132"/>
      <c r="N289" s="133"/>
      <c r="O289" s="133"/>
      <c r="P289" s="133"/>
      <c r="Q289" s="133"/>
      <c r="R289" s="138"/>
      <c r="S289" s="133"/>
      <c r="T289" s="133"/>
      <c r="U289" s="133"/>
      <c r="V289" s="133"/>
      <c r="W289" s="133"/>
      <c r="X289" s="133"/>
      <c r="Y289" s="133"/>
      <c r="Z289" s="133"/>
      <c r="AA289" s="133"/>
      <c r="AB289" s="133"/>
      <c r="AC289" s="133"/>
      <c r="AF289" s="289" t="s">
        <v>731</v>
      </c>
      <c r="AG289" s="297">
        <v>1.82</v>
      </c>
      <c r="AH289" s="293">
        <v>8</v>
      </c>
      <c r="AI289" s="292">
        <v>0.129</v>
      </c>
      <c r="AJ289" s="293">
        <v>2.28</v>
      </c>
      <c r="AK289" s="292">
        <v>0.177</v>
      </c>
      <c r="AL289" s="309">
        <v>0.438</v>
      </c>
    </row>
    <row r="290" spans="1:38" ht="12.75">
      <c r="A290" s="9"/>
      <c r="B290" s="9"/>
      <c r="C290" s="9"/>
      <c r="D290" s="9"/>
      <c r="E290" s="9"/>
      <c r="F290" s="9"/>
      <c r="G290" s="9"/>
      <c r="H290" s="9"/>
      <c r="I290" s="9"/>
      <c r="M290" s="366"/>
      <c r="N290" s="138"/>
      <c r="O290" s="138"/>
      <c r="P290" s="138"/>
      <c r="Q290" s="138"/>
      <c r="R290" s="138"/>
      <c r="S290" s="138"/>
      <c r="T290" s="138"/>
      <c r="U290" s="138"/>
      <c r="V290" s="138"/>
      <c r="W290" s="138"/>
      <c r="X290" s="138"/>
      <c r="Y290" s="138"/>
      <c r="Z290" s="138"/>
      <c r="AA290" s="138"/>
      <c r="AB290" s="138"/>
      <c r="AC290" s="138"/>
      <c r="AF290" s="289" t="s">
        <v>732</v>
      </c>
      <c r="AG290" s="297">
        <v>1.29</v>
      </c>
      <c r="AH290" s="293">
        <v>6</v>
      </c>
      <c r="AI290" s="292">
        <v>0.114</v>
      </c>
      <c r="AJ290" s="293">
        <v>1.84</v>
      </c>
      <c r="AK290" s="292">
        <v>0.171</v>
      </c>
      <c r="AL290" s="309">
        <v>0.375</v>
      </c>
    </row>
    <row r="291" spans="1:38" ht="12.75">
      <c r="A291" s="9"/>
      <c r="B291" s="9"/>
      <c r="C291" s="9"/>
      <c r="D291" s="9"/>
      <c r="E291" s="9"/>
      <c r="F291" s="9"/>
      <c r="G291" s="9"/>
      <c r="H291" s="9"/>
      <c r="I291" s="9"/>
      <c r="AF291" s="289" t="s">
        <v>733</v>
      </c>
      <c r="AG291" s="297">
        <v>1.09</v>
      </c>
      <c r="AH291" s="293">
        <v>5.92</v>
      </c>
      <c r="AI291" s="310">
        <v>0.098</v>
      </c>
      <c r="AJ291" s="293">
        <v>2</v>
      </c>
      <c r="AK291" s="292">
        <v>0.129</v>
      </c>
      <c r="AL291" s="309">
        <v>0.313</v>
      </c>
    </row>
    <row r="292" spans="1:38" ht="12.75">
      <c r="A292" s="9"/>
      <c r="B292" s="9"/>
      <c r="C292" s="9"/>
      <c r="D292" s="9"/>
      <c r="E292" s="9"/>
      <c r="F292" s="9"/>
      <c r="G292" s="9"/>
      <c r="H292" s="9"/>
      <c r="I292" s="9"/>
      <c r="AF292" s="289" t="s">
        <v>734</v>
      </c>
      <c r="AG292" s="297">
        <v>5.56</v>
      </c>
      <c r="AH292" s="293">
        <v>5</v>
      </c>
      <c r="AI292" s="292">
        <v>0.316</v>
      </c>
      <c r="AJ292" s="293">
        <v>5</v>
      </c>
      <c r="AK292" s="292">
        <v>0.416</v>
      </c>
      <c r="AL292" s="309">
        <v>0.813</v>
      </c>
    </row>
    <row r="293" spans="1:38" ht="12.75">
      <c r="A293" s="9"/>
      <c r="B293" s="9"/>
      <c r="C293" s="9"/>
      <c r="D293" s="9"/>
      <c r="E293" s="9"/>
      <c r="F293" s="9"/>
      <c r="G293" s="9"/>
      <c r="H293" s="9"/>
      <c r="I293" s="9"/>
      <c r="AF293" s="289" t="s">
        <v>735</v>
      </c>
      <c r="AG293" s="297">
        <v>1.75</v>
      </c>
      <c r="AH293" s="293">
        <v>3.8</v>
      </c>
      <c r="AI293" s="292">
        <v>0.13</v>
      </c>
      <c r="AJ293" s="293">
        <v>3.8</v>
      </c>
      <c r="AK293" s="292">
        <v>0.16</v>
      </c>
      <c r="AL293" s="309">
        <v>0.5</v>
      </c>
    </row>
    <row r="294" spans="1:38" ht="12.75">
      <c r="A294" s="9"/>
      <c r="B294" s="9"/>
      <c r="C294" s="9"/>
      <c r="D294" s="9"/>
      <c r="E294" s="9"/>
      <c r="F294" s="9"/>
      <c r="G294" s="9"/>
      <c r="H294" s="9"/>
      <c r="I294" s="9"/>
      <c r="AF294" s="289" t="s">
        <v>736</v>
      </c>
      <c r="AG294" s="297">
        <v>1.27</v>
      </c>
      <c r="AH294" s="293">
        <v>4</v>
      </c>
      <c r="AI294" s="292">
        <v>0.115</v>
      </c>
      <c r="AJ294" s="293">
        <v>2.25</v>
      </c>
      <c r="AK294" s="292">
        <v>0.17</v>
      </c>
      <c r="AL294" s="309">
        <v>0.563</v>
      </c>
    </row>
    <row r="295" spans="1:38" ht="12.75">
      <c r="A295" s="9"/>
      <c r="B295" s="9"/>
      <c r="C295" s="9"/>
      <c r="D295" s="9"/>
      <c r="E295" s="9"/>
      <c r="F295" s="9"/>
      <c r="G295" s="9"/>
      <c r="H295" s="9"/>
      <c r="I295" s="9"/>
      <c r="AF295" s="289" t="s">
        <v>737</v>
      </c>
      <c r="AG295" s="297">
        <v>1.01</v>
      </c>
      <c r="AH295" s="293">
        <v>4</v>
      </c>
      <c r="AI295" s="310">
        <v>0.092</v>
      </c>
      <c r="AJ295" s="293">
        <v>2.25</v>
      </c>
      <c r="AK295" s="292">
        <v>0.13</v>
      </c>
      <c r="AL295" s="309">
        <v>0.5</v>
      </c>
    </row>
    <row r="296" spans="1:38" ht="12.75">
      <c r="A296" s="9"/>
      <c r="B296" s="9"/>
      <c r="C296" s="9"/>
      <c r="D296" s="9"/>
      <c r="E296" s="9"/>
      <c r="F296" s="9"/>
      <c r="G296" s="9"/>
      <c r="H296" s="9"/>
      <c r="I296" s="9"/>
      <c r="AF296" s="289" t="s">
        <v>738</v>
      </c>
      <c r="AG296" s="297">
        <v>1.01</v>
      </c>
      <c r="AH296" s="293">
        <v>4</v>
      </c>
      <c r="AI296" s="310">
        <v>0.092</v>
      </c>
      <c r="AJ296" s="293">
        <v>2.25</v>
      </c>
      <c r="AK296" s="292">
        <v>0.13</v>
      </c>
      <c r="AL296" s="309">
        <v>0.5</v>
      </c>
    </row>
    <row r="297" spans="1:38" ht="12.75">
      <c r="A297" s="9"/>
      <c r="B297" s="9"/>
      <c r="C297" s="9"/>
      <c r="D297" s="9"/>
      <c r="E297" s="9"/>
      <c r="F297" s="9"/>
      <c r="G297" s="9"/>
      <c r="H297" s="9"/>
      <c r="I297" s="9"/>
      <c r="AF297" s="298" t="s">
        <v>739</v>
      </c>
      <c r="AG297" s="311">
        <v>0.914</v>
      </c>
      <c r="AH297" s="300">
        <v>3</v>
      </c>
      <c r="AI297" s="312">
        <v>0.09</v>
      </c>
      <c r="AJ297" s="300">
        <v>2.25</v>
      </c>
      <c r="AK297" s="301">
        <v>0.13</v>
      </c>
      <c r="AL297" s="313">
        <v>0.5</v>
      </c>
    </row>
    <row r="298" spans="1:38" ht="12.75">
      <c r="A298" s="9"/>
      <c r="B298" s="9"/>
      <c r="C298" s="9"/>
      <c r="D298" s="9"/>
      <c r="E298" s="9"/>
      <c r="F298" s="9"/>
      <c r="G298" s="9"/>
      <c r="H298" s="9"/>
      <c r="I298" s="9"/>
      <c r="AF298" s="303" t="s">
        <v>740</v>
      </c>
      <c r="AG298" s="314">
        <v>35.5</v>
      </c>
      <c r="AH298" s="305">
        <v>24.5</v>
      </c>
      <c r="AI298" s="306">
        <v>0.8</v>
      </c>
      <c r="AJ298" s="307">
        <v>8.05</v>
      </c>
      <c r="AK298" s="307">
        <v>1.09</v>
      </c>
      <c r="AL298" s="315">
        <v>2</v>
      </c>
    </row>
    <row r="299" spans="1:38" ht="12.75">
      <c r="A299" s="9"/>
      <c r="B299" s="9"/>
      <c r="C299" s="9"/>
      <c r="D299" s="9"/>
      <c r="E299" s="9"/>
      <c r="F299" s="9"/>
      <c r="G299" s="9"/>
      <c r="H299" s="9"/>
      <c r="I299" s="9"/>
      <c r="AF299" s="289" t="s">
        <v>741</v>
      </c>
      <c r="AG299" s="290">
        <v>31.1</v>
      </c>
      <c r="AH299" s="291">
        <v>24.5</v>
      </c>
      <c r="AI299" s="292">
        <v>0.62</v>
      </c>
      <c r="AJ299" s="293">
        <v>7.87</v>
      </c>
      <c r="AK299" s="293">
        <v>1.09</v>
      </c>
      <c r="AL299" s="316">
        <v>2</v>
      </c>
    </row>
    <row r="300" spans="1:38" ht="12.75">
      <c r="A300" s="9"/>
      <c r="B300" s="9"/>
      <c r="C300" s="9"/>
      <c r="D300" s="9"/>
      <c r="E300" s="9"/>
      <c r="F300" s="9"/>
      <c r="G300" s="9"/>
      <c r="H300" s="9"/>
      <c r="I300" s="9"/>
      <c r="AF300" s="289" t="s">
        <v>742</v>
      </c>
      <c r="AG300" s="290">
        <v>29.3</v>
      </c>
      <c r="AH300" s="291">
        <v>24</v>
      </c>
      <c r="AI300" s="292">
        <v>0.745</v>
      </c>
      <c r="AJ300" s="293">
        <v>7.25</v>
      </c>
      <c r="AK300" s="292">
        <v>0.87</v>
      </c>
      <c r="AL300" s="316">
        <v>1.75</v>
      </c>
    </row>
    <row r="301" spans="1:38" ht="12.75">
      <c r="A301" s="9"/>
      <c r="B301" s="9"/>
      <c r="C301" s="9"/>
      <c r="D301" s="9"/>
      <c r="E301" s="9"/>
      <c r="F301" s="9"/>
      <c r="G301" s="9"/>
      <c r="H301" s="9"/>
      <c r="I301" s="9"/>
      <c r="AF301" s="289" t="s">
        <v>743</v>
      </c>
      <c r="AG301" s="290">
        <v>26.5</v>
      </c>
      <c r="AH301" s="291">
        <v>24</v>
      </c>
      <c r="AI301" s="292">
        <v>0.625</v>
      </c>
      <c r="AJ301" s="293">
        <v>7.13</v>
      </c>
      <c r="AK301" s="292">
        <v>0.87</v>
      </c>
      <c r="AL301" s="316">
        <v>1.75</v>
      </c>
    </row>
    <row r="302" spans="1:38" ht="12.75">
      <c r="A302" s="9"/>
      <c r="B302" s="9"/>
      <c r="C302" s="9"/>
      <c r="D302" s="9"/>
      <c r="E302" s="9"/>
      <c r="F302" s="9"/>
      <c r="G302" s="9"/>
      <c r="H302" s="9"/>
      <c r="I302" s="9"/>
      <c r="AF302" s="289" t="s">
        <v>744</v>
      </c>
      <c r="AG302" s="290">
        <v>23.5</v>
      </c>
      <c r="AH302" s="291">
        <v>24</v>
      </c>
      <c r="AI302" s="292">
        <v>0.5</v>
      </c>
      <c r="AJ302" s="293">
        <v>7</v>
      </c>
      <c r="AK302" s="292">
        <v>0.87</v>
      </c>
      <c r="AL302" s="316">
        <v>1.75</v>
      </c>
    </row>
    <row r="303" spans="1:38" ht="12.75">
      <c r="A303" s="9"/>
      <c r="B303" s="9"/>
      <c r="C303" s="9"/>
      <c r="D303" s="9"/>
      <c r="E303" s="9"/>
      <c r="F303" s="9"/>
      <c r="G303" s="9"/>
      <c r="H303" s="9"/>
      <c r="I303" s="9"/>
      <c r="AF303" s="289" t="s">
        <v>745</v>
      </c>
      <c r="AG303" s="290">
        <v>28.2</v>
      </c>
      <c r="AH303" s="291">
        <v>20.3</v>
      </c>
      <c r="AI303" s="292">
        <v>0.8</v>
      </c>
      <c r="AJ303" s="293">
        <v>7.2</v>
      </c>
      <c r="AK303" s="292">
        <v>0.92</v>
      </c>
      <c r="AL303" s="316">
        <v>1.75</v>
      </c>
    </row>
    <row r="304" spans="1:38" ht="12.75">
      <c r="A304" s="9"/>
      <c r="B304" s="9"/>
      <c r="C304" s="9"/>
      <c r="D304" s="9"/>
      <c r="E304" s="9"/>
      <c r="F304" s="9"/>
      <c r="G304" s="9"/>
      <c r="H304" s="9"/>
      <c r="I304" s="9"/>
      <c r="AF304" s="289" t="s">
        <v>746</v>
      </c>
      <c r="AG304" s="290">
        <v>25.3</v>
      </c>
      <c r="AH304" s="291">
        <v>20.3</v>
      </c>
      <c r="AI304" s="292">
        <v>0.66</v>
      </c>
      <c r="AJ304" s="293">
        <v>7.06</v>
      </c>
      <c r="AK304" s="292">
        <v>0.92</v>
      </c>
      <c r="AL304" s="316">
        <v>1.75</v>
      </c>
    </row>
    <row r="305" spans="1:38" ht="12.75">
      <c r="A305" s="9"/>
      <c r="B305" s="9"/>
      <c r="C305" s="9"/>
      <c r="D305" s="9"/>
      <c r="E305" s="9"/>
      <c r="F305" s="9"/>
      <c r="G305" s="9"/>
      <c r="H305" s="9"/>
      <c r="I305" s="9"/>
      <c r="AF305" s="289" t="s">
        <v>747</v>
      </c>
      <c r="AG305" s="290">
        <v>22</v>
      </c>
      <c r="AH305" s="291">
        <v>20</v>
      </c>
      <c r="AI305" s="292">
        <v>0.635</v>
      </c>
      <c r="AJ305" s="293">
        <v>6.39</v>
      </c>
      <c r="AK305" s="292">
        <v>0.795</v>
      </c>
      <c r="AL305" s="316">
        <v>1.63</v>
      </c>
    </row>
    <row r="306" spans="1:38" ht="12.75">
      <c r="A306" s="9"/>
      <c r="B306" s="9"/>
      <c r="C306" s="9"/>
      <c r="D306" s="9"/>
      <c r="E306" s="9"/>
      <c r="F306" s="9"/>
      <c r="G306" s="9"/>
      <c r="H306" s="9"/>
      <c r="I306" s="9"/>
      <c r="AF306" s="289" t="s">
        <v>748</v>
      </c>
      <c r="AG306" s="290">
        <v>19.4</v>
      </c>
      <c r="AH306" s="291">
        <v>20</v>
      </c>
      <c r="AI306" s="292">
        <v>0.505</v>
      </c>
      <c r="AJ306" s="293">
        <v>6.26</v>
      </c>
      <c r="AK306" s="292">
        <v>0.795</v>
      </c>
      <c r="AL306" s="316">
        <v>1.63</v>
      </c>
    </row>
    <row r="307" spans="1:38" ht="12.75">
      <c r="A307" s="9"/>
      <c r="B307" s="9"/>
      <c r="C307" s="9"/>
      <c r="D307" s="9"/>
      <c r="E307" s="9"/>
      <c r="F307" s="9"/>
      <c r="G307" s="9"/>
      <c r="H307" s="9"/>
      <c r="I307" s="9"/>
      <c r="AF307" s="289" t="s">
        <v>749</v>
      </c>
      <c r="AG307" s="290">
        <v>20.5</v>
      </c>
      <c r="AH307" s="291">
        <v>18</v>
      </c>
      <c r="AI307" s="292">
        <v>0.711</v>
      </c>
      <c r="AJ307" s="293">
        <v>6.25</v>
      </c>
      <c r="AK307" s="292">
        <v>0.691</v>
      </c>
      <c r="AL307" s="316">
        <v>1.5</v>
      </c>
    </row>
    <row r="308" spans="1:38" ht="12.75">
      <c r="A308" s="9"/>
      <c r="B308" s="9"/>
      <c r="C308" s="9"/>
      <c r="D308" s="9"/>
      <c r="E308" s="9"/>
      <c r="F308" s="9"/>
      <c r="G308" s="9"/>
      <c r="H308" s="9"/>
      <c r="I308" s="9"/>
      <c r="AF308" s="289" t="s">
        <v>750</v>
      </c>
      <c r="AG308" s="290">
        <v>16</v>
      </c>
      <c r="AH308" s="291">
        <v>18</v>
      </c>
      <c r="AI308" s="292">
        <v>0.461</v>
      </c>
      <c r="AJ308" s="293">
        <v>6</v>
      </c>
      <c r="AK308" s="292">
        <v>0.691</v>
      </c>
      <c r="AL308" s="316">
        <v>1.5</v>
      </c>
    </row>
    <row r="309" spans="1:38" ht="12.75">
      <c r="A309" s="9"/>
      <c r="B309" s="9"/>
      <c r="C309" s="9"/>
      <c r="D309" s="9"/>
      <c r="E309" s="9"/>
      <c r="F309" s="9"/>
      <c r="G309" s="9"/>
      <c r="H309" s="9"/>
      <c r="I309" s="9"/>
      <c r="AF309" s="289" t="s">
        <v>751</v>
      </c>
      <c r="AG309" s="290">
        <v>14.7</v>
      </c>
      <c r="AH309" s="291">
        <v>15</v>
      </c>
      <c r="AI309" s="292">
        <v>0.55</v>
      </c>
      <c r="AJ309" s="293">
        <v>5.64</v>
      </c>
      <c r="AK309" s="292">
        <v>0.622</v>
      </c>
      <c r="AL309" s="316">
        <v>1.38</v>
      </c>
    </row>
    <row r="310" spans="1:38" ht="12.75">
      <c r="A310" s="9"/>
      <c r="B310" s="9"/>
      <c r="C310" s="9"/>
      <c r="D310" s="9"/>
      <c r="E310" s="9"/>
      <c r="F310" s="9"/>
      <c r="G310" s="9"/>
      <c r="H310" s="9"/>
      <c r="I310" s="9"/>
      <c r="AF310" s="289" t="s">
        <v>752</v>
      </c>
      <c r="AG310" s="290">
        <v>12.6</v>
      </c>
      <c r="AH310" s="291">
        <v>15</v>
      </c>
      <c r="AI310" s="292">
        <v>0.411</v>
      </c>
      <c r="AJ310" s="293">
        <v>5.5</v>
      </c>
      <c r="AK310" s="292">
        <v>0.622</v>
      </c>
      <c r="AL310" s="316">
        <v>1.38</v>
      </c>
    </row>
    <row r="311" spans="1:38" ht="12.75">
      <c r="A311" s="9"/>
      <c r="B311" s="9"/>
      <c r="C311" s="9"/>
      <c r="D311" s="9"/>
      <c r="E311" s="9"/>
      <c r="F311" s="9"/>
      <c r="G311" s="9"/>
      <c r="H311" s="9"/>
      <c r="I311" s="9"/>
      <c r="L311" s="38"/>
      <c r="AF311" s="289" t="s">
        <v>753</v>
      </c>
      <c r="AG311" s="290">
        <v>14.6</v>
      </c>
      <c r="AH311" s="291">
        <v>12</v>
      </c>
      <c r="AI311" s="292">
        <v>0.687</v>
      </c>
      <c r="AJ311" s="293">
        <v>5.48</v>
      </c>
      <c r="AK311" s="292">
        <v>0.659</v>
      </c>
      <c r="AL311" s="316">
        <v>1.44</v>
      </c>
    </row>
    <row r="312" spans="1:38" ht="12.75">
      <c r="A312" s="9"/>
      <c r="B312" s="9"/>
      <c r="C312" s="9"/>
      <c r="D312" s="9"/>
      <c r="E312" s="9"/>
      <c r="F312" s="9"/>
      <c r="G312" s="9"/>
      <c r="H312" s="9"/>
      <c r="I312" s="9"/>
      <c r="L312" s="42"/>
      <c r="AF312" s="289" t="s">
        <v>754</v>
      </c>
      <c r="AG312" s="290">
        <v>11.9</v>
      </c>
      <c r="AH312" s="291">
        <v>12</v>
      </c>
      <c r="AI312" s="292">
        <v>0.462</v>
      </c>
      <c r="AJ312" s="293">
        <v>5.25</v>
      </c>
      <c r="AK312" s="292">
        <v>0.659</v>
      </c>
      <c r="AL312" s="316">
        <v>1.44</v>
      </c>
    </row>
    <row r="313" spans="1:38" ht="12.75">
      <c r="A313" s="9"/>
      <c r="B313" s="9"/>
      <c r="C313" s="9"/>
      <c r="D313" s="9"/>
      <c r="E313" s="9"/>
      <c r="F313" s="9"/>
      <c r="G313" s="9"/>
      <c r="H313" s="9"/>
      <c r="I313" s="9"/>
      <c r="L313" s="42"/>
      <c r="AF313" s="289" t="s">
        <v>755</v>
      </c>
      <c r="AG313" s="290">
        <v>10.2</v>
      </c>
      <c r="AH313" s="291">
        <v>12</v>
      </c>
      <c r="AI313" s="292">
        <v>0.428</v>
      </c>
      <c r="AJ313" s="293">
        <v>5.08</v>
      </c>
      <c r="AK313" s="292">
        <v>0.544</v>
      </c>
      <c r="AL313" s="316">
        <v>1.19</v>
      </c>
    </row>
    <row r="314" spans="1:38" ht="12.75">
      <c r="A314" s="9"/>
      <c r="B314" s="9"/>
      <c r="C314" s="9"/>
      <c r="D314" s="9"/>
      <c r="E314" s="9"/>
      <c r="F314" s="9"/>
      <c r="G314" s="9"/>
      <c r="H314" s="9"/>
      <c r="I314" s="9"/>
      <c r="L314" s="42"/>
      <c r="AF314" s="289" t="s">
        <v>756</v>
      </c>
      <c r="AG314" s="297">
        <v>9.31</v>
      </c>
      <c r="AH314" s="291">
        <v>12</v>
      </c>
      <c r="AI314" s="292">
        <v>0.35</v>
      </c>
      <c r="AJ314" s="293">
        <v>5</v>
      </c>
      <c r="AK314" s="292">
        <v>0.544</v>
      </c>
      <c r="AL314" s="316">
        <v>1.19</v>
      </c>
    </row>
    <row r="315" spans="1:38" ht="12.75">
      <c r="A315" s="9"/>
      <c r="B315" s="9"/>
      <c r="C315" s="9"/>
      <c r="D315" s="9"/>
      <c r="E315" s="9"/>
      <c r="F315" s="9"/>
      <c r="G315" s="9"/>
      <c r="H315" s="9"/>
      <c r="I315" s="9"/>
      <c r="L315" s="42"/>
      <c r="W315" s="83"/>
      <c r="X315" s="56"/>
      <c r="AF315" s="289" t="s">
        <v>757</v>
      </c>
      <c r="AG315" s="290">
        <v>10.3</v>
      </c>
      <c r="AH315" s="291">
        <v>10</v>
      </c>
      <c r="AI315" s="292">
        <v>0.594</v>
      </c>
      <c r="AJ315" s="293">
        <v>4.94</v>
      </c>
      <c r="AK315" s="292">
        <v>0.491</v>
      </c>
      <c r="AL315" s="316">
        <v>1.13</v>
      </c>
    </row>
    <row r="316" spans="1:38" ht="12.75">
      <c r="A316" s="9"/>
      <c r="B316" s="9"/>
      <c r="C316" s="9"/>
      <c r="D316" s="9"/>
      <c r="E316" s="9"/>
      <c r="F316" s="9"/>
      <c r="G316" s="9"/>
      <c r="H316" s="9"/>
      <c r="I316" s="9"/>
      <c r="L316" s="38"/>
      <c r="W316" s="37"/>
      <c r="X316" s="37"/>
      <c r="AF316" s="289" t="s">
        <v>758</v>
      </c>
      <c r="AG316" s="297">
        <v>7.45</v>
      </c>
      <c r="AH316" s="291">
        <v>10</v>
      </c>
      <c r="AI316" s="292">
        <v>0.311</v>
      </c>
      <c r="AJ316" s="293">
        <v>4.66</v>
      </c>
      <c r="AK316" s="292">
        <v>0.491</v>
      </c>
      <c r="AL316" s="316">
        <v>1.13</v>
      </c>
    </row>
    <row r="317" spans="1:38" ht="12.75">
      <c r="A317" s="9"/>
      <c r="B317" s="9"/>
      <c r="C317" s="9"/>
      <c r="D317" s="9"/>
      <c r="E317" s="9"/>
      <c r="F317" s="9"/>
      <c r="G317" s="9"/>
      <c r="H317" s="9"/>
      <c r="I317" s="9"/>
      <c r="L317" s="259"/>
      <c r="W317" s="37"/>
      <c r="X317" s="37"/>
      <c r="AF317" s="289" t="s">
        <v>759</v>
      </c>
      <c r="AG317" s="297">
        <v>6.76</v>
      </c>
      <c r="AH317" s="293">
        <v>8</v>
      </c>
      <c r="AI317" s="292">
        <v>0.441</v>
      </c>
      <c r="AJ317" s="293">
        <v>4.17</v>
      </c>
      <c r="AK317" s="292">
        <v>0.425</v>
      </c>
      <c r="AL317" s="316">
        <v>1</v>
      </c>
    </row>
    <row r="318" spans="1:38" ht="12.75">
      <c r="A318" s="9"/>
      <c r="B318" s="9"/>
      <c r="C318" s="9"/>
      <c r="D318" s="9"/>
      <c r="E318" s="9"/>
      <c r="F318" s="9"/>
      <c r="G318" s="9"/>
      <c r="H318" s="9"/>
      <c r="I318" s="9"/>
      <c r="L318" s="38"/>
      <c r="W318" s="37"/>
      <c r="X318" s="37"/>
      <c r="AF318" s="289" t="s">
        <v>760</v>
      </c>
      <c r="AG318" s="297">
        <v>5.4</v>
      </c>
      <c r="AH318" s="293">
        <v>8</v>
      </c>
      <c r="AI318" s="292">
        <v>0.271</v>
      </c>
      <c r="AJ318" s="293">
        <v>4</v>
      </c>
      <c r="AK318" s="292">
        <v>0.425</v>
      </c>
      <c r="AL318" s="316">
        <v>1</v>
      </c>
    </row>
    <row r="319" spans="1:38" ht="12.75">
      <c r="A319" s="9"/>
      <c r="B319" s="9"/>
      <c r="C319" s="9"/>
      <c r="D319" s="9"/>
      <c r="E319" s="9"/>
      <c r="F319" s="9"/>
      <c r="G319" s="9"/>
      <c r="H319" s="9"/>
      <c r="I319" s="9"/>
      <c r="L319" s="259"/>
      <c r="W319" s="83"/>
      <c r="X319" s="56"/>
      <c r="AF319" s="289" t="s">
        <v>761</v>
      </c>
      <c r="AG319" s="297">
        <v>5.06</v>
      </c>
      <c r="AH319" s="293">
        <v>6</v>
      </c>
      <c r="AI319" s="292">
        <v>0.465</v>
      </c>
      <c r="AJ319" s="293">
        <v>3.57</v>
      </c>
      <c r="AK319" s="292">
        <v>0.359</v>
      </c>
      <c r="AL319" s="309">
        <v>0.813</v>
      </c>
    </row>
    <row r="320" spans="1:38" ht="12.75">
      <c r="A320" s="9"/>
      <c r="B320" s="9"/>
      <c r="C320" s="9"/>
      <c r="D320" s="9"/>
      <c r="E320" s="9"/>
      <c r="F320" s="9"/>
      <c r="G320" s="9"/>
      <c r="H320" s="9"/>
      <c r="I320" s="9"/>
      <c r="L320" s="259"/>
      <c r="W320" s="37"/>
      <c r="X320" s="37"/>
      <c r="AF320" s="289" t="s">
        <v>762</v>
      </c>
      <c r="AG320" s="297">
        <v>3.66</v>
      </c>
      <c r="AH320" s="293">
        <v>6</v>
      </c>
      <c r="AI320" s="292">
        <v>0.232</v>
      </c>
      <c r="AJ320" s="293">
        <v>3.33</v>
      </c>
      <c r="AK320" s="292">
        <v>0.359</v>
      </c>
      <c r="AL320" s="309">
        <v>0.813</v>
      </c>
    </row>
    <row r="321" spans="1:38" ht="12.75">
      <c r="A321" s="9"/>
      <c r="B321" s="9"/>
      <c r="C321" s="9"/>
      <c r="D321" s="9"/>
      <c r="E321" s="9"/>
      <c r="F321" s="9"/>
      <c r="G321" s="9"/>
      <c r="H321" s="9"/>
      <c r="I321" s="9"/>
      <c r="L321" s="259"/>
      <c r="W321" s="37"/>
      <c r="X321" s="37"/>
      <c r="AF321" s="289" t="s">
        <v>763</v>
      </c>
      <c r="AG321" s="297">
        <v>2.93</v>
      </c>
      <c r="AH321" s="293">
        <v>5</v>
      </c>
      <c r="AI321" s="292">
        <v>0.214</v>
      </c>
      <c r="AJ321" s="293">
        <v>3</v>
      </c>
      <c r="AK321" s="292">
        <v>0.326</v>
      </c>
      <c r="AL321" s="309">
        <v>0.75</v>
      </c>
    </row>
    <row r="322" spans="1:38" ht="12.75">
      <c r="A322" s="9"/>
      <c r="B322" s="9"/>
      <c r="C322" s="9"/>
      <c r="D322" s="9"/>
      <c r="E322" s="9"/>
      <c r="F322" s="9"/>
      <c r="G322" s="9"/>
      <c r="H322" s="9"/>
      <c r="I322" s="9"/>
      <c r="L322" s="38"/>
      <c r="W322" s="37"/>
      <c r="X322" s="37"/>
      <c r="AF322" s="289" t="s">
        <v>764</v>
      </c>
      <c r="AG322" s="297">
        <v>2.79</v>
      </c>
      <c r="AH322" s="293">
        <v>4</v>
      </c>
      <c r="AI322" s="292">
        <v>0.326</v>
      </c>
      <c r="AJ322" s="293">
        <v>2.8</v>
      </c>
      <c r="AK322" s="292">
        <v>0.293</v>
      </c>
      <c r="AL322" s="309">
        <v>0.75</v>
      </c>
    </row>
    <row r="323" spans="1:38" ht="12.75">
      <c r="A323" s="9"/>
      <c r="B323" s="9"/>
      <c r="C323" s="9"/>
      <c r="D323" s="9"/>
      <c r="E323" s="9"/>
      <c r="F323" s="9"/>
      <c r="G323" s="9"/>
      <c r="H323" s="9"/>
      <c r="I323" s="9"/>
      <c r="L323" s="38"/>
      <c r="W323" s="33"/>
      <c r="AF323" s="289" t="s">
        <v>765</v>
      </c>
      <c r="AG323" s="297">
        <v>2.26</v>
      </c>
      <c r="AH323" s="293">
        <v>4</v>
      </c>
      <c r="AI323" s="292">
        <v>0.193</v>
      </c>
      <c r="AJ323" s="293">
        <v>2.66</v>
      </c>
      <c r="AK323" s="292">
        <v>0.293</v>
      </c>
      <c r="AL323" s="309">
        <v>0.75</v>
      </c>
    </row>
    <row r="324" spans="1:38" ht="12.75">
      <c r="A324" s="9"/>
      <c r="B324" s="9"/>
      <c r="C324" s="9"/>
      <c r="D324" s="9"/>
      <c r="E324" s="9"/>
      <c r="F324" s="9"/>
      <c r="G324" s="9"/>
      <c r="H324" s="9"/>
      <c r="I324" s="9"/>
      <c r="L324" s="259"/>
      <c r="W324" s="37"/>
      <c r="X324" s="30"/>
      <c r="AF324" s="289" t="s">
        <v>766</v>
      </c>
      <c r="AG324" s="297">
        <v>2.2</v>
      </c>
      <c r="AH324" s="293">
        <v>3</v>
      </c>
      <c r="AI324" s="292">
        <v>0.349</v>
      </c>
      <c r="AJ324" s="293">
        <v>2.51</v>
      </c>
      <c r="AK324" s="292">
        <v>0.26</v>
      </c>
      <c r="AL324" s="309">
        <v>0.625</v>
      </c>
    </row>
    <row r="325" spans="1:38" ht="12.75">
      <c r="A325" s="9"/>
      <c r="B325" s="9"/>
      <c r="C325" s="9"/>
      <c r="D325" s="9"/>
      <c r="E325" s="9"/>
      <c r="F325" s="9"/>
      <c r="G325" s="9"/>
      <c r="H325" s="9"/>
      <c r="I325" s="9"/>
      <c r="L325" s="38"/>
      <c r="W325" s="37"/>
      <c r="X325" s="37"/>
      <c r="AF325" s="298" t="s">
        <v>767</v>
      </c>
      <c r="AG325" s="299">
        <v>1.66</v>
      </c>
      <c r="AH325" s="300">
        <v>3</v>
      </c>
      <c r="AI325" s="301">
        <v>0.17</v>
      </c>
      <c r="AJ325" s="300">
        <v>2.33</v>
      </c>
      <c r="AK325" s="301">
        <v>0.26</v>
      </c>
      <c r="AL325" s="313">
        <v>0.625</v>
      </c>
    </row>
    <row r="326" spans="1:38" ht="12.75">
      <c r="A326" s="9"/>
      <c r="B326" s="9"/>
      <c r="C326" s="9"/>
      <c r="D326" s="9"/>
      <c r="E326" s="9"/>
      <c r="F326" s="9"/>
      <c r="G326" s="9"/>
      <c r="H326" s="9"/>
      <c r="I326" s="9"/>
      <c r="W326" s="37"/>
      <c r="X326" s="37"/>
      <c r="AF326" s="303" t="s">
        <v>768</v>
      </c>
      <c r="AG326" s="314">
        <v>34.4</v>
      </c>
      <c r="AH326" s="305">
        <v>14.2</v>
      </c>
      <c r="AI326" s="306">
        <v>0.805</v>
      </c>
      <c r="AJ326" s="305">
        <v>14.9</v>
      </c>
      <c r="AK326" s="306">
        <v>0.805</v>
      </c>
      <c r="AL326" s="315">
        <v>1.5</v>
      </c>
    </row>
    <row r="327" spans="1:38" ht="12.75">
      <c r="A327" s="9"/>
      <c r="B327" s="9"/>
      <c r="C327" s="9"/>
      <c r="D327" s="9"/>
      <c r="E327" s="9"/>
      <c r="F327" s="9"/>
      <c r="G327" s="9"/>
      <c r="H327" s="9"/>
      <c r="I327" s="9"/>
      <c r="AF327" s="289" t="s">
        <v>769</v>
      </c>
      <c r="AG327" s="290">
        <v>30</v>
      </c>
      <c r="AH327" s="291">
        <v>14</v>
      </c>
      <c r="AI327" s="292">
        <v>0.705</v>
      </c>
      <c r="AJ327" s="291">
        <v>14.8</v>
      </c>
      <c r="AK327" s="292">
        <v>0.705</v>
      </c>
      <c r="AL327" s="316">
        <v>1.38</v>
      </c>
    </row>
    <row r="328" spans="1:38" ht="12.75">
      <c r="A328" s="9"/>
      <c r="B328" s="9"/>
      <c r="C328" s="9"/>
      <c r="D328" s="9"/>
      <c r="E328" s="9"/>
      <c r="F328" s="9"/>
      <c r="G328" s="9"/>
      <c r="H328" s="9"/>
      <c r="I328" s="9"/>
      <c r="AF328" s="289" t="s">
        <v>770</v>
      </c>
      <c r="AG328" s="290">
        <v>26.1</v>
      </c>
      <c r="AH328" s="291">
        <v>13.8</v>
      </c>
      <c r="AI328" s="292">
        <v>0.615</v>
      </c>
      <c r="AJ328" s="291">
        <v>14.7</v>
      </c>
      <c r="AK328" s="292">
        <v>0.615</v>
      </c>
      <c r="AL328" s="316">
        <v>1.31</v>
      </c>
    </row>
    <row r="329" spans="1:38" ht="12.75">
      <c r="A329" s="9"/>
      <c r="B329" s="9"/>
      <c r="C329" s="9"/>
      <c r="D329" s="9"/>
      <c r="E329" s="9"/>
      <c r="F329" s="9"/>
      <c r="G329" s="9"/>
      <c r="H329" s="9"/>
      <c r="I329" s="9"/>
      <c r="AF329" s="289" t="s">
        <v>771</v>
      </c>
      <c r="AG329" s="290">
        <v>21.4</v>
      </c>
      <c r="AH329" s="291">
        <v>13.6</v>
      </c>
      <c r="AI329" s="292">
        <v>0.505</v>
      </c>
      <c r="AJ329" s="291">
        <v>14.6</v>
      </c>
      <c r="AK329" s="292">
        <v>0.505</v>
      </c>
      <c r="AL329" s="316">
        <v>1.19</v>
      </c>
    </row>
    <row r="330" spans="1:38" ht="12.75">
      <c r="A330" s="9"/>
      <c r="B330" s="9"/>
      <c r="C330" s="9"/>
      <c r="D330" s="9"/>
      <c r="E330" s="9"/>
      <c r="F330" s="9"/>
      <c r="G330" s="36"/>
      <c r="H330" s="36"/>
      <c r="I330" s="36"/>
      <c r="AF330" s="289" t="s">
        <v>772</v>
      </c>
      <c r="AG330" s="290">
        <v>24.6</v>
      </c>
      <c r="AH330" s="291">
        <v>12.3</v>
      </c>
      <c r="AI330" s="292">
        <v>0.685</v>
      </c>
      <c r="AJ330" s="291">
        <v>12.3</v>
      </c>
      <c r="AK330" s="292">
        <v>0.685</v>
      </c>
      <c r="AL330" s="316">
        <v>1.38</v>
      </c>
    </row>
    <row r="331" spans="1:38" ht="12.75">
      <c r="A331" s="9"/>
      <c r="B331" s="9"/>
      <c r="C331" s="9"/>
      <c r="D331" s="9"/>
      <c r="E331" s="9"/>
      <c r="F331" s="9"/>
      <c r="G331" s="9"/>
      <c r="H331" s="9"/>
      <c r="I331" s="9"/>
      <c r="AF331" s="289" t="s">
        <v>773</v>
      </c>
      <c r="AG331" s="290">
        <v>21.8</v>
      </c>
      <c r="AH331" s="291">
        <v>12.1</v>
      </c>
      <c r="AI331" s="292">
        <v>0.605</v>
      </c>
      <c r="AJ331" s="291">
        <v>12.2</v>
      </c>
      <c r="AK331" s="292">
        <v>0.61</v>
      </c>
      <c r="AL331" s="316">
        <v>1.31</v>
      </c>
    </row>
    <row r="332" spans="1:38" ht="12.75">
      <c r="A332" s="9"/>
      <c r="B332" s="9"/>
      <c r="C332" s="9"/>
      <c r="D332" s="9"/>
      <c r="E332" s="9"/>
      <c r="F332" s="9"/>
      <c r="G332" s="36"/>
      <c r="H332" s="36"/>
      <c r="I332" s="36"/>
      <c r="AF332" s="289" t="s">
        <v>774</v>
      </c>
      <c r="AG332" s="290">
        <v>18.4</v>
      </c>
      <c r="AH332" s="291">
        <v>11.9</v>
      </c>
      <c r="AI332" s="292">
        <v>0.515</v>
      </c>
      <c r="AJ332" s="291">
        <v>12.1</v>
      </c>
      <c r="AK332" s="292">
        <v>0.515</v>
      </c>
      <c r="AL332" s="316">
        <v>1.25</v>
      </c>
    </row>
    <row r="333" spans="1:38" ht="12.75">
      <c r="A333" s="9"/>
      <c r="B333" s="9"/>
      <c r="C333" s="9"/>
      <c r="D333" s="9"/>
      <c r="E333" s="9"/>
      <c r="F333" s="9"/>
      <c r="G333" s="9"/>
      <c r="H333" s="9"/>
      <c r="I333" s="9"/>
      <c r="AF333" s="289" t="s">
        <v>775</v>
      </c>
      <c r="AG333" s="290">
        <v>15.5</v>
      </c>
      <c r="AH333" s="291">
        <v>11.8</v>
      </c>
      <c r="AI333" s="292">
        <v>0.435</v>
      </c>
      <c r="AJ333" s="291">
        <v>12</v>
      </c>
      <c r="AK333" s="292">
        <v>0.435</v>
      </c>
      <c r="AL333" s="316">
        <v>1.13</v>
      </c>
    </row>
    <row r="334" spans="1:38" ht="12.75">
      <c r="A334" s="9"/>
      <c r="B334" s="9"/>
      <c r="C334" s="9"/>
      <c r="D334" s="9"/>
      <c r="E334" s="9"/>
      <c r="F334" s="9"/>
      <c r="G334" s="9"/>
      <c r="H334" s="9"/>
      <c r="I334" s="9"/>
      <c r="AF334" s="289" t="s">
        <v>776</v>
      </c>
      <c r="AG334" s="290">
        <v>16.8</v>
      </c>
      <c r="AH334" s="291">
        <v>10</v>
      </c>
      <c r="AI334" s="292">
        <v>0.565</v>
      </c>
      <c r="AJ334" s="291">
        <v>10.2</v>
      </c>
      <c r="AK334" s="292">
        <v>0.565</v>
      </c>
      <c r="AL334" s="316">
        <v>1.25</v>
      </c>
    </row>
    <row r="335" spans="1:38" ht="12.75">
      <c r="A335" s="9"/>
      <c r="B335" s="9"/>
      <c r="C335" s="9"/>
      <c r="D335" s="9"/>
      <c r="E335" s="9"/>
      <c r="F335" s="9"/>
      <c r="G335" s="9"/>
      <c r="H335" s="9"/>
      <c r="I335" s="9"/>
      <c r="AF335" s="289" t="s">
        <v>777</v>
      </c>
      <c r="AG335" s="290">
        <v>12.4</v>
      </c>
      <c r="AH335" s="293">
        <v>9.7</v>
      </c>
      <c r="AI335" s="292">
        <v>0.415</v>
      </c>
      <c r="AJ335" s="291">
        <v>10.1</v>
      </c>
      <c r="AK335" s="292">
        <v>0.42</v>
      </c>
      <c r="AL335" s="316">
        <v>1.13</v>
      </c>
    </row>
    <row r="336" spans="1:38" ht="12.75">
      <c r="A336" s="9"/>
      <c r="B336" s="9"/>
      <c r="C336" s="9"/>
      <c r="D336" s="9"/>
      <c r="E336" s="9"/>
      <c r="F336" s="9"/>
      <c r="G336" s="36"/>
      <c r="H336" s="36"/>
      <c r="I336" s="36"/>
      <c r="AF336" s="298" t="s">
        <v>778</v>
      </c>
      <c r="AG336" s="317">
        <v>10.6</v>
      </c>
      <c r="AH336" s="300">
        <v>8.02</v>
      </c>
      <c r="AI336" s="301">
        <v>0.445</v>
      </c>
      <c r="AJ336" s="300">
        <v>8.16</v>
      </c>
      <c r="AK336" s="301">
        <v>0.445</v>
      </c>
      <c r="AL336" s="318">
        <v>1.13</v>
      </c>
    </row>
    <row r="337" spans="1:38" ht="12.75">
      <c r="A337" s="9"/>
      <c r="B337" s="9"/>
      <c r="C337" s="9"/>
      <c r="D337" s="9"/>
      <c r="E337" s="9"/>
      <c r="F337" s="9"/>
      <c r="G337" s="9"/>
      <c r="H337" s="9"/>
      <c r="I337" s="9"/>
      <c r="AF337" s="303" t="s">
        <v>844</v>
      </c>
      <c r="AG337" s="314">
        <v>14.7</v>
      </c>
      <c r="AH337" s="305">
        <v>15</v>
      </c>
      <c r="AI337" s="306">
        <v>0.716</v>
      </c>
      <c r="AJ337" s="305">
        <v>3.72</v>
      </c>
      <c r="AK337" s="306">
        <v>0.65</v>
      </c>
      <c r="AL337" s="315">
        <v>1.44</v>
      </c>
    </row>
    <row r="338" spans="32:38" ht="12.75">
      <c r="AF338" s="289" t="s">
        <v>845</v>
      </c>
      <c r="AG338" s="290">
        <v>11.8</v>
      </c>
      <c r="AH338" s="291">
        <v>15</v>
      </c>
      <c r="AI338" s="292">
        <v>0.52</v>
      </c>
      <c r="AJ338" s="291">
        <v>3.52</v>
      </c>
      <c r="AK338" s="292">
        <v>0.65</v>
      </c>
      <c r="AL338" s="316">
        <v>1.44</v>
      </c>
    </row>
    <row r="339" spans="32:38" ht="12.75">
      <c r="AF339" s="289" t="s">
        <v>846</v>
      </c>
      <c r="AG339" s="290">
        <v>10</v>
      </c>
      <c r="AH339" s="291">
        <v>15</v>
      </c>
      <c r="AI339" s="292">
        <v>0.4</v>
      </c>
      <c r="AJ339" s="291">
        <v>3.4</v>
      </c>
      <c r="AK339" s="292">
        <v>0.65</v>
      </c>
      <c r="AL339" s="316">
        <v>1.44</v>
      </c>
    </row>
    <row r="340" spans="32:38" ht="12.75">
      <c r="AF340" s="289" t="s">
        <v>847</v>
      </c>
      <c r="AG340" s="290">
        <v>8.81</v>
      </c>
      <c r="AH340" s="291">
        <v>12</v>
      </c>
      <c r="AI340" s="292">
        <v>0.51</v>
      </c>
      <c r="AJ340" s="291">
        <v>3.17</v>
      </c>
      <c r="AK340" s="292">
        <v>0.501</v>
      </c>
      <c r="AL340" s="316">
        <v>1.13</v>
      </c>
    </row>
    <row r="341" spans="32:38" ht="12.75">
      <c r="AF341" s="289" t="s">
        <v>848</v>
      </c>
      <c r="AG341" s="290">
        <v>7.34</v>
      </c>
      <c r="AH341" s="291">
        <v>12</v>
      </c>
      <c r="AI341" s="292">
        <v>0.387</v>
      </c>
      <c r="AJ341" s="291">
        <v>3.05</v>
      </c>
      <c r="AK341" s="292">
        <v>0.501</v>
      </c>
      <c r="AL341" s="316">
        <v>1.13</v>
      </c>
    </row>
    <row r="342" spans="32:38" ht="12.75">
      <c r="AF342" s="289" t="s">
        <v>849</v>
      </c>
      <c r="AG342" s="290">
        <v>6.08</v>
      </c>
      <c r="AH342" s="291">
        <v>12</v>
      </c>
      <c r="AI342" s="292">
        <v>0.282</v>
      </c>
      <c r="AJ342" s="291">
        <v>2.94</v>
      </c>
      <c r="AK342" s="292">
        <v>0.501</v>
      </c>
      <c r="AL342" s="316">
        <v>1.13</v>
      </c>
    </row>
    <row r="343" spans="32:38" ht="12.75">
      <c r="AF343" s="289" t="s">
        <v>850</v>
      </c>
      <c r="AG343" s="290">
        <v>8.81</v>
      </c>
      <c r="AH343" s="291">
        <v>10</v>
      </c>
      <c r="AI343" s="292">
        <v>0.673</v>
      </c>
      <c r="AJ343" s="291">
        <v>3.03</v>
      </c>
      <c r="AK343" s="292">
        <v>0.436</v>
      </c>
      <c r="AL343" s="316">
        <v>1</v>
      </c>
    </row>
    <row r="344" spans="32:38" ht="12.75">
      <c r="AF344" s="289" t="s">
        <v>851</v>
      </c>
      <c r="AG344" s="290">
        <v>7.34</v>
      </c>
      <c r="AH344" s="291">
        <v>10</v>
      </c>
      <c r="AI344" s="292">
        <v>0.526</v>
      </c>
      <c r="AJ344" s="291">
        <v>2.89</v>
      </c>
      <c r="AK344" s="292">
        <v>0.436</v>
      </c>
      <c r="AL344" s="316">
        <v>1</v>
      </c>
    </row>
    <row r="345" spans="32:38" ht="12.75">
      <c r="AF345" s="289" t="s">
        <v>852</v>
      </c>
      <c r="AG345" s="290">
        <v>5.87</v>
      </c>
      <c r="AH345" s="291">
        <v>10</v>
      </c>
      <c r="AI345" s="292">
        <v>0.379</v>
      </c>
      <c r="AJ345" s="291">
        <v>2.74</v>
      </c>
      <c r="AK345" s="292">
        <v>0.436</v>
      </c>
      <c r="AL345" s="316">
        <v>1</v>
      </c>
    </row>
    <row r="346" spans="32:38" ht="12.75">
      <c r="AF346" s="289" t="s">
        <v>853</v>
      </c>
      <c r="AG346" s="290">
        <v>4.48</v>
      </c>
      <c r="AH346" s="291">
        <v>10</v>
      </c>
      <c r="AI346" s="292">
        <v>0.24</v>
      </c>
      <c r="AJ346" s="291">
        <v>2.6</v>
      </c>
      <c r="AK346" s="292">
        <v>0.436</v>
      </c>
      <c r="AL346" s="316">
        <v>1</v>
      </c>
    </row>
    <row r="347" spans="32:38" ht="12.75">
      <c r="AF347" s="289" t="s">
        <v>854</v>
      </c>
      <c r="AG347" s="290">
        <v>5.87</v>
      </c>
      <c r="AH347" s="291">
        <v>9</v>
      </c>
      <c r="AI347" s="292">
        <v>0.448</v>
      </c>
      <c r="AJ347" s="291">
        <v>2.65</v>
      </c>
      <c r="AK347" s="292">
        <v>0.413</v>
      </c>
      <c r="AL347" s="316">
        <v>1</v>
      </c>
    </row>
    <row r="348" spans="32:38" ht="12.75">
      <c r="AF348" s="289" t="s">
        <v>855</v>
      </c>
      <c r="AG348" s="290">
        <v>4.41</v>
      </c>
      <c r="AH348" s="291">
        <v>9</v>
      </c>
      <c r="AI348" s="292">
        <v>0.285</v>
      </c>
      <c r="AJ348" s="291">
        <v>2.49</v>
      </c>
      <c r="AK348" s="292">
        <v>0.413</v>
      </c>
      <c r="AL348" s="316">
        <v>1</v>
      </c>
    </row>
    <row r="349" spans="32:38" ht="12.75">
      <c r="AF349" s="289" t="s">
        <v>856</v>
      </c>
      <c r="AG349" s="290">
        <v>3.94</v>
      </c>
      <c r="AH349" s="291">
        <v>9</v>
      </c>
      <c r="AI349" s="292">
        <v>0.233</v>
      </c>
      <c r="AJ349" s="291">
        <v>2.43</v>
      </c>
      <c r="AK349" s="292">
        <v>0.413</v>
      </c>
      <c r="AL349" s="316">
        <v>1</v>
      </c>
    </row>
    <row r="350" spans="32:38" ht="12.75">
      <c r="AF350" s="289" t="s">
        <v>857</v>
      </c>
      <c r="AG350" s="290">
        <v>5.51</v>
      </c>
      <c r="AH350" s="291">
        <v>8</v>
      </c>
      <c r="AI350" s="292">
        <v>0.487</v>
      </c>
      <c r="AJ350" s="291">
        <v>2.53</v>
      </c>
      <c r="AK350" s="292">
        <v>0.39</v>
      </c>
      <c r="AL350" s="316">
        <v>0.938</v>
      </c>
    </row>
    <row r="351" spans="32:38" ht="12.75">
      <c r="AF351" s="289" t="s">
        <v>858</v>
      </c>
      <c r="AG351" s="290">
        <v>4.04</v>
      </c>
      <c r="AH351" s="291">
        <v>8</v>
      </c>
      <c r="AI351" s="292">
        <v>0.303</v>
      </c>
      <c r="AJ351" s="291">
        <v>2.34</v>
      </c>
      <c r="AK351" s="292">
        <v>0.39</v>
      </c>
      <c r="AL351" s="316">
        <v>0.938</v>
      </c>
    </row>
    <row r="352" spans="32:38" ht="12.75">
      <c r="AF352" s="289" t="s">
        <v>859</v>
      </c>
      <c r="AG352" s="290">
        <v>3.37</v>
      </c>
      <c r="AH352" s="291">
        <v>8</v>
      </c>
      <c r="AI352" s="292">
        <v>0.22</v>
      </c>
      <c r="AJ352" s="291">
        <v>2.26</v>
      </c>
      <c r="AK352" s="292">
        <v>0.39</v>
      </c>
      <c r="AL352" s="316">
        <v>0.938</v>
      </c>
    </row>
    <row r="353" spans="32:38" ht="12.75">
      <c r="AF353" s="289" t="s">
        <v>860</v>
      </c>
      <c r="AG353" s="290">
        <v>4.33</v>
      </c>
      <c r="AH353" s="291">
        <v>7</v>
      </c>
      <c r="AI353" s="292">
        <v>0.419</v>
      </c>
      <c r="AJ353" s="291">
        <v>2.3</v>
      </c>
      <c r="AK353" s="292">
        <v>0.366</v>
      </c>
      <c r="AL353" s="316">
        <v>0.875</v>
      </c>
    </row>
    <row r="354" spans="32:38" ht="12.75">
      <c r="AF354" s="289" t="s">
        <v>861</v>
      </c>
      <c r="AG354" s="290">
        <v>3.6</v>
      </c>
      <c r="AH354" s="291">
        <v>7</v>
      </c>
      <c r="AI354" s="292">
        <v>0.314</v>
      </c>
      <c r="AJ354" s="291">
        <v>2.19</v>
      </c>
      <c r="AK354" s="292">
        <v>0.366</v>
      </c>
      <c r="AL354" s="316">
        <v>0.875</v>
      </c>
    </row>
    <row r="355" spans="32:38" ht="12.75">
      <c r="AF355" s="289" t="s">
        <v>862</v>
      </c>
      <c r="AG355" s="290">
        <v>2.87</v>
      </c>
      <c r="AH355" s="291">
        <v>7</v>
      </c>
      <c r="AI355" s="292">
        <v>0.21</v>
      </c>
      <c r="AJ355" s="291">
        <v>2.09</v>
      </c>
      <c r="AK355" s="292">
        <v>0.366</v>
      </c>
      <c r="AL355" s="316">
        <v>0.875</v>
      </c>
    </row>
    <row r="356" spans="32:38" ht="12.75">
      <c r="AF356" s="289" t="s">
        <v>863</v>
      </c>
      <c r="AG356" s="290">
        <v>3.81</v>
      </c>
      <c r="AH356" s="291">
        <v>6</v>
      </c>
      <c r="AI356" s="292">
        <v>0.437</v>
      </c>
      <c r="AJ356" s="291">
        <v>2.16</v>
      </c>
      <c r="AK356" s="292">
        <v>0.343</v>
      </c>
      <c r="AL356" s="316">
        <v>0.813</v>
      </c>
    </row>
    <row r="357" spans="32:38" ht="12.75">
      <c r="AF357" s="289" t="s">
        <v>864</v>
      </c>
      <c r="AG357" s="290">
        <v>3.08</v>
      </c>
      <c r="AH357" s="291">
        <v>6</v>
      </c>
      <c r="AI357" s="292">
        <v>0.314</v>
      </c>
      <c r="AJ357" s="291">
        <v>2.03</v>
      </c>
      <c r="AK357" s="292">
        <v>0.343</v>
      </c>
      <c r="AL357" s="316">
        <v>0.813</v>
      </c>
    </row>
    <row r="358" spans="32:38" ht="12.75">
      <c r="AF358" s="289" t="s">
        <v>865</v>
      </c>
      <c r="AG358" s="290">
        <v>2.39</v>
      </c>
      <c r="AH358" s="291">
        <v>6</v>
      </c>
      <c r="AI358" s="292">
        <v>0.2</v>
      </c>
      <c r="AJ358" s="291">
        <v>1.92</v>
      </c>
      <c r="AK358" s="292">
        <v>0.343</v>
      </c>
      <c r="AL358" s="316">
        <v>0.813</v>
      </c>
    </row>
    <row r="359" spans="32:38" ht="12.75">
      <c r="AF359" s="289" t="s">
        <v>866</v>
      </c>
      <c r="AG359" s="290">
        <v>2.64</v>
      </c>
      <c r="AH359" s="291">
        <v>5</v>
      </c>
      <c r="AI359" s="292">
        <v>0.325</v>
      </c>
      <c r="AJ359" s="291">
        <v>1.89</v>
      </c>
      <c r="AK359" s="292">
        <v>0.32</v>
      </c>
      <c r="AL359" s="316">
        <v>0.75</v>
      </c>
    </row>
    <row r="360" spans="32:38" ht="12.75">
      <c r="AF360" s="289" t="s">
        <v>867</v>
      </c>
      <c r="AG360" s="290">
        <v>1.97</v>
      </c>
      <c r="AH360" s="291">
        <v>5</v>
      </c>
      <c r="AI360" s="292">
        <v>0.19</v>
      </c>
      <c r="AJ360" s="291">
        <v>1.75</v>
      </c>
      <c r="AK360" s="292">
        <v>0.32</v>
      </c>
      <c r="AL360" s="316">
        <v>0.75</v>
      </c>
    </row>
    <row r="361" spans="32:38" ht="12.75">
      <c r="AF361" s="289" t="s">
        <v>868</v>
      </c>
      <c r="AG361" s="290">
        <v>2.13</v>
      </c>
      <c r="AH361" s="291">
        <v>4</v>
      </c>
      <c r="AI361" s="292">
        <v>0.321</v>
      </c>
      <c r="AJ361" s="291">
        <v>1.72</v>
      </c>
      <c r="AK361" s="292">
        <v>0.296</v>
      </c>
      <c r="AL361" s="316">
        <v>0.75</v>
      </c>
    </row>
    <row r="362" spans="32:38" ht="12.75">
      <c r="AF362" s="289" t="s">
        <v>869</v>
      </c>
      <c r="AG362" s="290">
        <v>1.58</v>
      </c>
      <c r="AH362" s="291">
        <v>4</v>
      </c>
      <c r="AI362" s="292">
        <v>0.184</v>
      </c>
      <c r="AJ362" s="291">
        <v>1.58</v>
      </c>
      <c r="AK362" s="292">
        <v>0.296</v>
      </c>
      <c r="AL362" s="316">
        <v>0.75</v>
      </c>
    </row>
    <row r="363" spans="32:38" ht="12.75">
      <c r="AF363" s="289" t="s">
        <v>870</v>
      </c>
      <c r="AG363" s="290">
        <v>1.38</v>
      </c>
      <c r="AH363" s="291">
        <v>4</v>
      </c>
      <c r="AI363" s="292">
        <v>0.125</v>
      </c>
      <c r="AJ363" s="291">
        <v>1.58</v>
      </c>
      <c r="AK363" s="292">
        <v>0.296</v>
      </c>
      <c r="AL363" s="316">
        <v>0.75</v>
      </c>
    </row>
    <row r="364" spans="32:38" ht="12.75">
      <c r="AF364" s="289" t="s">
        <v>871</v>
      </c>
      <c r="AG364" s="290">
        <v>1.76</v>
      </c>
      <c r="AH364" s="291">
        <v>3</v>
      </c>
      <c r="AI364" s="292">
        <v>0.356</v>
      </c>
      <c r="AJ364" s="291">
        <v>1.6</v>
      </c>
      <c r="AK364" s="292">
        <v>0.273</v>
      </c>
      <c r="AL364" s="316">
        <v>0.688</v>
      </c>
    </row>
    <row r="365" spans="32:38" ht="12.75">
      <c r="AF365" s="289" t="s">
        <v>872</v>
      </c>
      <c r="AG365" s="290">
        <v>1.47</v>
      </c>
      <c r="AH365" s="291">
        <v>3</v>
      </c>
      <c r="AI365" s="292">
        <v>0.258</v>
      </c>
      <c r="AJ365" s="291">
        <v>1.5</v>
      </c>
      <c r="AK365" s="292">
        <v>0.273</v>
      </c>
      <c r="AL365" s="316">
        <v>0.688</v>
      </c>
    </row>
    <row r="366" spans="32:38" ht="12.75">
      <c r="AF366" s="289" t="s">
        <v>873</v>
      </c>
      <c r="AG366" s="290">
        <v>1.2</v>
      </c>
      <c r="AH366" s="291">
        <v>3</v>
      </c>
      <c r="AI366" s="292">
        <v>0.17</v>
      </c>
      <c r="AJ366" s="291">
        <v>1.41</v>
      </c>
      <c r="AK366" s="292">
        <v>0.273</v>
      </c>
      <c r="AL366" s="316">
        <v>0.688</v>
      </c>
    </row>
    <row r="367" spans="32:38" ht="12.75">
      <c r="AF367" s="298" t="s">
        <v>874</v>
      </c>
      <c r="AG367" s="317">
        <v>1.09</v>
      </c>
      <c r="AH367" s="300">
        <v>3</v>
      </c>
      <c r="AI367" s="301">
        <v>0.132</v>
      </c>
      <c r="AJ367" s="300">
        <v>1.37</v>
      </c>
      <c r="AK367" s="301">
        <v>0.273</v>
      </c>
      <c r="AL367" s="318">
        <v>0.688</v>
      </c>
    </row>
    <row r="368" spans="32:38" ht="12.75">
      <c r="AF368" s="289" t="s">
        <v>875</v>
      </c>
      <c r="AG368" s="290">
        <v>17.1</v>
      </c>
      <c r="AH368" s="291">
        <v>18</v>
      </c>
      <c r="AI368" s="292">
        <v>0.7</v>
      </c>
      <c r="AJ368" s="291">
        <v>4.2</v>
      </c>
      <c r="AK368" s="292">
        <v>0.625</v>
      </c>
      <c r="AL368" s="316">
        <v>1.44</v>
      </c>
    </row>
    <row r="369" spans="32:38" ht="12.75">
      <c r="AF369" s="289" t="s">
        <v>876</v>
      </c>
      <c r="AG369" s="290">
        <v>15.3</v>
      </c>
      <c r="AH369" s="291">
        <v>18</v>
      </c>
      <c r="AI369" s="292">
        <v>0.6</v>
      </c>
      <c r="AJ369" s="291">
        <v>4.1</v>
      </c>
      <c r="AK369" s="292">
        <v>0.625</v>
      </c>
      <c r="AL369" s="316">
        <v>1.44</v>
      </c>
    </row>
    <row r="370" spans="32:38" ht="12.75">
      <c r="AF370" s="289" t="s">
        <v>877</v>
      </c>
      <c r="AG370" s="290">
        <v>13.5</v>
      </c>
      <c r="AH370" s="291">
        <v>18</v>
      </c>
      <c r="AI370" s="292">
        <v>0.5</v>
      </c>
      <c r="AJ370" s="291">
        <v>4</v>
      </c>
      <c r="AK370" s="292">
        <v>0.625</v>
      </c>
      <c r="AL370" s="316">
        <v>1.44</v>
      </c>
    </row>
    <row r="371" spans="32:38" ht="12.75">
      <c r="AF371" s="289" t="s">
        <v>878</v>
      </c>
      <c r="AG371" s="290">
        <v>12.6</v>
      </c>
      <c r="AH371" s="291">
        <v>18</v>
      </c>
      <c r="AI371" s="292">
        <v>0.45</v>
      </c>
      <c r="AJ371" s="291">
        <v>3.95</v>
      </c>
      <c r="AK371" s="292">
        <v>0.625</v>
      </c>
      <c r="AL371" s="316">
        <v>1.44</v>
      </c>
    </row>
    <row r="372" spans="32:38" ht="12.75">
      <c r="AF372" s="289" t="s">
        <v>879</v>
      </c>
      <c r="AG372" s="290">
        <v>14.7</v>
      </c>
      <c r="AH372" s="291">
        <v>13</v>
      </c>
      <c r="AI372" s="292">
        <v>0.787</v>
      </c>
      <c r="AJ372" s="291">
        <v>4.41</v>
      </c>
      <c r="AK372" s="292">
        <v>0.61</v>
      </c>
      <c r="AL372" s="316">
        <v>1.44</v>
      </c>
    </row>
    <row r="373" spans="32:38" ht="12.75">
      <c r="AF373" s="289" t="s">
        <v>880</v>
      </c>
      <c r="AG373" s="290">
        <v>11.8</v>
      </c>
      <c r="AH373" s="291">
        <v>13</v>
      </c>
      <c r="AI373" s="292">
        <v>0.56</v>
      </c>
      <c r="AJ373" s="291">
        <v>4.19</v>
      </c>
      <c r="AK373" s="292">
        <v>0.61</v>
      </c>
      <c r="AL373" s="316">
        <v>1.44</v>
      </c>
    </row>
    <row r="374" spans="32:38" ht="12.75">
      <c r="AF374" s="289" t="s">
        <v>881</v>
      </c>
      <c r="AG374" s="290">
        <v>10.3</v>
      </c>
      <c r="AH374" s="291">
        <v>13</v>
      </c>
      <c r="AI374" s="292">
        <v>0.447</v>
      </c>
      <c r="AJ374" s="291">
        <v>4.07</v>
      </c>
      <c r="AK374" s="292">
        <v>0.61</v>
      </c>
      <c r="AL374" s="316">
        <v>1.44</v>
      </c>
    </row>
    <row r="375" spans="32:38" ht="12.75">
      <c r="AF375" s="289" t="s">
        <v>882</v>
      </c>
      <c r="AG375" s="290">
        <v>9.35</v>
      </c>
      <c r="AH375" s="291">
        <v>13</v>
      </c>
      <c r="AI375" s="292">
        <v>0.375</v>
      </c>
      <c r="AJ375" s="291">
        <v>4</v>
      </c>
      <c r="AK375" s="292">
        <v>0.61</v>
      </c>
      <c r="AL375" s="316">
        <v>1.44</v>
      </c>
    </row>
    <row r="376" spans="32:38" ht="12.75">
      <c r="AF376" s="289" t="s">
        <v>883</v>
      </c>
      <c r="AG376" s="290">
        <v>14.7</v>
      </c>
      <c r="AH376" s="291">
        <v>12</v>
      </c>
      <c r="AI376" s="292">
        <v>0.835</v>
      </c>
      <c r="AJ376" s="291">
        <v>4.14</v>
      </c>
      <c r="AK376" s="292">
        <v>0.7</v>
      </c>
      <c r="AL376" s="316">
        <v>1.31</v>
      </c>
    </row>
    <row r="377" spans="32:38" ht="12.75">
      <c r="AF377" s="289" t="s">
        <v>884</v>
      </c>
      <c r="AG377" s="290">
        <v>13.2</v>
      </c>
      <c r="AH377" s="291">
        <v>12</v>
      </c>
      <c r="AI377" s="292">
        <v>0.71</v>
      </c>
      <c r="AJ377" s="291">
        <v>4.01</v>
      </c>
      <c r="AK377" s="292">
        <v>0.7</v>
      </c>
      <c r="AL377" s="316">
        <v>1.31</v>
      </c>
    </row>
    <row r="378" spans="32:38" ht="12.75">
      <c r="AF378" s="289" t="s">
        <v>885</v>
      </c>
      <c r="AG378" s="290">
        <v>11.8</v>
      </c>
      <c r="AH378" s="291">
        <v>12</v>
      </c>
      <c r="AI378" s="292">
        <v>0.59</v>
      </c>
      <c r="AJ378" s="291">
        <v>3.89</v>
      </c>
      <c r="AK378" s="292">
        <v>0.7</v>
      </c>
      <c r="AL378" s="316">
        <v>1.31</v>
      </c>
    </row>
    <row r="379" spans="32:38" ht="12.75">
      <c r="AF379" s="289" t="s">
        <v>886</v>
      </c>
      <c r="AG379" s="290">
        <v>10.3</v>
      </c>
      <c r="AH379" s="291">
        <v>12</v>
      </c>
      <c r="AI379" s="292">
        <v>0.465</v>
      </c>
      <c r="AJ379" s="291">
        <v>3.77</v>
      </c>
      <c r="AK379" s="292">
        <v>0.7</v>
      </c>
      <c r="AL379" s="316">
        <v>1.31</v>
      </c>
    </row>
    <row r="380" spans="32:38" ht="12.75">
      <c r="AF380" s="289" t="s">
        <v>887</v>
      </c>
      <c r="AG380" s="290">
        <v>9.12</v>
      </c>
      <c r="AH380" s="291">
        <v>12</v>
      </c>
      <c r="AI380" s="292">
        <v>0.37</v>
      </c>
      <c r="AJ380" s="291">
        <v>3.67</v>
      </c>
      <c r="AK380" s="292">
        <v>0.7</v>
      </c>
      <c r="AL380" s="316">
        <v>1.31</v>
      </c>
    </row>
    <row r="381" spans="32:38" ht="12.75">
      <c r="AF381" s="289" t="s">
        <v>888</v>
      </c>
      <c r="AG381" s="290">
        <v>3.1</v>
      </c>
      <c r="AH381" s="291">
        <v>12</v>
      </c>
      <c r="AI381" s="292">
        <v>0.19</v>
      </c>
      <c r="AJ381" s="291">
        <v>1.5</v>
      </c>
      <c r="AK381" s="292">
        <v>0.309</v>
      </c>
      <c r="AL381" s="316">
        <v>0.75</v>
      </c>
    </row>
    <row r="382" spans="32:38" ht="12.75">
      <c r="AF382" s="289" t="s">
        <v>889</v>
      </c>
      <c r="AG382" s="290">
        <v>12.1</v>
      </c>
      <c r="AH382" s="291">
        <v>10</v>
      </c>
      <c r="AI382" s="292">
        <v>0.796</v>
      </c>
      <c r="AJ382" s="291">
        <v>4.32</v>
      </c>
      <c r="AK382" s="292">
        <v>0.575</v>
      </c>
      <c r="AL382" s="316">
        <v>1.31</v>
      </c>
    </row>
    <row r="383" spans="32:38" ht="12.75">
      <c r="AF383" s="289" t="s">
        <v>890</v>
      </c>
      <c r="AG383" s="290">
        <v>9.87</v>
      </c>
      <c r="AH383" s="291">
        <v>10</v>
      </c>
      <c r="AI383" s="292">
        <v>0.575</v>
      </c>
      <c r="AJ383" s="291">
        <v>4.1</v>
      </c>
      <c r="AK383" s="292">
        <v>0.575</v>
      </c>
      <c r="AL383" s="316">
        <v>1.31</v>
      </c>
    </row>
    <row r="384" spans="32:38" ht="12.75">
      <c r="AF384" s="289" t="s">
        <v>891</v>
      </c>
      <c r="AG384" s="290">
        <v>8.37</v>
      </c>
      <c r="AH384" s="291">
        <v>10</v>
      </c>
      <c r="AI384" s="292">
        <v>0.425</v>
      </c>
      <c r="AJ384" s="291">
        <v>3.95</v>
      </c>
      <c r="AK384" s="292">
        <v>0.575</v>
      </c>
      <c r="AL384" s="316">
        <v>1.31</v>
      </c>
    </row>
    <row r="385" spans="32:38" ht="12.75">
      <c r="AF385" s="289" t="s">
        <v>892</v>
      </c>
      <c r="AG385" s="290">
        <v>7.35</v>
      </c>
      <c r="AH385" s="291">
        <v>10</v>
      </c>
      <c r="AI385" s="292">
        <v>0.38</v>
      </c>
      <c r="AJ385" s="291">
        <v>3.41</v>
      </c>
      <c r="AK385" s="292">
        <v>0.575</v>
      </c>
      <c r="AL385" s="316">
        <v>1.31</v>
      </c>
    </row>
    <row r="386" spans="32:38" ht="12.75">
      <c r="AF386" s="289" t="s">
        <v>893</v>
      </c>
      <c r="AG386" s="290">
        <v>6.45</v>
      </c>
      <c r="AH386" s="291">
        <v>10</v>
      </c>
      <c r="AI386" s="292">
        <v>0.29</v>
      </c>
      <c r="AJ386" s="291">
        <v>3.32</v>
      </c>
      <c r="AK386" s="292">
        <v>0.575</v>
      </c>
      <c r="AL386" s="316">
        <v>1.31</v>
      </c>
    </row>
    <row r="387" spans="32:38" ht="12.75">
      <c r="AF387" s="289" t="s">
        <v>894</v>
      </c>
      <c r="AG387" s="290">
        <v>2.46</v>
      </c>
      <c r="AH387" s="291">
        <v>10</v>
      </c>
      <c r="AI387" s="292">
        <v>0.17</v>
      </c>
      <c r="AJ387" s="291">
        <v>1.5</v>
      </c>
      <c r="AK387" s="292">
        <v>0.28</v>
      </c>
      <c r="AL387" s="316">
        <v>0.75</v>
      </c>
    </row>
    <row r="388" spans="32:38" ht="12.75">
      <c r="AF388" s="289" t="s">
        <v>895</v>
      </c>
      <c r="AG388" s="290">
        <v>1.95</v>
      </c>
      <c r="AH388" s="291">
        <v>10</v>
      </c>
      <c r="AI388" s="292">
        <v>0.152</v>
      </c>
      <c r="AJ388" s="291">
        <v>1.17</v>
      </c>
      <c r="AK388" s="292">
        <v>0.202</v>
      </c>
      <c r="AL388" s="316">
        <v>0.563</v>
      </c>
    </row>
    <row r="389" spans="32:38" ht="12.75">
      <c r="AF389" s="289" t="s">
        <v>896</v>
      </c>
      <c r="AG389" s="290">
        <v>7.47</v>
      </c>
      <c r="AH389" s="291">
        <v>9</v>
      </c>
      <c r="AI389" s="292">
        <v>0.45</v>
      </c>
      <c r="AJ389" s="291">
        <v>3.5</v>
      </c>
      <c r="AK389" s="292">
        <v>0.55</v>
      </c>
      <c r="AL389" s="316">
        <v>1.25</v>
      </c>
    </row>
    <row r="390" spans="32:38" ht="12.75">
      <c r="AF390" s="289" t="s">
        <v>897</v>
      </c>
      <c r="AG390" s="290">
        <v>7.02</v>
      </c>
      <c r="AH390" s="291">
        <v>9</v>
      </c>
      <c r="AI390" s="292">
        <v>0.4</v>
      </c>
      <c r="AJ390" s="291">
        <v>3.45</v>
      </c>
      <c r="AK390" s="292">
        <v>0.55</v>
      </c>
      <c r="AL390" s="316">
        <v>1.25</v>
      </c>
    </row>
    <row r="391" spans="32:38" ht="12.75">
      <c r="AF391" s="289" t="s">
        <v>898</v>
      </c>
      <c r="AG391" s="290">
        <v>6.7</v>
      </c>
      <c r="AH391" s="291">
        <v>8</v>
      </c>
      <c r="AI391" s="292">
        <v>0.427</v>
      </c>
      <c r="AJ391" s="291">
        <v>3.5</v>
      </c>
      <c r="AK391" s="292">
        <v>0.525</v>
      </c>
      <c r="AL391" s="316">
        <v>1.19</v>
      </c>
    </row>
    <row r="392" spans="32:38" ht="12.75">
      <c r="AF392" s="289" t="s">
        <v>899</v>
      </c>
      <c r="AG392" s="290">
        <v>6.28</v>
      </c>
      <c r="AH392" s="291">
        <v>8</v>
      </c>
      <c r="AI392" s="292">
        <v>0.375</v>
      </c>
      <c r="AJ392" s="291">
        <v>3.45</v>
      </c>
      <c r="AK392" s="292">
        <v>0.525</v>
      </c>
      <c r="AL392" s="316">
        <v>1.19</v>
      </c>
    </row>
    <row r="393" spans="32:38" ht="12.75">
      <c r="AF393" s="289" t="s">
        <v>900</v>
      </c>
      <c r="AG393" s="290">
        <v>5.88</v>
      </c>
      <c r="AH393" s="291">
        <v>8</v>
      </c>
      <c r="AI393" s="292">
        <v>0.4</v>
      </c>
      <c r="AJ393" s="291">
        <v>3.03</v>
      </c>
      <c r="AK393" s="292">
        <v>0.5</v>
      </c>
      <c r="AL393" s="316">
        <v>1.13</v>
      </c>
    </row>
    <row r="394" spans="32:38" ht="12.75">
      <c r="AF394" s="289" t="s">
        <v>901</v>
      </c>
      <c r="AG394" s="290">
        <v>5.5</v>
      </c>
      <c r="AH394" s="291">
        <v>8</v>
      </c>
      <c r="AI394" s="292">
        <v>0.353</v>
      </c>
      <c r="AJ394" s="291">
        <v>2.98</v>
      </c>
      <c r="AK394" s="292">
        <v>0.5</v>
      </c>
      <c r="AL394" s="316">
        <v>1.13</v>
      </c>
    </row>
    <row r="395" spans="32:38" ht="12.75">
      <c r="AF395" s="289" t="s">
        <v>902</v>
      </c>
      <c r="AG395" s="290">
        <v>2.5</v>
      </c>
      <c r="AH395" s="291">
        <v>8</v>
      </c>
      <c r="AI395" s="292">
        <v>0.179</v>
      </c>
      <c r="AJ395" s="291">
        <v>1.87</v>
      </c>
      <c r="AK395" s="292">
        <v>0.311</v>
      </c>
      <c r="AL395" s="316">
        <v>0.813</v>
      </c>
    </row>
    <row r="396" spans="32:38" ht="12.75">
      <c r="AF396" s="289" t="s">
        <v>903</v>
      </c>
      <c r="AG396" s="290">
        <v>6.67</v>
      </c>
      <c r="AH396" s="291">
        <v>7</v>
      </c>
      <c r="AI396" s="292">
        <v>0.503</v>
      </c>
      <c r="AJ396" s="291">
        <v>3.6</v>
      </c>
      <c r="AK396" s="292">
        <v>0.5</v>
      </c>
      <c r="AL396" s="316">
        <v>1.13</v>
      </c>
    </row>
    <row r="397" spans="32:38" ht="12.75">
      <c r="AF397" s="289" t="s">
        <v>904</v>
      </c>
      <c r="AG397" s="290">
        <v>5.61</v>
      </c>
      <c r="AH397" s="291">
        <v>7</v>
      </c>
      <c r="AI397" s="292">
        <v>0.352</v>
      </c>
      <c r="AJ397" s="291">
        <v>3.45</v>
      </c>
      <c r="AK397" s="292">
        <v>0.5</v>
      </c>
      <c r="AL397" s="316">
        <v>1.13</v>
      </c>
    </row>
    <row r="398" spans="32:38" ht="12.75">
      <c r="AF398" s="289" t="s">
        <v>905</v>
      </c>
      <c r="AG398" s="290">
        <v>5.29</v>
      </c>
      <c r="AH398" s="291">
        <v>6</v>
      </c>
      <c r="AI398" s="292">
        <v>0.379</v>
      </c>
      <c r="AJ398" s="291">
        <v>3.5</v>
      </c>
      <c r="AK398" s="292">
        <v>0.475</v>
      </c>
      <c r="AL398" s="316">
        <v>1.06</v>
      </c>
    </row>
    <row r="399" spans="32:38" ht="12.75">
      <c r="AF399" s="289" t="s">
        <v>906</v>
      </c>
      <c r="AG399" s="290">
        <v>4.49</v>
      </c>
      <c r="AH399" s="291">
        <v>6</v>
      </c>
      <c r="AI399" s="292">
        <v>0.34</v>
      </c>
      <c r="AJ399" s="291">
        <v>3.5</v>
      </c>
      <c r="AK399" s="292">
        <v>0.385</v>
      </c>
      <c r="AL399" s="316">
        <v>0.875</v>
      </c>
    </row>
    <row r="400" spans="32:38" ht="12.75">
      <c r="AF400" s="289" t="s">
        <v>907</v>
      </c>
      <c r="AG400" s="290">
        <v>4.79</v>
      </c>
      <c r="AH400" s="291">
        <v>6</v>
      </c>
      <c r="AI400" s="292">
        <v>0.375</v>
      </c>
      <c r="AJ400" s="291">
        <v>3</v>
      </c>
      <c r="AK400" s="292">
        <v>0.475</v>
      </c>
      <c r="AL400" s="316">
        <v>1.06</v>
      </c>
    </row>
    <row r="401" spans="32:38" ht="12.75">
      <c r="AF401" s="289" t="s">
        <v>908</v>
      </c>
      <c r="AG401" s="290">
        <v>4.44</v>
      </c>
      <c r="AH401" s="291">
        <v>6</v>
      </c>
      <c r="AI401" s="292">
        <v>0.316</v>
      </c>
      <c r="AJ401" s="291">
        <v>2.94</v>
      </c>
      <c r="AK401" s="292">
        <v>0.475</v>
      </c>
      <c r="AL401" s="316">
        <v>1.06</v>
      </c>
    </row>
    <row r="402" spans="32:38" ht="12.75">
      <c r="AF402" s="289" t="s">
        <v>909</v>
      </c>
      <c r="AG402" s="290">
        <v>3.53</v>
      </c>
      <c r="AH402" s="291">
        <v>6</v>
      </c>
      <c r="AI402" s="292">
        <v>0.31</v>
      </c>
      <c r="AJ402" s="291">
        <v>2.5</v>
      </c>
      <c r="AK402" s="292">
        <v>0.375</v>
      </c>
      <c r="AL402" s="316">
        <v>0.875</v>
      </c>
    </row>
    <row r="403" spans="32:38" ht="12.75">
      <c r="AF403" s="289" t="s">
        <v>910</v>
      </c>
      <c r="AG403" s="290">
        <v>2.09</v>
      </c>
      <c r="AH403" s="291">
        <v>6</v>
      </c>
      <c r="AI403" s="292">
        <v>0.179</v>
      </c>
      <c r="AJ403" s="291">
        <v>1.88</v>
      </c>
      <c r="AK403" s="292">
        <v>0.291</v>
      </c>
      <c r="AL403" s="316">
        <v>0.75</v>
      </c>
    </row>
    <row r="404" spans="32:38" ht="12.75">
      <c r="AF404" s="289" t="s">
        <v>911</v>
      </c>
      <c r="AG404" s="290">
        <v>1.95</v>
      </c>
      <c r="AH404" s="291">
        <v>6</v>
      </c>
      <c r="AI404" s="292">
        <v>0.155</v>
      </c>
      <c r="AJ404" s="291">
        <v>1.85</v>
      </c>
      <c r="AK404" s="292">
        <v>0.291</v>
      </c>
      <c r="AL404" s="316">
        <v>0.75</v>
      </c>
    </row>
    <row r="405" spans="32:38" ht="12.75">
      <c r="AF405" s="289" t="s">
        <v>912</v>
      </c>
      <c r="AG405" s="290">
        <v>4.03</v>
      </c>
      <c r="AH405" s="291">
        <v>4</v>
      </c>
      <c r="AI405" s="292">
        <v>0.5</v>
      </c>
      <c r="AJ405" s="291">
        <v>2.5</v>
      </c>
      <c r="AK405" s="292">
        <v>0.5</v>
      </c>
      <c r="AL405" s="316">
        <v>1</v>
      </c>
    </row>
    <row r="406" spans="32:38" ht="12.75">
      <c r="AF406" s="298" t="s">
        <v>913</v>
      </c>
      <c r="AG406" s="317">
        <v>2.11</v>
      </c>
      <c r="AH406" s="300">
        <v>3</v>
      </c>
      <c r="AI406" s="301">
        <v>0.312</v>
      </c>
      <c r="AJ406" s="300">
        <v>1.94</v>
      </c>
      <c r="AK406" s="301">
        <v>0.351</v>
      </c>
      <c r="AL406" s="318">
        <v>0.813</v>
      </c>
    </row>
  </sheetData>
  <sheetProtection sheet="1" objects="1" scenarios="1"/>
  <conditionalFormatting sqref="AN191:AN192 AN194:AN195">
    <cfRule type="expression" priority="2" dxfId="0" stopIfTrue="1">
      <formula>AO191&gt;1</formula>
    </cfRule>
  </conditionalFormatting>
  <conditionalFormatting sqref="AN211 AN176:AN177 AN166:AN173 AN193 AN204 AN198 AN43:AN70 AN72:AN75 AN77:AN88 AN90:AN92 AN94:AN97 AN99 AN101:AN105 AN107:AN113 AN115:AN124 AN179:AN190 AN147:AN164 AN126:AN138 AN141:AN144">
    <cfRule type="expression" priority="3" dxfId="0" stopIfTrue="1">
      <formula>IF(AO43="","",AO43&gt;1)</formula>
    </cfRule>
  </conditionalFormatting>
  <conditionalFormatting sqref="I40">
    <cfRule type="expression" priority="4" dxfId="0" stopIfTrue="1">
      <formula>G40&gt;1</formula>
    </cfRule>
  </conditionalFormatting>
  <conditionalFormatting sqref="AO18 AO20">
    <cfRule type="expression" priority="5" dxfId="0" stopIfTrue="1">
      <formula>AR17&gt;1</formula>
    </cfRule>
  </conditionalFormatting>
  <conditionalFormatting sqref="AP18 AP20">
    <cfRule type="expression" priority="6" dxfId="0" stopIfTrue="1">
      <formula>AR17&gt;1</formula>
    </cfRule>
  </conditionalFormatting>
  <conditionalFormatting sqref="AO7:AO17 AO19 AO22:AO25 AO27:AO32">
    <cfRule type="expression" priority="7" dxfId="0" stopIfTrue="1">
      <formula>IF(AR7="","",AR7&gt;1)</formula>
    </cfRule>
  </conditionalFormatting>
  <conditionalFormatting sqref="I74:I99 I102 I109:I124 I186:I198 I143 I147 I156 I170 I200:I204 I206:I211 I136:I137">
    <cfRule type="expression" priority="8" dxfId="0" stopIfTrue="1">
      <formula>AO74&gt;1</formula>
    </cfRule>
  </conditionalFormatting>
  <conditionalFormatting sqref="AO33">
    <cfRule type="expression" priority="9" dxfId="0" stopIfTrue="1">
      <formula>IF($D$37=0,"",AR32&gt;1)</formula>
    </cfRule>
  </conditionalFormatting>
  <conditionalFormatting sqref="AP33">
    <cfRule type="expression" priority="10" dxfId="0" stopIfTrue="1">
      <formula>IF($D$37=0,"",AR32&gt;1)</formula>
    </cfRule>
  </conditionalFormatting>
  <conditionalFormatting sqref="I126">
    <cfRule type="expression" priority="11" dxfId="0" stopIfTrue="1">
      <formula>AO128&gt;1</formula>
    </cfRule>
  </conditionalFormatting>
  <conditionalFormatting sqref="I138 I130">
    <cfRule type="expression" priority="12" dxfId="0" stopIfTrue="1">
      <formula>AO140&gt;1</formula>
    </cfRule>
  </conditionalFormatting>
  <conditionalFormatting sqref="I141:I142 I145:I146">
    <cfRule type="expression" priority="13" dxfId="0" stopIfTrue="1">
      <formula>AO172&gt;1</formula>
    </cfRule>
  </conditionalFormatting>
  <conditionalFormatting sqref="I125 I103:I107">
    <cfRule type="expression" priority="14" dxfId="0" stopIfTrue="1">
      <formula>AO104&gt;1</formula>
    </cfRule>
  </conditionalFormatting>
  <conditionalFormatting sqref="I132:I133 I135 I129">
    <cfRule type="expression" priority="15" dxfId="0" stopIfTrue="1">
      <formula>AO138&gt;1</formula>
    </cfRule>
  </conditionalFormatting>
  <conditionalFormatting sqref="I250">
    <cfRule type="expression" priority="16" dxfId="0" stopIfTrue="1">
      <formula>AO205&gt;1</formula>
    </cfRule>
  </conditionalFormatting>
  <conditionalFormatting sqref="AO211 AO197:AO209 AO72:AO75 AO77:AO88 AO90:AO92 AO94:AO97 AO99 AO101:AO105 G40 AO176:AO177 AO107:AO113 AO126:AO138 AO147:AO164 AO141:AO144 AO115:AO124 AO179:AO195 AO166:AO173 AR7:AR32">
    <cfRule type="cellIs" priority="17" dxfId="0" operator="greaterThan" stopIfTrue="1">
      <formula>1</formula>
    </cfRule>
  </conditionalFormatting>
  <conditionalFormatting sqref="I174:I185">
    <cfRule type="expression" priority="18" dxfId="0" stopIfTrue="1">
      <formula>#REF!&gt;1</formula>
    </cfRule>
  </conditionalFormatting>
  <conditionalFormatting sqref="I149:I155 I161:I169 I171:I172">
    <cfRule type="expression" priority="19" dxfId="0" stopIfTrue="1">
      <formula>#REF!&gt;1</formula>
    </cfRule>
  </conditionalFormatting>
  <conditionalFormatting sqref="I127:I128 I134">
    <cfRule type="expression" priority="20" dxfId="0" stopIfTrue="1">
      <formula>#REF!&gt;1</formula>
    </cfRule>
  </conditionalFormatting>
  <conditionalFormatting sqref="I108">
    <cfRule type="expression" priority="21" dxfId="0" stopIfTrue="1">
      <formula>#REF!&gt;1</formula>
    </cfRule>
  </conditionalFormatting>
  <conditionalFormatting sqref="E25">
    <cfRule type="cellIs" priority="22" dxfId="0" operator="notEqual" stopIfTrue="1">
      <formula>"OK"</formula>
    </cfRule>
  </conditionalFormatting>
  <conditionalFormatting sqref="G38:G39">
    <cfRule type="expression" priority="23" dxfId="0" stopIfTrue="1">
      <formula>$G$40&gt;1</formula>
    </cfRule>
  </conditionalFormatting>
  <dataValidations count="22">
    <dataValidation type="decimal" allowBlank="1" showInputMessage="1" showErrorMessage="1" prompt="The depth of the bottom flange cope (dc2) must be &lt;= 0.2*d.  If cope length (c) is input = 0, then cope depth (dc2) must be input = 0." errorTitle="Warning!" error="The value of dc2 MUST BE &lt;= 0.2*d" sqref="D36">
      <formula1>0</formula1>
      <formula2>0.2*$B$45</formula2>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5">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4">
      <formula1>0</formula1>
      <formula2>2*$B$45</formula2>
    </dataValidation>
    <dataValidation type="list" allowBlank="1" showInputMessage="1" showErrorMessage="1" sqref="D38">
      <formula1>$K$3:$K$4</formula1>
    </dataValidation>
    <dataValidation type="decimal" operator="greaterThanOrEqual" allowBlank="1" showInputMessage="1" showErrorMessage="1" prompt="The minimum edge distance (ED) must be &gt;= Table J3.4." errorTitle="Warning!" error="Edge distance must be &gt;= Table J3.4" sqref="D32">
      <formula1>VLOOKUP($D$24,$AA$17:$AB$24,2,FALSE)</formula1>
    </dataValidation>
    <dataValidation type="list" allowBlank="1" showInputMessage="1" showErrorMessage="1" errorTitle="warning!" error="Invalid ASTM bolt designation&#10;(must input A325 or A490)" sqref="D25">
      <formula1>$K$16:$K$17</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$K$18:$K$20</formula1>
    </dataValidation>
    <dataValidation type="list" allowBlank="1" showInputMessage="1" showErrorMessage="1" errorTitle="Warning!" error="Invalid bolt diameter" sqref="D24">
      <formula1>$K$9:$K$15</formula1>
    </dataValidation>
    <dataValidation type="list" allowBlank="1" showInputMessage="1" showErrorMessage="1" prompt="The ASTM faying surface designation is either 'Class A' for unpainted clean mill scale steel surfaces or with Class A coatings, or 'Class B' for unpainted blast-cleaned steel surfaces or surfaces with Class B coatings." errorTitle="Warning!" error="Invalid faying surface type (must input A or B)" sqref="D27">
      <formula1>$K$21:$K$23</formula1>
    </dataValidation>
    <dataValidation type="list" allowBlank="1" showInputMessage="1" showErrorMessage="1" promptTitle="Number of Bolt Rows for Beams" prompt="W8   -  2             W10 -  2&#10;W12 -  2, 3          W14 -  3&#10;W16 -  3, 4          W18 -  3, 4, 5&#10;W21 -  4, 5, 6      W24 -  5, 6, 7&#10;W27 -  5, 6, 7      W30 -  6, 7, 8&#10;W33 -  6, 7, 8, 9   W36 -  6, 7, 8, 9, 10" errorTitle="Warning!" error="Invalid number of bolts in connection" sqref="D29">
      <formula1>$K$27:$K$37</formula1>
    </dataValidation>
    <dataValidation type="list" allowBlank="1" showInputMessage="1" showErrorMessage="1" promptTitle="Bolt Hole Types:" prompt="   Standard (STD)&#10;   Oversized (OVS)&#10;Note: bolt hole type refers to the bolts in the legs of the angles, both at the support and at the beam web.  Standard holes are assumed in the support member and the beam web." errorTitle="warning!" error="Invalid bolt hole type" sqref="D28">
      <formula1>$K$24:$K$25</formula1>
    </dataValidation>
    <dataValidation type="decimal" operator="greaterThanOrEqual" allowBlank="1" showInputMessage="1" showErrorMessage="1" prompt="The bolt vertical spacing (S) is typically = 3&quot;, and must be &gt;= 2.66*db." sqref="D31">
      <formula1>2.66*$D$24</formula1>
    </dataValidation>
    <dataValidation allowBlank="1" showInputMessage="1" showErrorMessage="1" prompt="The distance, 'D1', is the distance from the top of the beam down to the top row of the bolts." sqref="D30"/>
    <dataValidation type="list" allowBlank="1" showInputMessage="1" showErrorMessage="1" sqref="D21">
      <formula1>$K$5:$K$8</formula1>
    </dataValidation>
    <dataValidation type="list" allowBlank="1" showInputMessage="1" showErrorMessage="1" errorTitle="Warning!" error="Invalid steel yield strength" sqref="D22 D12:D13">
      <formula1>$K$3:$K$4</formula1>
    </dataValidation>
    <dataValidation type="list" allowBlank="1" showInputMessage="1" showErrorMessage="1" prompt="Weld Size must be less than tp - 1/16&quot;, except for tp = 1/4&quot;, then Weld Size can be 1/4&quot;" error="Invalid fillet weld size!&#10;Must be less than ta-1/16&quot;" sqref="D23">
      <formula1>$K$40:$K$43</formula1>
    </dataValidation>
    <dataValidation type="decimal" operator="greaterThanOrEqual" allowBlank="1" showInputMessage="1" showErrorMessage="1" error="The value input MUST BE &gt;= 0 !" sqref="D16">
      <formula1>0</formula1>
    </dataValidation>
    <dataValidation type="decimal" operator="greaterThanOrEqual" allowBlank="1" showInputMessage="1" showErrorMessage="1" prompt="The beam axial force, 'P', is the axial transfer or drag force which is to be considered in the connection analysis." error="The value input MUST BE &gt;= 0 !" sqref="D17">
      <formula1>0</formula1>
    </dataValidation>
    <dataValidation operator="greaterThanOrEqual" allowBlank="1" showInputMessage="1" showErrorMessage="1" prompt="'Lc' is the width of the shear plate connected to the column flange." sqref="D20"/>
    <dataValidation type="list" allowBlank="1" showInputMessage="1" showErrorMessage="1" prompt="User may either select desired size from pick box or type in the size designation.  Note:  input is not case sensitive." sqref="D11">
      <formula1>$AF$6:$AF$336</formula1>
    </dataValidation>
    <dataValidation type="decimal" allowBlank="1" showInputMessage="1" showErrorMessage="1" prompt="The bolt gage is calculated automatically as g = Lc - 2*ED" sqref="D33">
      <formula1>3</formula1>
      <formula2>$D$20-2*$D$32</formula2>
    </dataValidation>
    <dataValidation type="list" allowBlank="1" showInputMessage="1" showErrorMessage="1" prompt="User may either select desired size from pick box or type in the size designation.  Note:  input is not case sensitive." sqref="D10">
      <formula1>$AF$6:$AF$406</formula1>
    </dataValidation>
  </dataValidations>
  <printOptions/>
  <pageMargins left="1" right="0.5" top="1.26" bottom="1" header="0.5" footer="0.5"/>
  <pageSetup horizontalDpi="300" verticalDpi="300" orientation="portrait" scale="88" r:id="rId4"/>
  <headerFooter alignWithMargins="0">
    <oddHeader>&amp;R&amp;8"SHEAR-END-PL-13.xls" Program
Created By: Joel Berg, P.E.
Version 1.1</oddHeader>
    <oddFooter>&amp;L&amp;8&amp;D
&amp;T&amp;C&amp;8&amp;Z
&amp;F&amp;R&amp;8Page &amp;P
of &amp;N</oddFooter>
  </headerFooter>
  <rowBreaks count="4" manualBreakCount="4">
    <brk id="50" max="8" man="1"/>
    <brk id="100" max="8" man="1"/>
    <brk id="157" max="8" man="1"/>
    <brk id="211" max="8" man="1"/>
  </rowBreaks>
  <colBreaks count="1" manualBreakCount="1">
    <brk id="9" max="199" man="1"/>
  </colBreaks>
  <ignoredErrors>
    <ignoredError sqref="AO19" 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S433"/>
  <sheetViews>
    <sheetView zoomScalePageLayoutView="0" workbookViewId="0" topLeftCell="A1">
      <selection activeCell="A1" sqref="A1"/>
    </sheetView>
  </sheetViews>
  <sheetFormatPr defaultColWidth="9.140625" defaultRowHeight="12.75"/>
  <cols>
    <col min="1" max="1" width="12.7109375" style="8" customWidth="1"/>
    <col min="2" max="2" width="9.140625" style="8" customWidth="1"/>
    <col min="3" max="4" width="10.7109375" style="8" customWidth="1"/>
    <col min="5" max="8" width="9.140625" style="8" customWidth="1"/>
    <col min="9" max="9" width="12.421875" style="8" customWidth="1"/>
    <col min="10" max="22" width="0" style="28" hidden="1" customWidth="1"/>
    <col min="23" max="23" width="10.140625" style="28" hidden="1" customWidth="1"/>
    <col min="24" max="25" width="12.28125" style="28" hidden="1" customWidth="1"/>
    <col min="26" max="27" width="0" style="28" hidden="1" customWidth="1"/>
    <col min="28" max="28" width="15.140625" style="28" hidden="1" customWidth="1"/>
    <col min="29" max="31" width="0" style="28" hidden="1" customWidth="1"/>
    <col min="32" max="32" width="16.7109375" style="28" hidden="1" customWidth="1"/>
    <col min="33" max="39" width="0" style="28" hidden="1" customWidth="1"/>
    <col min="40" max="16384" width="9.140625" style="8" customWidth="1"/>
  </cols>
  <sheetData>
    <row r="1" spans="1:40" ht="15.75">
      <c r="A1" s="235" t="s">
        <v>310</v>
      </c>
      <c r="B1" s="236"/>
      <c r="C1" s="237"/>
      <c r="D1" s="237"/>
      <c r="E1" s="237"/>
      <c r="F1" s="237"/>
      <c r="G1" s="236"/>
      <c r="H1" s="236"/>
      <c r="I1" s="238"/>
      <c r="J1" s="89"/>
      <c r="K1" s="124"/>
      <c r="L1" s="89"/>
      <c r="M1" s="29" t="s">
        <v>233</v>
      </c>
      <c r="Q1" s="57"/>
      <c r="R1" s="140"/>
      <c r="S1" s="107"/>
      <c r="T1" s="89"/>
      <c r="U1" s="89"/>
      <c r="V1" s="89"/>
      <c r="AC1" s="89"/>
      <c r="AD1" s="89"/>
      <c r="AE1" s="89"/>
      <c r="AL1" s="121"/>
      <c r="AM1" s="89"/>
      <c r="AN1" s="175" t="s">
        <v>842</v>
      </c>
    </row>
    <row r="2" spans="1:39" ht="12.75">
      <c r="A2" s="241" t="s">
        <v>823</v>
      </c>
      <c r="B2" s="239"/>
      <c r="C2" s="239"/>
      <c r="D2" s="239"/>
      <c r="E2" s="239"/>
      <c r="F2" s="239"/>
      <c r="G2" s="239"/>
      <c r="H2" s="239"/>
      <c r="I2" s="240"/>
      <c r="J2" s="136"/>
      <c r="K2" s="25"/>
      <c r="L2" s="136"/>
      <c r="Q2" s="43"/>
      <c r="R2" s="371"/>
      <c r="S2" s="107"/>
      <c r="T2" s="136"/>
      <c r="U2" s="136"/>
      <c r="V2" s="136"/>
      <c r="AC2" s="136"/>
      <c r="AD2" s="136"/>
      <c r="AE2" s="136"/>
      <c r="AG2" s="36"/>
      <c r="AL2" s="121"/>
      <c r="AM2" s="136"/>
    </row>
    <row r="3" spans="1:39" ht="12.75">
      <c r="A3" s="242" t="s">
        <v>195</v>
      </c>
      <c r="B3" s="252"/>
      <c r="C3" s="252"/>
      <c r="D3" s="252"/>
      <c r="E3" s="239"/>
      <c r="F3" s="239"/>
      <c r="G3" s="239"/>
      <c r="H3" s="239"/>
      <c r="I3" s="240"/>
      <c r="J3" s="36"/>
      <c r="K3" s="39">
        <v>36</v>
      </c>
      <c r="L3" s="36"/>
      <c r="M3" s="93" t="s">
        <v>191</v>
      </c>
      <c r="S3" s="36"/>
      <c r="T3" s="36"/>
      <c r="U3" s="36"/>
      <c r="V3" s="36"/>
      <c r="W3" s="260" t="s">
        <v>440</v>
      </c>
      <c r="X3" s="261"/>
      <c r="Z3" s="260" t="s">
        <v>441</v>
      </c>
      <c r="AA3" s="262"/>
      <c r="AB3" s="261"/>
      <c r="AC3" s="36"/>
      <c r="AD3" s="36"/>
      <c r="AE3" s="36"/>
      <c r="AF3" s="212" t="s">
        <v>452</v>
      </c>
      <c r="AG3" s="213"/>
      <c r="AH3" s="213"/>
      <c r="AI3" s="213"/>
      <c r="AJ3" s="213"/>
      <c r="AK3" s="213"/>
      <c r="AL3" s="214"/>
      <c r="AM3" s="36"/>
    </row>
    <row r="4" spans="1:44" ht="12.75">
      <c r="A4" s="243" t="s">
        <v>372</v>
      </c>
      <c r="B4" s="246"/>
      <c r="C4" s="247"/>
      <c r="D4" s="247"/>
      <c r="E4" s="248"/>
      <c r="F4" s="177" t="s">
        <v>373</v>
      </c>
      <c r="G4" s="244"/>
      <c r="H4" s="245"/>
      <c r="I4" s="249"/>
      <c r="J4" s="24"/>
      <c r="K4" s="39">
        <v>50</v>
      </c>
      <c r="L4" s="24"/>
      <c r="M4" s="56" t="s">
        <v>10</v>
      </c>
      <c r="O4" s="33"/>
      <c r="S4" s="24"/>
      <c r="T4" s="24"/>
      <c r="U4" s="24"/>
      <c r="V4" s="24"/>
      <c r="W4" s="263" t="s">
        <v>442</v>
      </c>
      <c r="X4" s="263" t="s">
        <v>443</v>
      </c>
      <c r="Z4" s="263" t="s">
        <v>442</v>
      </c>
      <c r="AA4" s="263" t="s">
        <v>444</v>
      </c>
      <c r="AB4" s="263" t="s">
        <v>445</v>
      </c>
      <c r="AC4" s="24"/>
      <c r="AD4" s="24"/>
      <c r="AE4" s="24"/>
      <c r="AF4" s="217" t="s">
        <v>453</v>
      </c>
      <c r="AG4" s="218"/>
      <c r="AH4" s="218"/>
      <c r="AI4" s="218"/>
      <c r="AJ4" s="218"/>
      <c r="AK4" s="218"/>
      <c r="AL4" s="219"/>
      <c r="AM4" s="24"/>
      <c r="AN4" s="31" t="s">
        <v>294</v>
      </c>
      <c r="AO4" s="28"/>
      <c r="AP4" s="28"/>
      <c r="AQ4" s="28"/>
      <c r="AR4" s="35"/>
    </row>
    <row r="5" spans="1:44" ht="12.75">
      <c r="A5" s="243" t="s">
        <v>374</v>
      </c>
      <c r="B5" s="246"/>
      <c r="C5" s="247"/>
      <c r="D5" s="247"/>
      <c r="E5" s="247"/>
      <c r="F5" s="177" t="s">
        <v>375</v>
      </c>
      <c r="G5" s="244"/>
      <c r="H5" s="177" t="s">
        <v>376</v>
      </c>
      <c r="I5" s="250"/>
      <c r="J5" s="24"/>
      <c r="K5" s="110">
        <v>0.25</v>
      </c>
      <c r="L5" s="24"/>
      <c r="M5" s="49" t="s">
        <v>254</v>
      </c>
      <c r="N5" s="254">
        <f>IF(AND($D$26&lt;&gt;"SC",$D$28="Oversized"),"ERROR",IF($D$28="Standard",VLOOKUP($D$24,$W$17:$X$22,2,FALSE),IF($D$28="Oversized",VLOOKUP($D$24,$W$17:$Y$22,3,FALSE),0)))</f>
        <v>0.9375</v>
      </c>
      <c r="O5" s="37" t="s">
        <v>229</v>
      </c>
      <c r="P5" s="37" t="s">
        <v>381</v>
      </c>
      <c r="S5" s="24"/>
      <c r="T5" s="24"/>
      <c r="U5" s="24"/>
      <c r="V5" s="24"/>
      <c r="W5" s="264">
        <v>0.5</v>
      </c>
      <c r="X5" s="265">
        <v>13</v>
      </c>
      <c r="Z5" s="266">
        <v>0.5</v>
      </c>
      <c r="AA5" s="267">
        <v>12</v>
      </c>
      <c r="AB5" s="265">
        <v>15</v>
      </c>
      <c r="AC5" s="24"/>
      <c r="AD5" s="24"/>
      <c r="AE5" s="24"/>
      <c r="AF5" s="215" t="s">
        <v>207</v>
      </c>
      <c r="AG5" s="216" t="s">
        <v>208</v>
      </c>
      <c r="AH5" s="216" t="s">
        <v>246</v>
      </c>
      <c r="AI5" s="216" t="s">
        <v>247</v>
      </c>
      <c r="AJ5" s="216" t="s">
        <v>248</v>
      </c>
      <c r="AK5" s="216" t="s">
        <v>249</v>
      </c>
      <c r="AL5" s="216" t="s">
        <v>250</v>
      </c>
      <c r="AM5" s="24"/>
      <c r="AN5" s="6" t="s">
        <v>293</v>
      </c>
      <c r="AO5" s="83" t="s">
        <v>205</v>
      </c>
      <c r="AP5" s="28"/>
      <c r="AQ5" s="28"/>
      <c r="AR5" s="83" t="s">
        <v>35</v>
      </c>
    </row>
    <row r="6" spans="1:44" ht="12.75">
      <c r="A6" s="18"/>
      <c r="B6" s="101"/>
      <c r="C6" s="101"/>
      <c r="D6" s="101"/>
      <c r="E6" s="101"/>
      <c r="F6" s="101"/>
      <c r="G6" s="124"/>
      <c r="H6" s="25"/>
      <c r="I6" s="186"/>
      <c r="J6" s="36"/>
      <c r="K6" s="110">
        <f>5/16</f>
        <v>0.3125</v>
      </c>
      <c r="L6" s="36"/>
      <c r="M6" s="49" t="s">
        <v>194</v>
      </c>
      <c r="N6" s="255">
        <f>IF(AND($D$26&lt;&gt;"SC",$D$28="Oversized"),"ERROR",IF($D$28="Standard",VLOOKUP($D$24,$W$17:$X$22,2,FALSE),IF($D$28="Oversized",VLOOKUP($D$24,$W$17:$Y$22,3,FALSE),0)))</f>
        <v>0.9375</v>
      </c>
      <c r="O6" s="37" t="s">
        <v>229</v>
      </c>
      <c r="P6" s="37" t="s">
        <v>837</v>
      </c>
      <c r="S6" s="36"/>
      <c r="T6" s="36"/>
      <c r="U6" s="36"/>
      <c r="V6" s="36"/>
      <c r="W6" s="268">
        <v>0.625</v>
      </c>
      <c r="X6" s="269">
        <v>11</v>
      </c>
      <c r="Y6" s="37"/>
      <c r="Z6" s="270">
        <v>0.625</v>
      </c>
      <c r="AA6" s="271">
        <v>19</v>
      </c>
      <c r="AB6" s="269">
        <v>24</v>
      </c>
      <c r="AC6" s="36"/>
      <c r="AD6" s="36"/>
      <c r="AE6" s="36"/>
      <c r="AF6" s="284" t="s">
        <v>454</v>
      </c>
      <c r="AG6" s="285">
        <v>98.5</v>
      </c>
      <c r="AH6" s="286">
        <v>44</v>
      </c>
      <c r="AI6" s="287">
        <v>1.03</v>
      </c>
      <c r="AJ6" s="286">
        <v>15.9</v>
      </c>
      <c r="AK6" s="287">
        <v>1.77</v>
      </c>
      <c r="AL6" s="288">
        <v>2.56</v>
      </c>
      <c r="AM6" s="36"/>
      <c r="AN6" s="92" t="s">
        <v>109</v>
      </c>
      <c r="AO6" s="28"/>
      <c r="AP6" s="28"/>
      <c r="AQ6" s="28"/>
      <c r="AR6" s="120"/>
    </row>
    <row r="7" spans="1:45" ht="12.75">
      <c r="A7" s="10" t="s">
        <v>204</v>
      </c>
      <c r="B7" s="101"/>
      <c r="C7" s="101"/>
      <c r="D7" s="101"/>
      <c r="E7" s="101"/>
      <c r="F7" s="101"/>
      <c r="G7" s="22"/>
      <c r="H7" s="25"/>
      <c r="I7" s="187"/>
      <c r="J7" s="36"/>
      <c r="K7" s="110">
        <v>0.375</v>
      </c>
      <c r="L7" s="36"/>
      <c r="M7" s="49" t="s">
        <v>41</v>
      </c>
      <c r="N7" s="69">
        <f>PI()*$D$24^2/4</f>
        <v>0.6013204688511713</v>
      </c>
      <c r="O7" s="37" t="s">
        <v>210</v>
      </c>
      <c r="P7" s="30" t="s">
        <v>172</v>
      </c>
      <c r="S7" s="36"/>
      <c r="T7" s="36"/>
      <c r="U7" s="36"/>
      <c r="V7" s="36"/>
      <c r="W7" s="268">
        <v>0.75</v>
      </c>
      <c r="X7" s="269">
        <v>10</v>
      </c>
      <c r="Y7" s="37"/>
      <c r="Z7" s="270">
        <v>0.75</v>
      </c>
      <c r="AA7" s="271">
        <v>28</v>
      </c>
      <c r="AB7" s="269">
        <v>35</v>
      </c>
      <c r="AC7" s="36"/>
      <c r="AD7" s="36"/>
      <c r="AE7" s="36"/>
      <c r="AF7" s="289" t="s">
        <v>455</v>
      </c>
      <c r="AG7" s="290">
        <v>85.4</v>
      </c>
      <c r="AH7" s="291">
        <v>43.6</v>
      </c>
      <c r="AI7" s="292">
        <v>0.865</v>
      </c>
      <c r="AJ7" s="291">
        <v>15.8</v>
      </c>
      <c r="AK7" s="293">
        <v>1.58</v>
      </c>
      <c r="AL7" s="294">
        <v>2.36</v>
      </c>
      <c r="AM7" s="36"/>
      <c r="AN7" s="34">
        <v>74</v>
      </c>
      <c r="AO7" s="47" t="str">
        <f>IF($B$74&gt;=$D$16,"Rbv &gt;= R,  O.K.","Rbv &lt; R, N.G.")</f>
        <v>Rbv &gt;= R,  O.K.</v>
      </c>
      <c r="AP7" s="28"/>
      <c r="AQ7" s="28"/>
      <c r="AR7" s="5">
        <f>$D$16/$B$74</f>
        <v>0.3464597400639899</v>
      </c>
      <c r="AS7" s="384"/>
    </row>
    <row r="8" spans="1:45" ht="12.75">
      <c r="A8" s="18"/>
      <c r="B8" s="101"/>
      <c r="C8" s="101"/>
      <c r="D8" s="101"/>
      <c r="E8" s="188"/>
      <c r="F8" s="24"/>
      <c r="G8" s="24"/>
      <c r="H8" s="24"/>
      <c r="I8" s="26"/>
      <c r="J8" s="36"/>
      <c r="K8" s="110">
        <v>0.5</v>
      </c>
      <c r="L8" s="36"/>
      <c r="M8" s="49" t="s">
        <v>80</v>
      </c>
      <c r="N8" s="104">
        <f>IF($D$22=36,58,IF($D$22=50,65))</f>
        <v>58</v>
      </c>
      <c r="O8" s="37" t="s">
        <v>212</v>
      </c>
      <c r="P8" s="37" t="str">
        <f>IF($D$22=36,"Fup = 58 for Fyp = 36","Fup = 65 for Fyp = 50")&amp;" (for shear plate)"</f>
        <v>Fup = 58 for Fyp = 36 (for shear plate)</v>
      </c>
      <c r="S8" s="36"/>
      <c r="T8" s="36"/>
      <c r="U8" s="36"/>
      <c r="V8" s="36"/>
      <c r="W8" s="268">
        <v>0.875</v>
      </c>
      <c r="X8" s="269">
        <v>9</v>
      </c>
      <c r="Y8" s="37"/>
      <c r="Z8" s="270">
        <v>0.875</v>
      </c>
      <c r="AA8" s="271">
        <v>39</v>
      </c>
      <c r="AB8" s="269">
        <v>49</v>
      </c>
      <c r="AC8" s="36"/>
      <c r="AD8" s="36"/>
      <c r="AE8" s="36"/>
      <c r="AF8" s="289" t="s">
        <v>456</v>
      </c>
      <c r="AG8" s="290">
        <v>76.9</v>
      </c>
      <c r="AH8" s="291">
        <v>43.3</v>
      </c>
      <c r="AI8" s="292">
        <v>0.785</v>
      </c>
      <c r="AJ8" s="291">
        <v>15.8</v>
      </c>
      <c r="AK8" s="293">
        <v>1.42</v>
      </c>
      <c r="AL8" s="294">
        <v>2.2</v>
      </c>
      <c r="AM8" s="36"/>
      <c r="AN8" s="34">
        <v>82</v>
      </c>
      <c r="AO8" s="47" t="str">
        <f>IF($D$17&gt;0,IF($B$82&gt;=$D$17,"Rba &gt;= P,  O.K.","Rba &lt; P, N.G."),"N.A.")</f>
        <v>N.A.</v>
      </c>
      <c r="AP8" s="28"/>
      <c r="AQ8" s="28"/>
      <c r="AR8" s="5">
        <f>IF($D$17&gt;0,$D$17/$B$82,"")</f>
      </c>
      <c r="AS8" s="384"/>
    </row>
    <row r="9" spans="1:45" ht="12.75">
      <c r="A9" s="10" t="s">
        <v>133</v>
      </c>
      <c r="B9" s="24"/>
      <c r="C9" s="24"/>
      <c r="D9" s="24"/>
      <c r="E9" s="137"/>
      <c r="F9" s="9"/>
      <c r="G9" s="9"/>
      <c r="H9" s="9"/>
      <c r="I9" s="128" t="str">
        <f>"tw="&amp;$D$46</f>
        <v>tw=0.4</v>
      </c>
      <c r="J9" s="36"/>
      <c r="K9" s="110">
        <v>0.75</v>
      </c>
      <c r="L9" s="36"/>
      <c r="M9" s="49" t="s">
        <v>188</v>
      </c>
      <c r="N9" s="104">
        <f>IF($D$12=36,58,IF($D$12=50,65))</f>
        <v>65</v>
      </c>
      <c r="O9" s="37" t="s">
        <v>212</v>
      </c>
      <c r="P9" s="37" t="str">
        <f>IF($D$12=36,"Fub = 58 for Fyb = 36","Fub = 65 for Fyb = 50")&amp;" (for beam)"</f>
        <v>Fub = 65 for Fyb = 50 (for beam)</v>
      </c>
      <c r="S9" s="36"/>
      <c r="T9" s="36"/>
      <c r="U9" s="36"/>
      <c r="V9" s="36"/>
      <c r="W9" s="268">
        <v>1</v>
      </c>
      <c r="X9" s="269">
        <v>8</v>
      </c>
      <c r="Y9" s="37"/>
      <c r="Z9" s="270">
        <v>1</v>
      </c>
      <c r="AA9" s="271">
        <v>51</v>
      </c>
      <c r="AB9" s="269">
        <v>64</v>
      </c>
      <c r="AC9" s="36"/>
      <c r="AD9" s="36"/>
      <c r="AE9" s="36"/>
      <c r="AF9" s="289" t="s">
        <v>457</v>
      </c>
      <c r="AG9" s="290">
        <v>67.7</v>
      </c>
      <c r="AH9" s="291">
        <v>42.9</v>
      </c>
      <c r="AI9" s="292">
        <v>0.71</v>
      </c>
      <c r="AJ9" s="291">
        <v>15.8</v>
      </c>
      <c r="AK9" s="293">
        <v>1.22</v>
      </c>
      <c r="AL9" s="294">
        <v>2.01</v>
      </c>
      <c r="AM9" s="36"/>
      <c r="AN9" s="34">
        <v>95</v>
      </c>
      <c r="AO9" s="47" t="str">
        <f>IF($D$17&gt;0,IF($D$21&gt;=$B$95,"ta &gt;= ta(req'd),  O.K.","ta &lt; ta(req'd), N.G."),"N.A.")</f>
        <v>N.A.</v>
      </c>
      <c r="AP9" s="28"/>
      <c r="AQ9" s="28"/>
      <c r="AR9" s="5">
        <f>IF($D$17&gt;0,$B$95/$D$21,"")</f>
      </c>
      <c r="AS9" s="384"/>
    </row>
    <row r="10" spans="1:45" ht="12.75">
      <c r="A10" s="18"/>
      <c r="B10" s="9"/>
      <c r="C10" s="43" t="s">
        <v>173</v>
      </c>
      <c r="D10" s="157" t="s">
        <v>325</v>
      </c>
      <c r="E10" s="44"/>
      <c r="F10" s="9"/>
      <c r="G10" s="9"/>
      <c r="H10" s="9"/>
      <c r="I10" s="126" t="str">
        <f>"bf="&amp;$D$47</f>
        <v>bf=8.24</v>
      </c>
      <c r="J10" s="25"/>
      <c r="K10" s="110">
        <v>0.875</v>
      </c>
      <c r="L10" s="43"/>
      <c r="M10" s="49" t="s">
        <v>24</v>
      </c>
      <c r="N10" s="108">
        <f>IF($D$13=36,58,IF($D$13=50,65))</f>
        <v>65</v>
      </c>
      <c r="O10" s="37" t="s">
        <v>212</v>
      </c>
      <c r="P10" s="37" t="str">
        <f>IF($D$13=36,"Fuc = 58 for Fyc = 36","Fuc = 65 for Fyc = 50")&amp;" (for column)"</f>
        <v>Fuc = 65 for Fyc = 50 (for column)</v>
      </c>
      <c r="S10" s="25"/>
      <c r="T10" s="25"/>
      <c r="U10" s="25"/>
      <c r="V10" s="25"/>
      <c r="W10" s="268">
        <v>1.125</v>
      </c>
      <c r="X10" s="269">
        <v>7</v>
      </c>
      <c r="Y10" s="37"/>
      <c r="Z10" s="270">
        <v>1.125</v>
      </c>
      <c r="AA10" s="271">
        <v>56</v>
      </c>
      <c r="AB10" s="269">
        <v>80</v>
      </c>
      <c r="AC10" s="25"/>
      <c r="AD10" s="25"/>
      <c r="AE10" s="25"/>
      <c r="AF10" s="289" t="s">
        <v>458</v>
      </c>
      <c r="AG10" s="295">
        <v>174</v>
      </c>
      <c r="AH10" s="291">
        <v>43</v>
      </c>
      <c r="AI10" s="293">
        <v>1.79</v>
      </c>
      <c r="AJ10" s="291">
        <v>16.7</v>
      </c>
      <c r="AK10" s="293">
        <v>3.23</v>
      </c>
      <c r="AL10" s="294">
        <v>4.41</v>
      </c>
      <c r="AM10" s="25"/>
      <c r="AN10" s="34">
        <v>98</v>
      </c>
      <c r="AO10" s="47" t="str">
        <f>IF($D$17&gt;0,IF($B$98&gt;=$D$17,"Ra &gt;= P,  O.K.","Ra &lt; P, N.G."),"N.A.")</f>
        <v>N.A.</v>
      </c>
      <c r="AP10" s="28"/>
      <c r="AQ10" s="28"/>
      <c r="AR10" s="5">
        <f>IF($D$17&gt;0,$D$17/$B$98,"")</f>
      </c>
      <c r="AS10" s="384"/>
    </row>
    <row r="11" spans="1:45" ht="12.75">
      <c r="A11" s="18"/>
      <c r="B11" s="9"/>
      <c r="C11" s="43" t="s">
        <v>134</v>
      </c>
      <c r="D11" s="158" t="s">
        <v>326</v>
      </c>
      <c r="E11" s="44"/>
      <c r="F11" s="9"/>
      <c r="G11" s="9"/>
      <c r="H11" s="9"/>
      <c r="I11" s="13"/>
      <c r="K11" s="110">
        <v>1</v>
      </c>
      <c r="L11" s="43"/>
      <c r="M11" s="93" t="s">
        <v>264</v>
      </c>
      <c r="N11" s="47"/>
      <c r="O11" s="47"/>
      <c r="P11" s="47"/>
      <c r="Q11" s="47"/>
      <c r="R11" s="47"/>
      <c r="W11" s="268">
        <v>1.25</v>
      </c>
      <c r="X11" s="269">
        <v>7</v>
      </c>
      <c r="Y11" s="37"/>
      <c r="Z11" s="270">
        <v>1.25</v>
      </c>
      <c r="AA11" s="271">
        <v>71</v>
      </c>
      <c r="AB11" s="269">
        <v>102</v>
      </c>
      <c r="AF11" s="289" t="s">
        <v>459</v>
      </c>
      <c r="AG11" s="295">
        <v>148</v>
      </c>
      <c r="AH11" s="291">
        <v>42.1</v>
      </c>
      <c r="AI11" s="293">
        <v>1.54</v>
      </c>
      <c r="AJ11" s="291">
        <v>16.4</v>
      </c>
      <c r="AK11" s="293">
        <v>2.76</v>
      </c>
      <c r="AL11" s="294">
        <v>3.94</v>
      </c>
      <c r="AN11" s="34">
        <v>109</v>
      </c>
      <c r="AO11" s="47" t="str">
        <f>IF($B$109&gt;=$D$16,"Rpv &gt;= R,  O.K.","Rpv &lt; R, N.G.")</f>
        <v>Rpv &gt;= R,  O.K.</v>
      </c>
      <c r="AP11" s="28"/>
      <c r="AQ11" s="28"/>
      <c r="AR11" s="5">
        <f>$D$16/$B$109</f>
        <v>0.2541043813153872</v>
      </c>
      <c r="AS11" s="384"/>
    </row>
    <row r="12" spans="1:45" ht="12.75">
      <c r="A12" s="48"/>
      <c r="B12" s="9"/>
      <c r="C12" s="43" t="s">
        <v>783</v>
      </c>
      <c r="D12" s="153">
        <v>50</v>
      </c>
      <c r="E12" s="105" t="s">
        <v>212</v>
      </c>
      <c r="F12" s="9"/>
      <c r="G12" s="9"/>
      <c r="H12" s="9"/>
      <c r="I12" s="13"/>
      <c r="K12" s="110">
        <v>1.125</v>
      </c>
      <c r="L12" s="43"/>
      <c r="M12" s="56" t="s">
        <v>257</v>
      </c>
      <c r="O12" s="56"/>
      <c r="P12" s="47" t="s">
        <v>196</v>
      </c>
      <c r="W12" s="268">
        <v>1.375</v>
      </c>
      <c r="X12" s="269">
        <v>6</v>
      </c>
      <c r="Y12" s="37"/>
      <c r="Z12" s="270">
        <v>1.375</v>
      </c>
      <c r="AA12" s="271">
        <v>85</v>
      </c>
      <c r="AB12" s="269">
        <v>121</v>
      </c>
      <c r="AF12" s="289" t="s">
        <v>460</v>
      </c>
      <c r="AG12" s="295">
        <v>127</v>
      </c>
      <c r="AH12" s="291">
        <v>41.3</v>
      </c>
      <c r="AI12" s="293">
        <v>1.34</v>
      </c>
      <c r="AJ12" s="291">
        <v>16.2</v>
      </c>
      <c r="AK12" s="293">
        <v>2.36</v>
      </c>
      <c r="AL12" s="294">
        <v>3.54</v>
      </c>
      <c r="AN12" s="34">
        <v>113</v>
      </c>
      <c r="AO12" s="47" t="str">
        <f>IF($B$113&gt;=$D$16,"Rvg &gt;= R,  O.K.","Rvg &lt; R, N.G.")</f>
        <v>Rvg &gt;= R,  O.K.</v>
      </c>
      <c r="AP12" s="28"/>
      <c r="AQ12" s="28"/>
      <c r="AR12" s="5">
        <f>$D$16/$B$113</f>
        <v>0.32206119162640906</v>
      </c>
      <c r="AS12" s="384"/>
    </row>
    <row r="13" spans="1:45" ht="12.75">
      <c r="A13" s="18"/>
      <c r="B13" s="9"/>
      <c r="C13" s="43" t="s">
        <v>135</v>
      </c>
      <c r="D13" s="154">
        <v>50</v>
      </c>
      <c r="E13" s="105" t="s">
        <v>212</v>
      </c>
      <c r="F13" s="46"/>
      <c r="G13" s="113" t="s">
        <v>165</v>
      </c>
      <c r="H13" s="44"/>
      <c r="I13" s="45"/>
      <c r="K13" s="110">
        <v>1.25</v>
      </c>
      <c r="L13" s="43"/>
      <c r="M13" s="32" t="s">
        <v>261</v>
      </c>
      <c r="N13" s="33">
        <f>2*$D$29</f>
        <v>8</v>
      </c>
      <c r="O13" s="30" t="s">
        <v>277</v>
      </c>
      <c r="P13" s="30" t="s">
        <v>121</v>
      </c>
      <c r="W13" s="272">
        <v>1.5</v>
      </c>
      <c r="X13" s="273">
        <v>6</v>
      </c>
      <c r="Y13" s="47"/>
      <c r="Z13" s="274">
        <v>1.5</v>
      </c>
      <c r="AA13" s="275">
        <v>103</v>
      </c>
      <c r="AB13" s="273">
        <v>148</v>
      </c>
      <c r="AF13" s="289" t="s">
        <v>461</v>
      </c>
      <c r="AG13" s="295">
        <v>117</v>
      </c>
      <c r="AH13" s="291">
        <v>41</v>
      </c>
      <c r="AI13" s="293">
        <v>1.22</v>
      </c>
      <c r="AJ13" s="291">
        <v>16.1</v>
      </c>
      <c r="AK13" s="293">
        <v>2.2</v>
      </c>
      <c r="AL13" s="294">
        <v>3.38</v>
      </c>
      <c r="AN13" s="34">
        <v>117</v>
      </c>
      <c r="AO13" s="47" t="str">
        <f>IF($B$117&gt;=$D$16,"Rvn &gt;= R,  O.K.","Rvn &lt; R, N.G.")</f>
        <v>Rvn &gt;= R,  O.K.</v>
      </c>
      <c r="AP13" s="28"/>
      <c r="AQ13" s="28"/>
      <c r="AR13" s="5">
        <f>$D$16/$B$117</f>
        <v>0.4086845466155812</v>
      </c>
      <c r="AS13" s="384"/>
    </row>
    <row r="14" spans="1:45" ht="12.75">
      <c r="A14" s="18"/>
      <c r="B14" s="9"/>
      <c r="C14" s="9"/>
      <c r="D14" s="9"/>
      <c r="E14" s="9"/>
      <c r="F14" s="23"/>
      <c r="G14" s="130" t="str">
        <f>"g="&amp;$D$33</f>
        <v>g=3.5</v>
      </c>
      <c r="H14" s="27" t="str">
        <f>"      tp="&amp;$D$21</f>
        <v>      tp=0.375</v>
      </c>
      <c r="I14" s="13"/>
      <c r="K14" s="110">
        <v>1.375</v>
      </c>
      <c r="L14" s="9"/>
      <c r="M14" s="32" t="s">
        <v>279</v>
      </c>
      <c r="N14" s="40">
        <f>$D$16/$N$13</f>
        <v>5</v>
      </c>
      <c r="O14" s="30" t="s">
        <v>211</v>
      </c>
      <c r="P14" s="30" t="s">
        <v>382</v>
      </c>
      <c r="Y14" s="37"/>
      <c r="AF14" s="289" t="s">
        <v>462</v>
      </c>
      <c r="AG14" s="295">
        <v>109</v>
      </c>
      <c r="AH14" s="291">
        <v>40.6</v>
      </c>
      <c r="AI14" s="293">
        <v>1.16</v>
      </c>
      <c r="AJ14" s="291">
        <v>16.1</v>
      </c>
      <c r="AK14" s="293">
        <v>2.05</v>
      </c>
      <c r="AL14" s="294">
        <v>3.23</v>
      </c>
      <c r="AN14" s="34">
        <v>123</v>
      </c>
      <c r="AO14" s="47" t="str">
        <f>IF($B$123&gt;=$D$16,"Rbs &gt;= R,  O.K.","Rbs &lt; R, N.G.")</f>
        <v>Rbs &gt;= R,  O.K.</v>
      </c>
      <c r="AP14" s="28"/>
      <c r="AQ14" s="28"/>
      <c r="AR14" s="5">
        <f>$D$16/$B$123</f>
        <v>0.40266767333585</v>
      </c>
      <c r="AS14" s="384"/>
    </row>
    <row r="15" spans="1:45" ht="12.75">
      <c r="A15" s="10" t="s">
        <v>199</v>
      </c>
      <c r="B15" s="9"/>
      <c r="C15" s="9"/>
      <c r="D15" s="9"/>
      <c r="E15" s="106"/>
      <c r="F15" s="14" t="str">
        <f>"ED="&amp;$D$32</f>
        <v>ED=1.25</v>
      </c>
      <c r="G15" s="9"/>
      <c r="H15" s="14"/>
      <c r="I15" s="128" t="s">
        <v>234</v>
      </c>
      <c r="K15" s="110">
        <v>1.5</v>
      </c>
      <c r="L15" s="9"/>
      <c r="M15" s="32" t="s">
        <v>201</v>
      </c>
      <c r="N15" s="40">
        <f>$N$14/$N$7</f>
        <v>8.315033761535757</v>
      </c>
      <c r="O15" s="30" t="s">
        <v>212</v>
      </c>
      <c r="P15" s="30" t="s">
        <v>383</v>
      </c>
      <c r="W15" s="276" t="s">
        <v>446</v>
      </c>
      <c r="X15" s="277"/>
      <c r="Y15" s="278"/>
      <c r="AA15" s="375" t="s">
        <v>447</v>
      </c>
      <c r="AB15" s="376"/>
      <c r="AC15" s="377"/>
      <c r="AF15" s="289" t="s">
        <v>463</v>
      </c>
      <c r="AG15" s="295">
        <v>107</v>
      </c>
      <c r="AH15" s="291">
        <v>40.6</v>
      </c>
      <c r="AI15" s="293">
        <v>1.12</v>
      </c>
      <c r="AJ15" s="291">
        <v>16</v>
      </c>
      <c r="AK15" s="293">
        <v>2.01</v>
      </c>
      <c r="AL15" s="294">
        <v>3.19</v>
      </c>
      <c r="AN15" s="92" t="s">
        <v>110</v>
      </c>
      <c r="AR15" s="5"/>
      <c r="AS15" s="384"/>
    </row>
    <row r="16" spans="1:45" ht="12.75">
      <c r="A16" s="18"/>
      <c r="B16" s="43"/>
      <c r="C16" s="43" t="s">
        <v>302</v>
      </c>
      <c r="D16" s="155">
        <v>40</v>
      </c>
      <c r="E16" s="117" t="s">
        <v>206</v>
      </c>
      <c r="F16" s="14"/>
      <c r="G16" s="36"/>
      <c r="H16" s="9"/>
      <c r="I16" s="126" t="str">
        <f>"        D1="&amp;$D$30</f>
        <v>        D1=3.25</v>
      </c>
      <c r="K16" s="33" t="s">
        <v>215</v>
      </c>
      <c r="L16" s="43"/>
      <c r="M16" s="49" t="s">
        <v>40</v>
      </c>
      <c r="N16" s="60">
        <f>$D$17/$N$13</f>
        <v>0</v>
      </c>
      <c r="O16" s="37" t="s">
        <v>211</v>
      </c>
      <c r="P16" s="37" t="s">
        <v>235</v>
      </c>
      <c r="W16" s="279" t="s">
        <v>448</v>
      </c>
      <c r="X16" s="279" t="s">
        <v>449</v>
      </c>
      <c r="Y16" s="279" t="s">
        <v>450</v>
      </c>
      <c r="AA16" s="263" t="s">
        <v>442</v>
      </c>
      <c r="AB16" s="263" t="s">
        <v>451</v>
      </c>
      <c r="AC16" s="263" t="s">
        <v>836</v>
      </c>
      <c r="AF16" s="289" t="s">
        <v>464</v>
      </c>
      <c r="AG16" s="290">
        <v>95.3</v>
      </c>
      <c r="AH16" s="291">
        <v>40.2</v>
      </c>
      <c r="AI16" s="293">
        <v>1</v>
      </c>
      <c r="AJ16" s="291">
        <v>15.9</v>
      </c>
      <c r="AK16" s="293">
        <v>1.81</v>
      </c>
      <c r="AL16" s="294">
        <v>2.99</v>
      </c>
      <c r="AN16" s="34">
        <v>136</v>
      </c>
      <c r="AO16" s="47" t="str">
        <f>IF($B$136&gt;=$B$127,"Rwr' &gt;= Pr,  O.K.","Rwr' &lt; Pr, N.G.")</f>
        <v>Rwr' &gt;= Pr,  O.K.</v>
      </c>
      <c r="AP16" s="28"/>
      <c r="AQ16" s="28"/>
      <c r="AR16" s="5">
        <f>$B$127/$B$136</f>
        <v>0.5256147256665216</v>
      </c>
      <c r="AS16" s="384"/>
    </row>
    <row r="17" spans="1:45" ht="12.75">
      <c r="A17" s="18"/>
      <c r="B17" s="43"/>
      <c r="C17" s="43" t="s">
        <v>269</v>
      </c>
      <c r="D17" s="156">
        <v>0</v>
      </c>
      <c r="E17" s="117" t="s">
        <v>206</v>
      </c>
      <c r="F17" s="113" t="str">
        <f>"Nr="&amp;$D$29&amp;"    "</f>
        <v>Nr=4    </v>
      </c>
      <c r="G17" s="14"/>
      <c r="H17" s="27" t="s">
        <v>263</v>
      </c>
      <c r="I17" s="131"/>
      <c r="K17" s="33" t="s">
        <v>58</v>
      </c>
      <c r="L17" s="43"/>
      <c r="M17" s="49" t="s">
        <v>39</v>
      </c>
      <c r="N17" s="60">
        <f>$N$16/$N$7</f>
        <v>0</v>
      </c>
      <c r="O17" s="37" t="s">
        <v>212</v>
      </c>
      <c r="P17" s="37" t="s">
        <v>171</v>
      </c>
      <c r="W17" s="280">
        <v>0.5</v>
      </c>
      <c r="X17" s="280">
        <v>0.5625</v>
      </c>
      <c r="Y17" s="280">
        <v>0.625</v>
      </c>
      <c r="AA17" s="264">
        <v>0.5</v>
      </c>
      <c r="AB17" s="378">
        <v>0.875</v>
      </c>
      <c r="AC17" s="379">
        <v>0.75</v>
      </c>
      <c r="AF17" s="289" t="s">
        <v>465</v>
      </c>
      <c r="AG17" s="290">
        <v>87.4</v>
      </c>
      <c r="AH17" s="291">
        <v>39.8</v>
      </c>
      <c r="AI17" s="292">
        <v>0.93</v>
      </c>
      <c r="AJ17" s="291">
        <v>15.8</v>
      </c>
      <c r="AK17" s="293">
        <v>1.65</v>
      </c>
      <c r="AL17" s="294">
        <v>2.83</v>
      </c>
      <c r="AN17" s="34">
        <v>130</v>
      </c>
      <c r="AO17" s="47" t="str">
        <f>IF($D$23&gt;=$B$130,"Weld(used) &gt;= weld(req'd), O.K.","Weld(used) &lt; weld(req'd), N.G.")</f>
        <v>Weld(used) &gt;= weld(req'd), O.K.</v>
      </c>
      <c r="AP17" s="28"/>
      <c r="AQ17" s="28"/>
      <c r="AR17" s="5">
        <f>$B$130/$D$23</f>
        <v>0.48984490285763266</v>
      </c>
      <c r="AS17" s="384"/>
    </row>
    <row r="18" spans="1:45" ht="12.75">
      <c r="A18" s="52"/>
      <c r="B18" s="43"/>
      <c r="C18" s="9"/>
      <c r="D18" s="9"/>
      <c r="E18" s="9"/>
      <c r="F18" s="113"/>
      <c r="G18" s="111"/>
      <c r="H18" s="14" t="s">
        <v>263</v>
      </c>
      <c r="I18" s="134" t="str">
        <f>"      P="&amp;$D$17&amp;" k"</f>
        <v>      P=0 k</v>
      </c>
      <c r="K18" s="33" t="s">
        <v>216</v>
      </c>
      <c r="L18" s="9"/>
      <c r="M18" s="73" t="s">
        <v>384</v>
      </c>
      <c r="N18" s="33" t="str">
        <f>IF($D$26="SC",IF($D$27="Class A",0.35,IF($D$27="Class B",0.5,"N.A.")),"N.A.")</f>
        <v>N.A.</v>
      </c>
      <c r="O18" s="33"/>
      <c r="P18" s="28">
        <f>IF($N$18="N.A.","",IF($N$18=0.35,"For unpainted clean mill scale steel surfaces","For unpainted blast-cleaned steel surfaces"))</f>
      </c>
      <c r="W18" s="281">
        <v>0.625</v>
      </c>
      <c r="X18" s="281">
        <v>0.6875</v>
      </c>
      <c r="Y18" s="281">
        <v>0.8125</v>
      </c>
      <c r="AA18" s="268">
        <v>0.625</v>
      </c>
      <c r="AB18" s="380">
        <v>1.125</v>
      </c>
      <c r="AC18" s="381">
        <v>0.875</v>
      </c>
      <c r="AF18" s="289" t="s">
        <v>466</v>
      </c>
      <c r="AG18" s="290">
        <v>81.4</v>
      </c>
      <c r="AH18" s="291">
        <v>39.7</v>
      </c>
      <c r="AI18" s="292">
        <v>0.83</v>
      </c>
      <c r="AJ18" s="291">
        <v>15.8</v>
      </c>
      <c r="AK18" s="293">
        <v>1.58</v>
      </c>
      <c r="AL18" s="294">
        <v>2.76</v>
      </c>
      <c r="AN18" s="34"/>
      <c r="AO18" s="42">
        <f>$D$23</f>
        <v>0.25</v>
      </c>
      <c r="AP18" s="42">
        <f>$B$130</f>
        <v>0.12246122571440816</v>
      </c>
      <c r="AQ18" s="28"/>
      <c r="AR18" s="5"/>
      <c r="AS18" s="384"/>
    </row>
    <row r="19" spans="1:45" ht="12.75">
      <c r="A19" s="10" t="s">
        <v>283</v>
      </c>
      <c r="B19" s="9"/>
      <c r="C19" s="9"/>
      <c r="D19" s="20"/>
      <c r="E19" s="106"/>
      <c r="F19" s="23"/>
      <c r="G19" s="115"/>
      <c r="H19" s="14" t="str">
        <f>"                 R=  "&amp;$D$16&amp;" k"</f>
        <v>                 R=  40 k</v>
      </c>
      <c r="I19" s="45"/>
      <c r="K19" s="33" t="s">
        <v>59</v>
      </c>
      <c r="L19" s="9"/>
      <c r="M19" s="32" t="s">
        <v>313</v>
      </c>
      <c r="N19" s="40" t="str">
        <f>IF($D$26="SC",IF($D$25="A325",VLOOKUP($D$24,$Z$5:$AA$13,2,FALSE),VLOOKUP($D$24,$Z$5:$AB$13,3,FALSE)),"N.A.")</f>
        <v>N.A.</v>
      </c>
      <c r="O19" s="30" t="s">
        <v>206</v>
      </c>
      <c r="P19" s="28">
        <f>IF($N$19="N.A.","","Tb = Minimum Bolt Pretension per Table J3.1, for SC bolts only")</f>
      </c>
      <c r="W19" s="281">
        <v>0.75</v>
      </c>
      <c r="X19" s="281">
        <v>0.8125</v>
      </c>
      <c r="Y19" s="281">
        <v>0.9375</v>
      </c>
      <c r="AA19" s="268">
        <v>0.75</v>
      </c>
      <c r="AB19" s="380">
        <v>1.25</v>
      </c>
      <c r="AC19" s="381">
        <v>1</v>
      </c>
      <c r="AF19" s="289" t="s">
        <v>467</v>
      </c>
      <c r="AG19" s="290">
        <v>73.3</v>
      </c>
      <c r="AH19" s="291">
        <v>39.4</v>
      </c>
      <c r="AI19" s="292">
        <v>0.75</v>
      </c>
      <c r="AJ19" s="291">
        <v>15.8</v>
      </c>
      <c r="AK19" s="293">
        <v>1.42</v>
      </c>
      <c r="AL19" s="294">
        <v>2.6</v>
      </c>
      <c r="AN19" s="34">
        <v>132</v>
      </c>
      <c r="AO19" s="47" t="str">
        <f>IF($D$23&lt;=$B$132,"Weld(used) &lt;= weld(max), O.K.","Weld(used) &gt; weld(max), N.G.")</f>
        <v>Weld(used) &lt;= weld(max), O.K.</v>
      </c>
      <c r="AP19" s="28"/>
      <c r="AQ19" s="28"/>
      <c r="AR19" s="5">
        <f>$D$23/$B$132</f>
        <v>0.8</v>
      </c>
      <c r="AS19" s="384"/>
    </row>
    <row r="20" spans="1:45" ht="12.75">
      <c r="A20" s="18"/>
      <c r="B20" s="9"/>
      <c r="C20" s="57" t="s">
        <v>75</v>
      </c>
      <c r="D20" s="358">
        <v>6</v>
      </c>
      <c r="E20" s="107" t="s">
        <v>229</v>
      </c>
      <c r="F20" s="113"/>
      <c r="G20" s="14"/>
      <c r="H20" s="9"/>
      <c r="I20" s="127"/>
      <c r="K20" s="33" t="s">
        <v>7</v>
      </c>
      <c r="L20" s="57"/>
      <c r="M20" s="49" t="s">
        <v>385</v>
      </c>
      <c r="N20" s="2">
        <f>IF($D$25="A325",IF($D$26="N",48,IF($D$26="X",60,IF($D$26="SC","N.A.","ERROR"))),IF($D$25="A490",IF($D$26="N",60,IF($D$26="X",75,IF($D$26="SC","N.A.","ERROR"))),"ERROR"))</f>
        <v>48</v>
      </c>
      <c r="O20" s="37" t="s">
        <v>212</v>
      </c>
      <c r="P20" s="71" t="str">
        <f>IF($D$25="A325",IF($D$26="N","Fnv  = Nominal shear stress for A325-N from AISC Table J3.2, page 16.1-104",IF($D$26="X","Fnv  = Nominal shear stress for A325-X from AISC Table J3.2, page 16.1-104",IF($D$26="SC","Fnv = not applicable for SC bolts","ERROR"))),IF($D$25="A490",IF($D$26="N","Fnv  = Nominal shear stress for A490-N from AISC Table J3.2, page 16.1-104",IF($D$26="X","Fnv  = Nominal shear stress for A490-X from AISC Table J3.2, page 16.1-104",IF($D$26="SC","Fnv = not applicable for SC bolts","ERROR"))),"ERROR"))</f>
        <v>Fnv  = Nominal shear stress for A325-N from AISC Table J3.2, page 16.1-104</v>
      </c>
      <c r="Q20" s="8"/>
      <c r="R20" s="8"/>
      <c r="W20" s="281">
        <v>0.875</v>
      </c>
      <c r="X20" s="281">
        <v>0.9375</v>
      </c>
      <c r="Y20" s="281">
        <v>1.0625</v>
      </c>
      <c r="AA20" s="268">
        <v>0.875</v>
      </c>
      <c r="AB20" s="380">
        <v>1.25</v>
      </c>
      <c r="AC20" s="381">
        <v>1.125</v>
      </c>
      <c r="AF20" s="289" t="s">
        <v>468</v>
      </c>
      <c r="AG20" s="290">
        <v>63.4</v>
      </c>
      <c r="AH20" s="291">
        <v>39</v>
      </c>
      <c r="AI20" s="292">
        <v>0.65</v>
      </c>
      <c r="AJ20" s="291">
        <v>15.8</v>
      </c>
      <c r="AK20" s="293">
        <v>1.22</v>
      </c>
      <c r="AL20" s="294">
        <v>2.4</v>
      </c>
      <c r="AN20" s="34"/>
      <c r="AO20" s="42">
        <f>$D$23</f>
        <v>0.25</v>
      </c>
      <c r="AP20" s="42">
        <f>$B$132</f>
        <v>0.3125</v>
      </c>
      <c r="AQ20" s="28"/>
      <c r="AR20" s="5"/>
      <c r="AS20" s="384"/>
    </row>
    <row r="21" spans="1:45" ht="12.75">
      <c r="A21" s="18"/>
      <c r="B21" s="9"/>
      <c r="C21" s="43" t="s">
        <v>73</v>
      </c>
      <c r="D21" s="160">
        <v>0.375</v>
      </c>
      <c r="E21" s="107" t="s">
        <v>229</v>
      </c>
      <c r="F21" s="9"/>
      <c r="G21" s="130" t="str">
        <f>"Lc="&amp;$D$20&amp;"  "</f>
        <v>Lc=6  </v>
      </c>
      <c r="H21" s="113"/>
      <c r="I21" s="100"/>
      <c r="K21" s="33" t="s">
        <v>391</v>
      </c>
      <c r="L21" s="57"/>
      <c r="M21" s="49" t="s">
        <v>386</v>
      </c>
      <c r="N21" s="2">
        <f>IF($D$26="SC","N.A.",IF(OR($N$17/($N$27/2)&lt;=0.2,$N$15/($N$20/2)&lt;=0.2),$N$20,MIN($N$20,1.3*$N$20-(2*$N$20/$N$27)*$N$17)))</f>
        <v>48</v>
      </c>
      <c r="O21" s="37" t="s">
        <v>212</v>
      </c>
      <c r="P21" s="71" t="str">
        <f>IF($N$21=$N$20,"Fnv' = Fnv (no reduction needed for comb. effects)","Fnv' = 1.3*Fnv - (2*Fnv/Fnt)*ft")</f>
        <v>Fnv' = Fnv (no reduction needed for comb. effects)</v>
      </c>
      <c r="Q21" s="8"/>
      <c r="R21" s="8"/>
      <c r="W21" s="281">
        <v>1</v>
      </c>
      <c r="X21" s="281">
        <v>1.0625</v>
      </c>
      <c r="Y21" s="281">
        <v>1.25</v>
      </c>
      <c r="AA21" s="268">
        <v>1</v>
      </c>
      <c r="AB21" s="380">
        <v>1.25</v>
      </c>
      <c r="AC21" s="381">
        <v>1.25</v>
      </c>
      <c r="AF21" s="289" t="s">
        <v>469</v>
      </c>
      <c r="AG21" s="290">
        <v>58.5</v>
      </c>
      <c r="AH21" s="291">
        <v>38.7</v>
      </c>
      <c r="AI21" s="292">
        <v>0.65</v>
      </c>
      <c r="AJ21" s="291">
        <v>15.8</v>
      </c>
      <c r="AK21" s="293">
        <v>1.07</v>
      </c>
      <c r="AL21" s="294">
        <v>2.25</v>
      </c>
      <c r="AN21" s="353" t="str">
        <f>IF(AND($D$34=0,$D$35=0,$D$36=0),$M$78,IF(AND($D$34&gt;0,$D$35&gt;0,$D$36=0),$M$87,IF(AND($D$34&gt;0,$D$35&gt;0,$D$36&gt;0),$M$109)))</f>
        <v>Beam Checks for Uncoped Flanges:</v>
      </c>
      <c r="AR21" s="5"/>
      <c r="AS21" s="384"/>
    </row>
    <row r="22" spans="1:45" ht="12.75">
      <c r="A22" s="18"/>
      <c r="B22" s="9"/>
      <c r="C22" s="43" t="s">
        <v>74</v>
      </c>
      <c r="D22" s="153">
        <v>36</v>
      </c>
      <c r="E22" s="105" t="s">
        <v>212</v>
      </c>
      <c r="F22" s="54"/>
      <c r="G22" s="9"/>
      <c r="H22" s="27"/>
      <c r="I22" s="53"/>
      <c r="K22" s="33" t="s">
        <v>393</v>
      </c>
      <c r="L22" s="43"/>
      <c r="M22" s="32" t="s">
        <v>214</v>
      </c>
      <c r="N22" s="60">
        <f>IF($D$25="A325",IF($D$26="SC",IF($D$28="Standard",(1/1.76)*$N$18*1.13*1*$N$19*1/$N$7,(1/1.76)*$N$18*1.13*0.85*$N$19*1/$N$7),$N$21/2),IF($D$25="A490",IF($D$26="SC",IF($D$28="Standard",(1/1.76)*$N$18*1.13*1*$N$19*1/$N$7,(1/1.76)*$N$18*1.13*0.85*$N$19*1/$N$7),$N$21/2)))</f>
        <v>24</v>
      </c>
      <c r="O22" s="30" t="s">
        <v>212</v>
      </c>
      <c r="P22" s="71" t="str">
        <f>IF($C$14="SC","Fv = Rn / Ab, see Sect. J3.8 (allowable bolt shear stress)","Fv = Fnv' / 2 (allowable bolt shear stress)")</f>
        <v>Fv = Fnv' / 2 (allowable bolt shear stress)</v>
      </c>
      <c r="R22" s="8"/>
      <c r="W22" s="282" t="str">
        <f>IF($D$24&gt;=1.125,$D$24,"N.A.")</f>
        <v>N.A.</v>
      </c>
      <c r="X22" s="283" t="str">
        <f>IF($W$22="N.A.","N.A.",$W$22+1/16)</f>
        <v>N.A.</v>
      </c>
      <c r="Y22" s="283" t="str">
        <f>IF($W$22="N.A.","N.A.",$W$22+5/16)</f>
        <v>N.A.</v>
      </c>
      <c r="AA22" s="268">
        <v>1.125</v>
      </c>
      <c r="AB22" s="380">
        <v>2</v>
      </c>
      <c r="AC22" s="381">
        <v>1.5</v>
      </c>
      <c r="AF22" s="289" t="s">
        <v>470</v>
      </c>
      <c r="AG22" s="295">
        <v>115</v>
      </c>
      <c r="AH22" s="291">
        <v>41.6</v>
      </c>
      <c r="AI22" s="293">
        <v>1.42</v>
      </c>
      <c r="AJ22" s="291">
        <v>12.4</v>
      </c>
      <c r="AK22" s="293">
        <v>2.52</v>
      </c>
      <c r="AL22" s="294">
        <v>3.7</v>
      </c>
      <c r="AN22" s="34">
        <v>143</v>
      </c>
      <c r="AO22" s="47" t="str">
        <f>IF($AR$22="","N.A.",IF($B$143&gt;=$D$16,"Rvn &gt;= R,  O.K.","Rvn &lt; R, N.G."))</f>
        <v>N.A.</v>
      </c>
      <c r="AP22" s="28"/>
      <c r="AQ22" s="28"/>
      <c r="AR22" s="5">
        <f>IF(AND($D$34=0,$D$35=0,$D$36=0),"",$D$16/$B$143)</f>
      </c>
      <c r="AS22" s="384"/>
    </row>
    <row r="23" spans="1:45" ht="12.75">
      <c r="A23" s="18"/>
      <c r="B23" s="9"/>
      <c r="C23" s="43" t="s">
        <v>3</v>
      </c>
      <c r="D23" s="359">
        <v>0.25</v>
      </c>
      <c r="E23" s="106" t="s">
        <v>229</v>
      </c>
      <c r="F23" s="54"/>
      <c r="G23" s="9"/>
      <c r="H23" s="9"/>
      <c r="I23" s="53"/>
      <c r="K23" s="33" t="s">
        <v>395</v>
      </c>
      <c r="L23" s="43"/>
      <c r="M23" s="32" t="s">
        <v>387</v>
      </c>
      <c r="N23" s="60" t="str">
        <f>IF($D$26="SC",1-(1.5*$D$17)/(1.13*$N$19*$N$13),"N.A.")</f>
        <v>N.A.</v>
      </c>
      <c r="O23" s="8"/>
      <c r="P23" s="37" t="str">
        <f>IF($D$26="SC","ks = 1- (1.5*P) / (1.13*Tb*Nb) (Eqn J3-5b)","ks = not applicable for N or X bolts")</f>
        <v>ks = not applicable for N or X bolts</v>
      </c>
      <c r="Q23" s="8"/>
      <c r="R23" s="8"/>
      <c r="W23" s="38"/>
      <c r="X23" s="38"/>
      <c r="Y23" s="38"/>
      <c r="AA23" s="268">
        <v>1.25</v>
      </c>
      <c r="AB23" s="380">
        <v>2.25</v>
      </c>
      <c r="AC23" s="381">
        <v>1.625</v>
      </c>
      <c r="AF23" s="289" t="s">
        <v>471</v>
      </c>
      <c r="AG23" s="290">
        <v>97.5</v>
      </c>
      <c r="AH23" s="291">
        <v>40.8</v>
      </c>
      <c r="AI23" s="293">
        <v>1.22</v>
      </c>
      <c r="AJ23" s="291">
        <v>12.2</v>
      </c>
      <c r="AK23" s="293">
        <v>2.13</v>
      </c>
      <c r="AL23" s="294">
        <v>3.31</v>
      </c>
      <c r="AN23" s="15">
        <v>147</v>
      </c>
      <c r="AO23" s="47" t="str">
        <f>IF($D$17&gt;0,IF($B$147&gt;=$D$17,"Rtn &gt;= P,  O.K.","Rtn &lt; P, N.G."),"N.A.")</f>
        <v>N.A.</v>
      </c>
      <c r="AR23" s="5">
        <f>IF($D$17&gt;0,$D$17/$B$147,"")</f>
      </c>
      <c r="AS23" s="384"/>
    </row>
    <row r="24" spans="1:45" ht="12.75">
      <c r="A24" s="18"/>
      <c r="B24" s="9"/>
      <c r="C24" s="43" t="s">
        <v>116</v>
      </c>
      <c r="D24" s="160">
        <v>0.875</v>
      </c>
      <c r="E24" s="107" t="s">
        <v>229</v>
      </c>
      <c r="F24" s="99" t="s">
        <v>202</v>
      </c>
      <c r="G24" s="21"/>
      <c r="H24" s="1"/>
      <c r="I24" s="11"/>
      <c r="J24" s="36"/>
      <c r="K24" s="33" t="s">
        <v>8</v>
      </c>
      <c r="L24" s="43"/>
      <c r="M24" s="32" t="s">
        <v>198</v>
      </c>
      <c r="N24" s="40">
        <f>IF($D$26="SC",$N$23*$N$22*$N$7,$N$7*$N$22)</f>
        <v>14.431691252428111</v>
      </c>
      <c r="O24" s="37" t="s">
        <v>211</v>
      </c>
      <c r="P24" s="37" t="str">
        <f>IF($C$14="SC","Vb = ks*Ab*Fv (see Sect. J3.8, allowable shear/bolt)","Vb = Ab*Fv (allowable shear/bolt)")</f>
        <v>Vb = Ab*Fv (allowable shear/bolt)</v>
      </c>
      <c r="R24" s="8"/>
      <c r="S24" s="36"/>
      <c r="T24" s="36"/>
      <c r="V24" s="36"/>
      <c r="W24" s="49"/>
      <c r="X24" s="49"/>
      <c r="Y24" s="49"/>
      <c r="AA24" s="272" t="str">
        <f>IF($D$24&gt;1.25,$D$24,"N.A.")</f>
        <v>N.A.</v>
      </c>
      <c r="AB24" s="382" t="str">
        <f>IF($D$24&gt;1.25,1.75*$D$24,"N.A.")</f>
        <v>N.A.</v>
      </c>
      <c r="AC24" s="383" t="str">
        <f>IF($D$24&gt;1.25,1.25*$D$24,"N.A.")</f>
        <v>N.A.</v>
      </c>
      <c r="AD24" s="36"/>
      <c r="AE24" s="36"/>
      <c r="AF24" s="289" t="s">
        <v>472</v>
      </c>
      <c r="AG24" s="290">
        <v>96</v>
      </c>
      <c r="AH24" s="291">
        <v>40.8</v>
      </c>
      <c r="AI24" s="293">
        <v>1.18</v>
      </c>
      <c r="AJ24" s="291">
        <v>12.1</v>
      </c>
      <c r="AK24" s="293">
        <v>2.13</v>
      </c>
      <c r="AL24" s="294">
        <v>3.31</v>
      </c>
      <c r="AM24" s="36"/>
      <c r="AN24" s="15">
        <v>161</v>
      </c>
      <c r="AO24" s="47" t="str">
        <f>IF(AND($D$34=0,$D$35=0,$D$36=0),"N.A.",IF($B$161&gt;=$D$16,"Rwb &gt;= R,  O.K.","Rwb &lt; R, N.G."))</f>
        <v>N.A.</v>
      </c>
      <c r="AR24" s="5">
        <f>IF(AND($D$34=0,$D$35=0,$D$36=0),"",$D$16/$B$161)</f>
      </c>
      <c r="AS24" s="384"/>
    </row>
    <row r="25" spans="1:45" ht="12.75">
      <c r="A25" s="18"/>
      <c r="B25" s="9"/>
      <c r="C25" s="61" t="s">
        <v>56</v>
      </c>
      <c r="D25" s="153" t="s">
        <v>215</v>
      </c>
      <c r="E25" s="114"/>
      <c r="F25" s="9"/>
      <c r="G25" s="9"/>
      <c r="H25" s="9"/>
      <c r="I25" s="13"/>
      <c r="J25" s="36"/>
      <c r="K25" s="33" t="s">
        <v>118</v>
      </c>
      <c r="L25" s="43"/>
      <c r="M25" s="32" t="s">
        <v>303</v>
      </c>
      <c r="N25" s="40">
        <f>$N$13*$N$24</f>
        <v>115.45353001942489</v>
      </c>
      <c r="O25" s="30" t="s">
        <v>206</v>
      </c>
      <c r="P25" s="28" t="s">
        <v>388</v>
      </c>
      <c r="R25" s="60"/>
      <c r="S25" s="36"/>
      <c r="T25" s="36"/>
      <c r="V25" s="36"/>
      <c r="W25" s="36"/>
      <c r="X25" s="36"/>
      <c r="Y25" s="36"/>
      <c r="Z25" s="36"/>
      <c r="AA25" s="36"/>
      <c r="AB25" s="36"/>
      <c r="AC25" s="36"/>
      <c r="AD25" s="36"/>
      <c r="AE25" s="36"/>
      <c r="AF25" s="289" t="s">
        <v>473</v>
      </c>
      <c r="AG25" s="290">
        <v>86.3</v>
      </c>
      <c r="AH25" s="291">
        <v>40.4</v>
      </c>
      <c r="AI25" s="293">
        <v>1.06</v>
      </c>
      <c r="AJ25" s="291">
        <v>12</v>
      </c>
      <c r="AK25" s="293">
        <v>1.93</v>
      </c>
      <c r="AL25" s="294">
        <v>3.11</v>
      </c>
      <c r="AM25" s="36"/>
      <c r="AN25" s="15">
        <v>172</v>
      </c>
      <c r="AO25" s="47" t="str">
        <f>IF(AND($D$34=0,$D$35=0,$D$36=0),"N.A.",IF($B$172&gt;=$D$16,"Rwb &gt;= R,  O.K.","Rwb &lt; R, N.G."))</f>
        <v>N.A.</v>
      </c>
      <c r="AR25" s="5">
        <f>IF(AND($D$34=0,$D$35=0,$D$36=0),"",$D$16/$B$172)</f>
      </c>
      <c r="AS25" s="384"/>
    </row>
    <row r="26" spans="1:45" ht="12.75">
      <c r="A26" s="18"/>
      <c r="B26" s="9"/>
      <c r="C26" s="43" t="s">
        <v>57</v>
      </c>
      <c r="D26" s="153" t="s">
        <v>216</v>
      </c>
      <c r="E26" s="114"/>
      <c r="F26" s="23"/>
      <c r="G26" s="130" t="str">
        <f>"tw="&amp;$B$46</f>
        <v>tw=0.355</v>
      </c>
      <c r="H26" s="14" t="str">
        <f>"      c="&amp;$D$34</f>
        <v>      c=0</v>
      </c>
      <c r="I26" s="128"/>
      <c r="J26" s="36"/>
      <c r="K26" s="33">
        <v>1</v>
      </c>
      <c r="L26" s="43"/>
      <c r="M26" s="32" t="s">
        <v>290</v>
      </c>
      <c r="N26" s="70">
        <f>PI()/4*($D$24-0.9743/VLOOKUP($D$24,$W$5:$X$13,2,FALSE))^2</f>
        <v>0.4617332579068646</v>
      </c>
      <c r="O26" s="30" t="s">
        <v>210</v>
      </c>
      <c r="P26" s="30" t="s">
        <v>389</v>
      </c>
      <c r="Q26" s="8"/>
      <c r="R26" s="8"/>
      <c r="S26" s="36"/>
      <c r="T26" s="36"/>
      <c r="V26" s="36"/>
      <c r="W26" s="36"/>
      <c r="X26" s="36"/>
      <c r="Y26" s="36"/>
      <c r="Z26" s="36"/>
      <c r="AA26" s="36"/>
      <c r="AB26" s="36"/>
      <c r="AC26" s="36"/>
      <c r="AD26" s="36"/>
      <c r="AE26" s="36"/>
      <c r="AF26" s="289" t="s">
        <v>474</v>
      </c>
      <c r="AG26" s="290">
        <v>82</v>
      </c>
      <c r="AH26" s="291">
        <v>40.2</v>
      </c>
      <c r="AI26" s="293">
        <v>1.03</v>
      </c>
      <c r="AJ26" s="291">
        <v>12</v>
      </c>
      <c r="AK26" s="293">
        <v>1.81</v>
      </c>
      <c r="AL26" s="294">
        <v>2.99</v>
      </c>
      <c r="AM26" s="36"/>
      <c r="AN26" s="31" t="s">
        <v>158</v>
      </c>
      <c r="AR26" s="5"/>
      <c r="AS26" s="384"/>
    </row>
    <row r="27" spans="1:45" ht="12.75">
      <c r="A27" s="18"/>
      <c r="B27" s="9"/>
      <c r="C27" s="43" t="s">
        <v>380</v>
      </c>
      <c r="D27" s="153" t="s">
        <v>391</v>
      </c>
      <c r="E27" s="9"/>
      <c r="F27" s="14" t="str">
        <f>"tf="&amp;$B$48</f>
        <v>tf=0.57</v>
      </c>
      <c r="G27" s="27"/>
      <c r="H27" s="14"/>
      <c r="I27" s="128" t="str">
        <f>"        dc1="&amp;$D$35</f>
        <v>        dc1=0</v>
      </c>
      <c r="J27" s="36"/>
      <c r="K27" s="33">
        <v>2</v>
      </c>
      <c r="L27" s="43"/>
      <c r="M27" s="49" t="s">
        <v>390</v>
      </c>
      <c r="N27" s="2">
        <f>IF($D$25="A325",90,IF($D$25="A490",113,"ERROR"))</f>
        <v>90</v>
      </c>
      <c r="O27" s="37" t="s">
        <v>212</v>
      </c>
      <c r="P27" s="71" t="str">
        <f>IF($D$25="A325","Fnt  = Nominal tension stress for A325 bolts from AISC Table J3.2, page 16.1-104",IF($D$25="A490","Fnt  = Nominal tension stress for A490 bolts from AISC Table J3.2, page 16.1-104","ERROR"))</f>
        <v>Fnt  = Nominal tension stress for A325 bolts from AISC Table J3.2, page 16.1-104</v>
      </c>
      <c r="Q27" s="8"/>
      <c r="R27" s="8"/>
      <c r="S27" s="36"/>
      <c r="T27" s="36"/>
      <c r="V27" s="36"/>
      <c r="W27" s="36"/>
      <c r="X27" s="36"/>
      <c r="Y27" s="36"/>
      <c r="Z27" s="36"/>
      <c r="AA27" s="36"/>
      <c r="AB27" s="36"/>
      <c r="AC27" s="36"/>
      <c r="AD27" s="36"/>
      <c r="AE27" s="36"/>
      <c r="AF27" s="289" t="s">
        <v>475</v>
      </c>
      <c r="AG27" s="290">
        <v>77.6</v>
      </c>
      <c r="AH27" s="291">
        <v>40</v>
      </c>
      <c r="AI27" s="292">
        <v>0.96</v>
      </c>
      <c r="AJ27" s="291">
        <v>11.9</v>
      </c>
      <c r="AK27" s="293">
        <v>1.73</v>
      </c>
      <c r="AL27" s="294">
        <v>2.91</v>
      </c>
      <c r="AM27" s="36"/>
      <c r="AN27" s="15">
        <v>177</v>
      </c>
      <c r="AO27" s="37" t="str">
        <f>IF($D$16&gt;0,IF($B$177&gt;=$D$16,"Rpc &gt;= R,  O.K.","Rpc &lt; R, N.G.  "),"N.A.")</f>
        <v>Rpc &gt;= R,  O.K.</v>
      </c>
      <c r="AP27" s="56"/>
      <c r="AR27" s="5">
        <f>IF($D$16&gt;0,$D$16/$B$177,"")</f>
        <v>0.1831501831501831</v>
      </c>
      <c r="AS27" s="384"/>
    </row>
    <row r="28" spans="1:45" ht="12.75">
      <c r="A28" s="18"/>
      <c r="B28" s="9"/>
      <c r="C28" s="43" t="s">
        <v>105</v>
      </c>
      <c r="D28" s="153" t="s">
        <v>8</v>
      </c>
      <c r="E28" s="114"/>
      <c r="F28" s="14"/>
      <c r="G28" s="36"/>
      <c r="H28" s="9"/>
      <c r="I28" s="126"/>
      <c r="J28" s="36"/>
      <c r="K28" s="33">
        <v>3</v>
      </c>
      <c r="L28" s="43"/>
      <c r="M28" s="49" t="s">
        <v>392</v>
      </c>
      <c r="N28" s="2">
        <f>IF($D$26="SC","N.A.",IF(OR($N$17/($N$27/2)&lt;=0.2,$N$15/($N$20/2)&lt;=0.2),$N$27,MIN($N$27,1.3*$N$27-(2*$N$27/$N$20)*$N$15)))</f>
        <v>90</v>
      </c>
      <c r="O28" s="37" t="s">
        <v>212</v>
      </c>
      <c r="P28" s="71" t="str">
        <f>IF($N$28=$N$27,"Fnt' = Fnt (no reduction needed for comb. effects","Fnt' = 1.3*Fnt - (2*Fnt/Fnv)*fv")</f>
        <v>Fnt' = Fnt (no reduction needed for comb. effects</v>
      </c>
      <c r="Q28" s="8"/>
      <c r="R28" s="8"/>
      <c r="S28" s="36"/>
      <c r="T28" s="36"/>
      <c r="V28" s="36"/>
      <c r="W28" s="36"/>
      <c r="X28" s="36"/>
      <c r="Y28" s="36"/>
      <c r="Z28" s="36"/>
      <c r="AA28" s="36"/>
      <c r="AB28" s="36"/>
      <c r="AC28" s="36"/>
      <c r="AD28" s="36"/>
      <c r="AE28" s="36"/>
      <c r="AF28" s="289" t="s">
        <v>476</v>
      </c>
      <c r="AG28" s="290">
        <v>69</v>
      </c>
      <c r="AH28" s="291">
        <v>39.7</v>
      </c>
      <c r="AI28" s="292">
        <v>0.83</v>
      </c>
      <c r="AJ28" s="291">
        <v>11.9</v>
      </c>
      <c r="AK28" s="293">
        <v>1.58</v>
      </c>
      <c r="AL28" s="294">
        <v>2.76</v>
      </c>
      <c r="AM28" s="36"/>
      <c r="AN28" s="15">
        <v>189</v>
      </c>
      <c r="AO28" s="37" t="str">
        <f>IF($D$17&gt;0,IF($D$39="Yes",IF($B$189&gt;=$D$17,"Pa &gt;= P,  O.K.","Pa &lt; P, N.G.  "),"N.A."),"N.A.")</f>
        <v>N.A.</v>
      </c>
      <c r="AP28" s="56"/>
      <c r="AR28" s="5">
        <f>IF($D$17&gt;0,IF($D$39="Yes",$D$17/$B$189,""),"")</f>
      </c>
      <c r="AS28" s="384"/>
    </row>
    <row r="29" spans="1:45" ht="12.75">
      <c r="A29" s="18"/>
      <c r="B29" s="9"/>
      <c r="C29" s="43" t="s">
        <v>190</v>
      </c>
      <c r="D29" s="153">
        <v>4</v>
      </c>
      <c r="E29" s="107"/>
      <c r="F29" s="113"/>
      <c r="G29" s="14"/>
      <c r="H29" s="27"/>
      <c r="I29" s="131"/>
      <c r="J29" s="36"/>
      <c r="K29" s="33">
        <v>4</v>
      </c>
      <c r="L29" s="43"/>
      <c r="M29" s="49" t="s">
        <v>300</v>
      </c>
      <c r="N29" s="60">
        <f>IF($D$26="SC",$N$27/2,$N$28/2)</f>
        <v>45</v>
      </c>
      <c r="O29" s="37" t="s">
        <v>212</v>
      </c>
      <c r="P29" s="47" t="s">
        <v>394</v>
      </c>
      <c r="Q29" s="8"/>
      <c r="R29" s="8"/>
      <c r="S29" s="36"/>
      <c r="T29" s="36"/>
      <c r="V29" s="36"/>
      <c r="W29" s="36"/>
      <c r="X29" s="36"/>
      <c r="Y29" s="36"/>
      <c r="Z29" s="36"/>
      <c r="AA29" s="36"/>
      <c r="AB29" s="36"/>
      <c r="AC29" s="36"/>
      <c r="AD29" s="36"/>
      <c r="AE29" s="36"/>
      <c r="AF29" s="289" t="s">
        <v>477</v>
      </c>
      <c r="AG29" s="290">
        <v>62</v>
      </c>
      <c r="AH29" s="291">
        <v>39.4</v>
      </c>
      <c r="AI29" s="292">
        <v>0.75</v>
      </c>
      <c r="AJ29" s="291">
        <v>11.8</v>
      </c>
      <c r="AK29" s="293">
        <v>1.42</v>
      </c>
      <c r="AL29" s="294">
        <v>2.6</v>
      </c>
      <c r="AM29" s="36"/>
      <c r="AN29" s="15">
        <v>195</v>
      </c>
      <c r="AO29" s="37" t="str">
        <f>IF($D$17&gt;0,IF($D$39="Yes",IF($B$195&gt;=$B$194,"Fv &gt;= fv,  O.K.","Fv &lt; fv, N.G.  "),"N.A."),"N.A.")</f>
        <v>N.A.</v>
      </c>
      <c r="AP29" s="56"/>
      <c r="AR29" s="5">
        <f>IF($D$17&gt;0,IF($D$39="Yes",$B$194/$B$195,""),"")</f>
      </c>
      <c r="AS29" s="384"/>
    </row>
    <row r="30" spans="1:45" ht="12.75">
      <c r="A30" s="18"/>
      <c r="B30" s="9"/>
      <c r="C30" s="91" t="s">
        <v>2</v>
      </c>
      <c r="D30" s="159">
        <v>3.25</v>
      </c>
      <c r="E30" s="107" t="s">
        <v>229</v>
      </c>
      <c r="F30" s="113" t="str">
        <f>"d="&amp;$B$45&amp;"       "</f>
        <v>d=18       </v>
      </c>
      <c r="G30" s="111"/>
      <c r="H30" s="27"/>
      <c r="I30" s="134"/>
      <c r="J30" s="36"/>
      <c r="K30" s="33">
        <v>5</v>
      </c>
      <c r="L30" s="43"/>
      <c r="M30" s="49" t="s">
        <v>779</v>
      </c>
      <c r="N30" s="2">
        <f>$N$29*$N$7</f>
        <v>27.059421098302707</v>
      </c>
      <c r="O30" s="37" t="s">
        <v>211</v>
      </c>
      <c r="P30" s="71" t="s">
        <v>112</v>
      </c>
      <c r="R30" s="8"/>
      <c r="S30" s="36"/>
      <c r="T30" s="36"/>
      <c r="V30" s="36"/>
      <c r="W30" s="36"/>
      <c r="X30" s="36"/>
      <c r="Y30" s="36"/>
      <c r="Z30" s="36"/>
      <c r="AA30" s="36"/>
      <c r="AB30" s="36"/>
      <c r="AC30" s="36"/>
      <c r="AD30" s="36"/>
      <c r="AE30" s="36"/>
      <c r="AF30" s="289" t="s">
        <v>478</v>
      </c>
      <c r="AG30" s="290">
        <v>53.3</v>
      </c>
      <c r="AH30" s="291">
        <v>39</v>
      </c>
      <c r="AI30" s="292">
        <v>0.65</v>
      </c>
      <c r="AJ30" s="291">
        <v>11.8</v>
      </c>
      <c r="AK30" s="293">
        <v>1.2</v>
      </c>
      <c r="AL30" s="294">
        <v>2.38</v>
      </c>
      <c r="AM30" s="36"/>
      <c r="AN30" s="15">
        <v>201</v>
      </c>
      <c r="AO30" s="37" t="str">
        <f>IF($D$17&gt;0,IF($D$39="Yes",IF($D$37&gt;0,IF($B$200&lt;=$B$201,"Weld size &lt;= weld max., O.K.","Weld size &gt; weld max."),"N.A."),"N.A."),"N.A.")</f>
        <v>N.A.</v>
      </c>
      <c r="AP30" s="56"/>
      <c r="AR30" s="5">
        <f>IF($D$17&gt;0,IF($D$39="Yes",IF($D$37&gt;0,$B$200/$B$201,""),""),"")</f>
      </c>
      <c r="AS30" s="384" t="s">
        <v>843</v>
      </c>
    </row>
    <row r="31" spans="1:45" ht="12.75">
      <c r="A31" s="18"/>
      <c r="B31" s="9"/>
      <c r="C31" s="43" t="s">
        <v>106</v>
      </c>
      <c r="D31" s="159">
        <v>3</v>
      </c>
      <c r="E31" s="107" t="s">
        <v>229</v>
      </c>
      <c r="F31" s="23"/>
      <c r="G31" s="115"/>
      <c r="H31" s="27"/>
      <c r="I31" s="45"/>
      <c r="J31" s="36"/>
      <c r="K31" s="33">
        <v>6</v>
      </c>
      <c r="L31" s="91"/>
      <c r="M31" s="32" t="s">
        <v>268</v>
      </c>
      <c r="N31" s="60">
        <f>$N$13*$N$30</f>
        <v>216.47536878642165</v>
      </c>
      <c r="O31" s="30" t="s">
        <v>206</v>
      </c>
      <c r="P31" s="30" t="s">
        <v>327</v>
      </c>
      <c r="S31" s="36"/>
      <c r="T31" s="36"/>
      <c r="V31" s="36"/>
      <c r="W31" s="36"/>
      <c r="X31" s="36"/>
      <c r="Y31" s="36"/>
      <c r="Z31" s="36"/>
      <c r="AA31" s="36"/>
      <c r="AB31" s="36"/>
      <c r="AC31" s="36"/>
      <c r="AD31" s="36"/>
      <c r="AE31" s="36"/>
      <c r="AF31" s="289" t="s">
        <v>479</v>
      </c>
      <c r="AG31" s="290">
        <v>49.2</v>
      </c>
      <c r="AH31" s="291">
        <v>38.6</v>
      </c>
      <c r="AI31" s="292">
        <v>0.65</v>
      </c>
      <c r="AJ31" s="291">
        <v>11.8</v>
      </c>
      <c r="AK31" s="293">
        <v>1.03</v>
      </c>
      <c r="AL31" s="294">
        <v>2.21</v>
      </c>
      <c r="AM31" s="36"/>
      <c r="AO31" s="60" t="str">
        <f>$B$200</f>
        <v>N.A.</v>
      </c>
      <c r="AP31" s="60" t="str">
        <f>$B$201</f>
        <v>N.A.</v>
      </c>
      <c r="AR31" s="5"/>
      <c r="AS31" s="384" t="s">
        <v>843</v>
      </c>
    </row>
    <row r="32" spans="1:45" ht="12.75">
      <c r="A32" s="18"/>
      <c r="B32" s="9"/>
      <c r="C32" s="43" t="s">
        <v>107</v>
      </c>
      <c r="D32" s="159">
        <v>1.25</v>
      </c>
      <c r="E32" s="105" t="s">
        <v>229</v>
      </c>
      <c r="F32" s="14"/>
      <c r="G32" s="14"/>
      <c r="H32" s="9"/>
      <c r="I32" s="127"/>
      <c r="J32" s="36"/>
      <c r="K32" s="33">
        <v>7</v>
      </c>
      <c r="L32" s="43"/>
      <c r="M32" s="37" t="s">
        <v>197</v>
      </c>
      <c r="S32" s="36"/>
      <c r="T32" s="36"/>
      <c r="V32" s="36"/>
      <c r="W32" s="36"/>
      <c r="X32" s="36"/>
      <c r="Y32" s="36"/>
      <c r="Z32" s="36"/>
      <c r="AA32" s="36"/>
      <c r="AB32" s="36"/>
      <c r="AC32" s="36"/>
      <c r="AD32" s="36"/>
      <c r="AE32" s="36"/>
      <c r="AF32" s="289" t="s">
        <v>480</v>
      </c>
      <c r="AG32" s="290">
        <v>43.8</v>
      </c>
      <c r="AH32" s="291">
        <v>38.2</v>
      </c>
      <c r="AI32" s="292">
        <v>0.63</v>
      </c>
      <c r="AJ32" s="291">
        <v>11.8</v>
      </c>
      <c r="AK32" s="292">
        <v>0.83</v>
      </c>
      <c r="AL32" s="294">
        <v>2.01</v>
      </c>
      <c r="AM32" s="36"/>
      <c r="AR32" s="5"/>
      <c r="AS32" s="384" t="s">
        <v>843</v>
      </c>
    </row>
    <row r="33" spans="1:39" ht="12.75">
      <c r="A33" s="18"/>
      <c r="B33" s="9"/>
      <c r="C33" s="57" t="s">
        <v>108</v>
      </c>
      <c r="D33" s="163">
        <f>$D$20-2*$D$32</f>
        <v>3.5</v>
      </c>
      <c r="E33" s="105" t="s">
        <v>229</v>
      </c>
      <c r="F33" s="9"/>
      <c r="G33" s="12" t="str">
        <f>"  bf="&amp;$B$47</f>
        <v>  bf=7.5</v>
      </c>
      <c r="H33" s="12"/>
      <c r="I33" s="116" t="str">
        <f>"        dc2="&amp;$D$36</f>
        <v>        dc2=0</v>
      </c>
      <c r="J33" s="36"/>
      <c r="K33" s="33">
        <v>8</v>
      </c>
      <c r="L33" s="43"/>
      <c r="M33" s="32" t="s">
        <v>16</v>
      </c>
      <c r="N33" s="38" t="str">
        <f>IF($D$17&gt;0,MIN($D$31,$D$31/2+$D$32),"N.A.")</f>
        <v>N.A.</v>
      </c>
      <c r="O33" s="37" t="s">
        <v>229</v>
      </c>
      <c r="P33" s="30" t="s">
        <v>236</v>
      </c>
      <c r="S33" s="36"/>
      <c r="T33" s="36"/>
      <c r="V33" s="36"/>
      <c r="W33" s="36"/>
      <c r="X33" s="36"/>
      <c r="Y33" s="36"/>
      <c r="Z33" s="36"/>
      <c r="AA33" s="36"/>
      <c r="AB33" s="36"/>
      <c r="AC33" s="36"/>
      <c r="AD33" s="36"/>
      <c r="AE33" s="36"/>
      <c r="AF33" s="289" t="s">
        <v>481</v>
      </c>
      <c r="AG33" s="295">
        <v>236</v>
      </c>
      <c r="AH33" s="291">
        <v>42.6</v>
      </c>
      <c r="AI33" s="293">
        <v>2.38</v>
      </c>
      <c r="AJ33" s="291">
        <v>18</v>
      </c>
      <c r="AK33" s="293">
        <v>4.29</v>
      </c>
      <c r="AL33" s="294">
        <v>5.24</v>
      </c>
      <c r="AM33" s="36"/>
    </row>
    <row r="34" spans="1:39" ht="12.75">
      <c r="A34" s="18"/>
      <c r="B34" s="9"/>
      <c r="C34" s="57" t="s">
        <v>28</v>
      </c>
      <c r="D34" s="159">
        <v>0</v>
      </c>
      <c r="E34" s="107" t="s">
        <v>229</v>
      </c>
      <c r="F34" s="54"/>
      <c r="G34" s="9"/>
      <c r="H34" s="27" t="str">
        <f>"      c="&amp;IF($D$36&gt;0,$D$34,0)</f>
        <v>      c=0</v>
      </c>
      <c r="I34" s="53"/>
      <c r="J34" s="36"/>
      <c r="K34" s="33">
        <v>9</v>
      </c>
      <c r="L34" s="57"/>
      <c r="M34" s="49" t="s">
        <v>780</v>
      </c>
      <c r="N34" s="7" t="str">
        <f>IF($D$17&gt;0,($D$33-$B$46)/2,"N.A.")</f>
        <v>N.A.</v>
      </c>
      <c r="O34" s="30" t="s">
        <v>229</v>
      </c>
      <c r="P34" s="30" t="s">
        <v>396</v>
      </c>
      <c r="R34" s="8"/>
      <c r="S34" s="36"/>
      <c r="T34" s="36"/>
      <c r="V34" s="36"/>
      <c r="W34" s="36"/>
      <c r="X34" s="36"/>
      <c r="Y34" s="36"/>
      <c r="Z34" s="36"/>
      <c r="AA34" s="36"/>
      <c r="AB34" s="36"/>
      <c r="AC34" s="36"/>
      <c r="AD34" s="36"/>
      <c r="AE34" s="36"/>
      <c r="AF34" s="289" t="s">
        <v>482</v>
      </c>
      <c r="AG34" s="295">
        <v>192</v>
      </c>
      <c r="AH34" s="291">
        <v>41.1</v>
      </c>
      <c r="AI34" s="293">
        <v>1.97</v>
      </c>
      <c r="AJ34" s="291">
        <v>17.6</v>
      </c>
      <c r="AK34" s="293">
        <v>3.54</v>
      </c>
      <c r="AL34" s="294">
        <v>4.49</v>
      </c>
      <c r="AM34" s="36"/>
    </row>
    <row r="35" spans="1:39" ht="12.75">
      <c r="A35" s="18"/>
      <c r="B35" s="9"/>
      <c r="C35" s="57" t="s">
        <v>11</v>
      </c>
      <c r="D35" s="159">
        <v>0</v>
      </c>
      <c r="E35" s="107" t="s">
        <v>229</v>
      </c>
      <c r="F35" s="99" t="s">
        <v>203</v>
      </c>
      <c r="G35" s="21"/>
      <c r="H35" s="1"/>
      <c r="I35" s="11"/>
      <c r="J35" s="36"/>
      <c r="K35" s="33">
        <v>10</v>
      </c>
      <c r="L35" s="43"/>
      <c r="M35" s="49" t="s">
        <v>781</v>
      </c>
      <c r="N35" s="69" t="str">
        <f>IF($D$17&gt;0,$N$34-$D$24/2,"N.A.")</f>
        <v>N.A.</v>
      </c>
      <c r="O35" s="30" t="s">
        <v>229</v>
      </c>
      <c r="P35" s="30" t="s">
        <v>226</v>
      </c>
      <c r="R35" s="8"/>
      <c r="S35" s="36"/>
      <c r="T35" s="36"/>
      <c r="V35" s="36"/>
      <c r="W35" s="36"/>
      <c r="X35" s="36"/>
      <c r="Y35" s="36"/>
      <c r="Z35" s="36"/>
      <c r="AA35" s="36"/>
      <c r="AB35" s="36"/>
      <c r="AC35" s="36"/>
      <c r="AD35" s="36"/>
      <c r="AE35" s="36"/>
      <c r="AF35" s="289" t="s">
        <v>483</v>
      </c>
      <c r="AG35" s="295">
        <v>156</v>
      </c>
      <c r="AH35" s="291">
        <v>39.8</v>
      </c>
      <c r="AI35" s="293">
        <v>1.61</v>
      </c>
      <c r="AJ35" s="291">
        <v>17.2</v>
      </c>
      <c r="AK35" s="293">
        <v>2.91</v>
      </c>
      <c r="AL35" s="294">
        <v>3.86</v>
      </c>
      <c r="AM35" s="36"/>
    </row>
    <row r="36" spans="1:39" ht="12.75">
      <c r="A36" s="18"/>
      <c r="B36" s="9"/>
      <c r="C36" s="57" t="s">
        <v>12</v>
      </c>
      <c r="D36" s="159">
        <v>0</v>
      </c>
      <c r="E36" s="107" t="s">
        <v>229</v>
      </c>
      <c r="F36" s="9"/>
      <c r="G36" s="9"/>
      <c r="H36" s="9"/>
      <c r="I36" s="13"/>
      <c r="J36" s="36"/>
      <c r="K36" s="83">
        <v>11</v>
      </c>
      <c r="L36" s="43"/>
      <c r="M36" s="49" t="s">
        <v>782</v>
      </c>
      <c r="N36" s="69" t="str">
        <f>IF($D$17&gt;0,MIN(($D$47-$D$33)/2,($D$20-$D$33)/2,1.25*$N$34),"N.A.")</f>
        <v>N.A.</v>
      </c>
      <c r="O36" s="30" t="s">
        <v>229</v>
      </c>
      <c r="P36" s="30" t="s">
        <v>76</v>
      </c>
      <c r="R36" s="8"/>
      <c r="S36" s="36"/>
      <c r="T36" s="36"/>
      <c r="V36" s="36"/>
      <c r="W36" s="36"/>
      <c r="X36" s="36"/>
      <c r="Y36" s="36"/>
      <c r="Z36" s="36"/>
      <c r="AA36" s="36"/>
      <c r="AB36" s="36"/>
      <c r="AC36" s="36"/>
      <c r="AD36" s="36"/>
      <c r="AE36" s="36"/>
      <c r="AF36" s="289" t="s">
        <v>484</v>
      </c>
      <c r="AG36" s="295">
        <v>143</v>
      </c>
      <c r="AH36" s="291">
        <v>39.3</v>
      </c>
      <c r="AI36" s="293">
        <v>1.5</v>
      </c>
      <c r="AJ36" s="291">
        <v>17.1</v>
      </c>
      <c r="AK36" s="293">
        <v>2.68</v>
      </c>
      <c r="AL36" s="294">
        <v>3.63</v>
      </c>
      <c r="AM36" s="36"/>
    </row>
    <row r="37" spans="1:39" ht="12.75">
      <c r="A37" s="18"/>
      <c r="B37" s="9"/>
      <c r="C37" s="43" t="s">
        <v>50</v>
      </c>
      <c r="D37" s="159">
        <v>0</v>
      </c>
      <c r="E37" s="106" t="s">
        <v>229</v>
      </c>
      <c r="F37" s="351" t="s">
        <v>238</v>
      </c>
      <c r="G37" s="9"/>
      <c r="H37" s="9"/>
      <c r="I37" s="13"/>
      <c r="J37" s="36"/>
      <c r="K37" s="83">
        <v>12</v>
      </c>
      <c r="L37" s="43"/>
      <c r="M37" s="32" t="s">
        <v>125</v>
      </c>
      <c r="N37" s="70" t="str">
        <f>IF($D$17&gt;0,$N$36+$D$24/2,"N.A.")</f>
        <v>N.A.</v>
      </c>
      <c r="O37" s="30" t="s">
        <v>229</v>
      </c>
      <c r="P37" s="30" t="s">
        <v>231</v>
      </c>
      <c r="R37" s="8"/>
      <c r="S37" s="36"/>
      <c r="T37" s="36"/>
      <c r="V37" s="36"/>
      <c r="W37" s="36"/>
      <c r="X37" s="36"/>
      <c r="Y37" s="36"/>
      <c r="Z37" s="36"/>
      <c r="AA37" s="36"/>
      <c r="AB37" s="36"/>
      <c r="AC37" s="36"/>
      <c r="AD37" s="36"/>
      <c r="AE37" s="36"/>
      <c r="AF37" s="289" t="s">
        <v>485</v>
      </c>
      <c r="AG37" s="295">
        <v>130</v>
      </c>
      <c r="AH37" s="291">
        <v>38.9</v>
      </c>
      <c r="AI37" s="293">
        <v>1.36</v>
      </c>
      <c r="AJ37" s="291">
        <v>17</v>
      </c>
      <c r="AK37" s="293">
        <v>2.44</v>
      </c>
      <c r="AL37" s="294">
        <v>3.39</v>
      </c>
      <c r="AM37" s="36"/>
    </row>
    <row r="38" spans="1:38" ht="12.75">
      <c r="A38" s="18"/>
      <c r="B38" s="9"/>
      <c r="C38" s="43" t="s">
        <v>51</v>
      </c>
      <c r="D38" s="174">
        <v>36</v>
      </c>
      <c r="E38" s="106" t="s">
        <v>229</v>
      </c>
      <c r="F38" s="57" t="s">
        <v>239</v>
      </c>
      <c r="G38" s="144">
        <f>MIN($B$74,$B$109,$B$113,$B$117,$B$123,$B$136,$B$143,$B$161,$B$172,$B$177)</f>
        <v>76.10136863893376</v>
      </c>
      <c r="H38" s="115" t="s">
        <v>206</v>
      </c>
      <c r="I38" s="352"/>
      <c r="K38" s="83" t="s">
        <v>267</v>
      </c>
      <c r="L38" s="43"/>
      <c r="M38" s="73" t="s">
        <v>126</v>
      </c>
      <c r="N38" s="70" t="str">
        <f>IF($D$17&gt;0,$N$35/$N$37,"N.A.")</f>
        <v>N.A.</v>
      </c>
      <c r="P38" s="74" t="s">
        <v>220</v>
      </c>
      <c r="R38" s="8"/>
      <c r="AF38" s="289" t="s">
        <v>486</v>
      </c>
      <c r="AG38" s="295">
        <v>116</v>
      </c>
      <c r="AH38" s="291">
        <v>38.4</v>
      </c>
      <c r="AI38" s="293">
        <v>1.22</v>
      </c>
      <c r="AJ38" s="291">
        <v>16.8</v>
      </c>
      <c r="AK38" s="293">
        <v>2.2</v>
      </c>
      <c r="AL38" s="294">
        <v>3.15</v>
      </c>
    </row>
    <row r="39" spans="1:38" ht="12.75">
      <c r="A39" s="18"/>
      <c r="B39" s="9"/>
      <c r="C39" s="43" t="s">
        <v>52</v>
      </c>
      <c r="D39" s="340" t="s">
        <v>267</v>
      </c>
      <c r="E39" s="9"/>
      <c r="F39" s="57" t="s">
        <v>240</v>
      </c>
      <c r="G39" s="168">
        <f>$D$16</f>
        <v>40</v>
      </c>
      <c r="H39" s="115" t="s">
        <v>206</v>
      </c>
      <c r="I39" s="352"/>
      <c r="K39" s="83" t="s">
        <v>53</v>
      </c>
      <c r="L39" s="43"/>
      <c r="M39" s="32" t="s">
        <v>217</v>
      </c>
      <c r="N39" s="110" t="str">
        <f>IF($D$17&gt;0,IF($D$28="Standard",VLOOKUP($D$24,$W$17:$X$22,2,FALSE),IF($D$28="Oversized",VLOOKUP($D$24,$W$17:$Y$22,3,FALSE),0)),"N.A.")</f>
        <v>N.A.</v>
      </c>
      <c r="O39" s="30" t="s">
        <v>229</v>
      </c>
      <c r="P39" s="30" t="s">
        <v>397</v>
      </c>
      <c r="R39" s="8"/>
      <c r="AF39" s="289" t="s">
        <v>487</v>
      </c>
      <c r="AG39" s="295">
        <v>106</v>
      </c>
      <c r="AH39" s="291">
        <v>38</v>
      </c>
      <c r="AI39" s="293">
        <v>1.12</v>
      </c>
      <c r="AJ39" s="291">
        <v>16.7</v>
      </c>
      <c r="AK39" s="293">
        <v>2.01</v>
      </c>
      <c r="AL39" s="294">
        <v>2.96</v>
      </c>
    </row>
    <row r="40" spans="1:38" ht="12.75">
      <c r="A40" s="18"/>
      <c r="B40" s="9"/>
      <c r="C40" s="9"/>
      <c r="D40" s="9"/>
      <c r="E40" s="9"/>
      <c r="F40" s="57" t="s">
        <v>241</v>
      </c>
      <c r="G40" s="144">
        <f>$G$39/$G$38</f>
        <v>0.5256147256665216</v>
      </c>
      <c r="H40" s="85"/>
      <c r="I40" s="251" t="str">
        <f>IF($G$40&lt;=1,"S.R. &lt;= 1.0,  O.K.","S.R. &gt; 1.0, N.G.")</f>
        <v>S.R. &lt;= 1.0,  O.K.</v>
      </c>
      <c r="K40" s="110">
        <v>0.125</v>
      </c>
      <c r="L40" s="43"/>
      <c r="M40" s="73" t="s">
        <v>127</v>
      </c>
      <c r="N40" s="70" t="str">
        <f>IF($D$17&gt;0,1-$N$39/$N$33,"N.A.")</f>
        <v>N.A.</v>
      </c>
      <c r="P40" s="74" t="s">
        <v>299</v>
      </c>
      <c r="R40" s="8"/>
      <c r="AF40" s="289" t="s">
        <v>488</v>
      </c>
      <c r="AG40" s="290">
        <v>97</v>
      </c>
      <c r="AH40" s="291">
        <v>37.7</v>
      </c>
      <c r="AI40" s="293">
        <v>1.02</v>
      </c>
      <c r="AJ40" s="291">
        <v>16.6</v>
      </c>
      <c r="AK40" s="293">
        <v>1.85</v>
      </c>
      <c r="AL40" s="294">
        <v>2.8</v>
      </c>
    </row>
    <row r="41" spans="1:38" ht="12.75">
      <c r="A41" s="18"/>
      <c r="B41" s="9"/>
      <c r="C41" s="9"/>
      <c r="D41" s="9"/>
      <c r="E41" s="9"/>
      <c r="F41" s="79">
        <f>IF(($D$29-1)*$D$31+2*$D$32&lt;($B$45-2*$B$49)/2,"Connection Length &lt; (d-2*k)/2","")</f>
      </c>
      <c r="G41" s="9"/>
      <c r="H41" s="9"/>
      <c r="I41" s="53"/>
      <c r="K41" s="110">
        <v>0.1875</v>
      </c>
      <c r="L41" s="43"/>
      <c r="M41" s="73" t="s">
        <v>192</v>
      </c>
      <c r="N41" s="42" t="str">
        <f>IF($N$16&gt;0,(1/$N$38)*(MAX($N$30,$N$30)/$N$16-1),"N.A.")</f>
        <v>N.A.</v>
      </c>
      <c r="P41" s="74" t="s">
        <v>281</v>
      </c>
      <c r="R41" s="8"/>
      <c r="AF41" s="289" t="s">
        <v>489</v>
      </c>
      <c r="AG41" s="290">
        <v>88.8</v>
      </c>
      <c r="AH41" s="291">
        <v>37.3</v>
      </c>
      <c r="AI41" s="292">
        <v>0.945</v>
      </c>
      <c r="AJ41" s="291">
        <v>16.7</v>
      </c>
      <c r="AK41" s="293">
        <v>1.68</v>
      </c>
      <c r="AL41" s="294">
        <v>2.63</v>
      </c>
    </row>
    <row r="42" spans="1:39" ht="12.75">
      <c r="A42" s="63" t="s">
        <v>64</v>
      </c>
      <c r="B42" s="9"/>
      <c r="C42" s="9"/>
      <c r="D42" s="9"/>
      <c r="E42" s="9"/>
      <c r="F42" s="96">
        <f>IF(AND($D$34=0,$D$35=0,$D$36=0),IF($B$45&lt;($D$29-1)*$D$31+2*$D$32+2*$D$23+2*$B$49,"Connection too long, reduce Nr!",""),IF(AND($D$34&gt;0,$D$35&gt;0,$D$36=0),IF($B$45-$D$35&lt;($D$29-1)*$D$31+2*$D$32+2*$D$23+1*$B$49,"Connection too long, reduce Nr!",""),IF(AND($D$34&gt;0,$D$35&gt;0,$D$36&gt;0),IF($B$45-($D$35+$D$36)&lt;($D$29-1)*$D$31+2*$D$32+2*$D$23,"Connection too long, reduce Nr!",""))))</f>
      </c>
      <c r="G42" s="9"/>
      <c r="H42" s="9"/>
      <c r="I42" s="53"/>
      <c r="J42" s="36"/>
      <c r="K42" s="110">
        <v>0.25</v>
      </c>
      <c r="L42" s="36"/>
      <c r="M42" s="73" t="s">
        <v>219</v>
      </c>
      <c r="N42" s="70" t="str">
        <f>IF($N$16&gt;0,IF($N$41&gt;=1,1,MIN(1,(1/$N$40)*($N$41/(1-$N$41)))),"N.A.")</f>
        <v>N.A.</v>
      </c>
      <c r="P42" s="47" t="s">
        <v>258</v>
      </c>
      <c r="R42" s="8"/>
      <c r="S42" s="36"/>
      <c r="T42" s="36"/>
      <c r="V42" s="36"/>
      <c r="W42" s="36"/>
      <c r="X42" s="36"/>
      <c r="Y42" s="36"/>
      <c r="Z42" s="36"/>
      <c r="AA42" s="36"/>
      <c r="AB42" s="36"/>
      <c r="AC42" s="36"/>
      <c r="AD42" s="36"/>
      <c r="AE42" s="36"/>
      <c r="AF42" s="289" t="s">
        <v>490</v>
      </c>
      <c r="AG42" s="290">
        <v>82.9</v>
      </c>
      <c r="AH42" s="291">
        <v>37.1</v>
      </c>
      <c r="AI42" s="292">
        <v>0.885</v>
      </c>
      <c r="AJ42" s="291">
        <v>16.6</v>
      </c>
      <c r="AK42" s="293">
        <v>1.57</v>
      </c>
      <c r="AL42" s="294">
        <v>2.52</v>
      </c>
      <c r="AM42" s="36"/>
    </row>
    <row r="43" spans="1:39" ht="12.75">
      <c r="A43" s="18"/>
      <c r="B43" s="87" t="s">
        <v>65</v>
      </c>
      <c r="C43" s="9"/>
      <c r="D43" s="87" t="s">
        <v>137</v>
      </c>
      <c r="E43" s="9"/>
      <c r="F43" s="79">
        <f>IF(AND($D$34&gt;0,$D$34&gt;2*$B$45),"c MUST BE &lt;= 2*d = "&amp;2*$B$45&amp;" in.!","")</f>
      </c>
      <c r="G43" s="95"/>
      <c r="H43" s="9"/>
      <c r="I43" s="53"/>
      <c r="J43" s="36"/>
      <c r="K43" s="110">
        <v>0.3125</v>
      </c>
      <c r="L43" s="36"/>
      <c r="M43" s="32" t="s">
        <v>189</v>
      </c>
      <c r="N43" s="38" t="str">
        <f>IF($N$16&gt;0,SQRT(6.66*$N$16*$N$35/($N$33*$N$8*(1+$N$40*$N$42))),"N.A.")</f>
        <v>N.A.</v>
      </c>
      <c r="O43" s="30" t="s">
        <v>229</v>
      </c>
      <c r="P43" s="30" t="s">
        <v>798</v>
      </c>
      <c r="R43" s="8"/>
      <c r="S43" s="36"/>
      <c r="T43" s="36"/>
      <c r="V43" s="36"/>
      <c r="W43" s="36"/>
      <c r="X43" s="36"/>
      <c r="Y43" s="36"/>
      <c r="Z43" s="36"/>
      <c r="AA43" s="36"/>
      <c r="AB43" s="36"/>
      <c r="AC43" s="36"/>
      <c r="AD43" s="36"/>
      <c r="AE43" s="36"/>
      <c r="AF43" s="289" t="s">
        <v>491</v>
      </c>
      <c r="AG43" s="290">
        <v>77</v>
      </c>
      <c r="AH43" s="291">
        <v>36.9</v>
      </c>
      <c r="AI43" s="292">
        <v>0.84</v>
      </c>
      <c r="AJ43" s="291">
        <v>16.6</v>
      </c>
      <c r="AK43" s="293">
        <v>1.44</v>
      </c>
      <c r="AL43" s="294">
        <v>2.39</v>
      </c>
      <c r="AM43" s="36"/>
    </row>
    <row r="44" spans="1:39" ht="12.75">
      <c r="A44" s="61" t="s">
        <v>200</v>
      </c>
      <c r="B44" s="162">
        <f>VLOOKUP($D$10,$AF$6:$AL$406,ROWS(B$44:B44)+1,FALSE)</f>
        <v>14.7</v>
      </c>
      <c r="C44" s="57" t="s">
        <v>200</v>
      </c>
      <c r="D44" s="162">
        <f>VLOOKUP($D$11,$AF$6:$AL$336,ROWS(D$44:D44)+1,FALSE)</f>
        <v>18.3</v>
      </c>
      <c r="E44" s="107" t="s">
        <v>210</v>
      </c>
      <c r="F44" s="79">
        <f>IF(AND($D$35&gt;0,$D$36=0,$D$35&gt;$B$45/2),"dc1 MUST BE &lt;= d/2 = "&amp;$B$45/2&amp;" in.!",IF(AND($D$35&gt;0,$D$36&gt;0,$D$35&gt;0.2*$B$45),"dc1 MUST BE &lt;= 0.2*d = "&amp;0.2*$B$45&amp;" in.!",""))</f>
      </c>
      <c r="G44" s="9"/>
      <c r="H44" s="9"/>
      <c r="I44" s="64"/>
      <c r="J44" s="36"/>
      <c r="K44" s="83">
        <v>12</v>
      </c>
      <c r="L44" s="36"/>
      <c r="M44" s="32" t="s">
        <v>218</v>
      </c>
      <c r="N44" s="38" t="str">
        <f>IF($N$16&gt;0,SQRT(6.66*IF($D$26="SC",$N$30,$N$30)*$N$35/($N$33*$N$8)),"N.A.")</f>
        <v>N.A.</v>
      </c>
      <c r="O44" s="30" t="s">
        <v>229</v>
      </c>
      <c r="P44" s="47" t="s">
        <v>84</v>
      </c>
      <c r="R44" s="8"/>
      <c r="S44" s="36"/>
      <c r="T44" s="36"/>
      <c r="U44" s="36"/>
      <c r="V44" s="36"/>
      <c r="W44" s="36"/>
      <c r="X44" s="36"/>
      <c r="Y44" s="36"/>
      <c r="Z44" s="36"/>
      <c r="AA44" s="36"/>
      <c r="AB44" s="36"/>
      <c r="AC44" s="36"/>
      <c r="AD44" s="36"/>
      <c r="AE44" s="36"/>
      <c r="AF44" s="289" t="s">
        <v>492</v>
      </c>
      <c r="AG44" s="290">
        <v>72.5</v>
      </c>
      <c r="AH44" s="291">
        <v>36.7</v>
      </c>
      <c r="AI44" s="292">
        <v>0.8</v>
      </c>
      <c r="AJ44" s="291">
        <v>16.5</v>
      </c>
      <c r="AK44" s="293">
        <v>1.35</v>
      </c>
      <c r="AL44" s="294">
        <v>2.3</v>
      </c>
      <c r="AM44" s="36"/>
    </row>
    <row r="45" spans="1:39" ht="12.75">
      <c r="A45" s="68" t="s">
        <v>115</v>
      </c>
      <c r="B45" s="320">
        <f>VLOOKUP($D$10,$AF$6:$AL$406,ROWS(B$44:B45)+1,FALSE)</f>
        <v>18</v>
      </c>
      <c r="C45" s="57" t="s">
        <v>115</v>
      </c>
      <c r="D45" s="320">
        <f>VLOOKUP($D$11,$AF$6:$AL$336,ROWS(D$44:D45)+1,FALSE)</f>
        <v>21</v>
      </c>
      <c r="E45" s="107" t="s">
        <v>229</v>
      </c>
      <c r="F45" s="79">
        <f>IF(AND($D$36&gt;0,$D$36&gt;0.2*$B$45),"dc2 MUST BE &lt;= 0.2*d = "&amp;0.2*$B$45&amp;" in.!","")</f>
      </c>
      <c r="G45" s="9"/>
      <c r="H45" s="9"/>
      <c r="I45" s="53"/>
      <c r="J45" s="36"/>
      <c r="K45" s="83" t="s">
        <v>267</v>
      </c>
      <c r="L45" s="36"/>
      <c r="M45" s="73" t="s">
        <v>219</v>
      </c>
      <c r="N45" s="70" t="str">
        <f>IF($N$16&gt;0,1/($N$40*(1+$N$38))*(($N$44/$D$21)^2-1),"N.A.")</f>
        <v>N.A.</v>
      </c>
      <c r="P45" s="74" t="s">
        <v>9</v>
      </c>
      <c r="R45" s="8"/>
      <c r="S45" s="36"/>
      <c r="T45" s="36"/>
      <c r="U45" s="36"/>
      <c r="V45" s="36"/>
      <c r="W45" s="36"/>
      <c r="X45" s="36"/>
      <c r="Y45" s="36"/>
      <c r="Z45" s="36"/>
      <c r="AA45" s="36"/>
      <c r="AB45" s="36"/>
      <c r="AC45" s="36"/>
      <c r="AD45" s="36"/>
      <c r="AE45" s="36"/>
      <c r="AF45" s="289" t="s">
        <v>493</v>
      </c>
      <c r="AG45" s="290">
        <v>68.1</v>
      </c>
      <c r="AH45" s="291">
        <v>36.5</v>
      </c>
      <c r="AI45" s="292">
        <v>0.76</v>
      </c>
      <c r="AJ45" s="291">
        <v>16.5</v>
      </c>
      <c r="AK45" s="293">
        <v>1.26</v>
      </c>
      <c r="AL45" s="294">
        <v>2.21</v>
      </c>
      <c r="AM45" s="36"/>
    </row>
    <row r="46" spans="1:39" ht="12.75">
      <c r="A46" s="68" t="s">
        <v>312</v>
      </c>
      <c r="B46" s="163">
        <f>VLOOKUP($D$10,$AF$6:$AL$406,ROWS(B$44:B46)+1,FALSE)</f>
        <v>0.355</v>
      </c>
      <c r="C46" s="57" t="s">
        <v>312</v>
      </c>
      <c r="D46" s="163">
        <f>VLOOKUP($D$11,$AF$6:$AL$336,ROWS(D$44:D46)+1,FALSE)</f>
        <v>0.4</v>
      </c>
      <c r="E46" s="107" t="s">
        <v>229</v>
      </c>
      <c r="F46" s="79">
        <f>IF(AND($D$35&gt;0,$D$35&lt;$B$49),"dc1 MUST BE &gt;= k = "&amp;$B$49&amp;" in.!","")</f>
      </c>
      <c r="G46" s="9"/>
      <c r="H46" s="9"/>
      <c r="I46" s="65"/>
      <c r="J46" s="36"/>
      <c r="K46" s="83" t="s">
        <v>53</v>
      </c>
      <c r="L46" s="36"/>
      <c r="M46" s="32" t="s">
        <v>237</v>
      </c>
      <c r="N46" s="40" t="str">
        <f>IF($N$16&gt;0,IF($N$45&lt;0,IF($D$26="SC",$N$13*$N$30,$N$13*$N$30),IF($N$45&lt;=1,IF($D$26="SC",$N$13*$N$30,$N$13*$N$30)*($D$21/$N$44)^2*(1+$N$40*$N$45),IF($N$45&gt;1,IF($D$26="SC",$N$13*$N$30,$N$13*$N$30)*($D$21/$N$44)^2*(1+$N$40)))),"N.A.")</f>
        <v>N.A.</v>
      </c>
      <c r="O46" s="30" t="s">
        <v>206</v>
      </c>
      <c r="P46" s="36" t="s">
        <v>284</v>
      </c>
      <c r="R46" s="8"/>
      <c r="S46" s="36"/>
      <c r="T46" s="36"/>
      <c r="V46" s="36"/>
      <c r="W46" s="36"/>
      <c r="X46" s="36"/>
      <c r="Y46" s="36"/>
      <c r="Z46" s="36"/>
      <c r="AA46" s="36"/>
      <c r="AB46" s="36"/>
      <c r="AC46" s="36"/>
      <c r="AD46" s="36"/>
      <c r="AE46" s="36"/>
      <c r="AF46" s="289" t="s">
        <v>494</v>
      </c>
      <c r="AG46" s="290">
        <v>75.4</v>
      </c>
      <c r="AH46" s="291">
        <v>37.4</v>
      </c>
      <c r="AI46" s="292">
        <v>0.96</v>
      </c>
      <c r="AJ46" s="291">
        <v>12.2</v>
      </c>
      <c r="AK46" s="293">
        <v>1.73</v>
      </c>
      <c r="AL46" s="294">
        <v>2.48</v>
      </c>
      <c r="AM46" s="36"/>
    </row>
    <row r="47" spans="1:39" ht="12.75">
      <c r="A47" s="68" t="s">
        <v>255</v>
      </c>
      <c r="B47" s="163">
        <f>VLOOKUP($D$10,$AF$6:$AL$406,ROWS(B$44:B47)+1,FALSE)</f>
        <v>7.5</v>
      </c>
      <c r="C47" s="57" t="s">
        <v>255</v>
      </c>
      <c r="D47" s="163">
        <f>VLOOKUP($D$11,$AF$6:$AL$336,ROWS(D$44:D47)+1,FALSE)</f>
        <v>8.24</v>
      </c>
      <c r="E47" s="107" t="s">
        <v>229</v>
      </c>
      <c r="F47" s="79">
        <f>IF(AND($D$36&gt;0,$D$36&lt;$B$49),"dc2 MUST BE &gt;= k = "&amp;$B$49&amp;" in.!","")</f>
      </c>
      <c r="G47" s="9"/>
      <c r="H47" s="9"/>
      <c r="I47" s="65"/>
      <c r="J47" s="36"/>
      <c r="L47" s="36"/>
      <c r="M47" s="49"/>
      <c r="N47" s="83"/>
      <c r="O47" s="37"/>
      <c r="P47" s="36" t="s">
        <v>213</v>
      </c>
      <c r="R47" s="8"/>
      <c r="S47" s="36"/>
      <c r="T47" s="36"/>
      <c r="V47" s="36"/>
      <c r="W47" s="36"/>
      <c r="X47" s="36"/>
      <c r="Y47" s="36"/>
      <c r="Z47" s="36"/>
      <c r="AA47" s="36"/>
      <c r="AB47" s="36"/>
      <c r="AC47" s="36"/>
      <c r="AD47" s="36"/>
      <c r="AE47" s="36"/>
      <c r="AF47" s="289" t="s">
        <v>495</v>
      </c>
      <c r="AG47" s="290">
        <v>68.1</v>
      </c>
      <c r="AH47" s="291">
        <v>37.1</v>
      </c>
      <c r="AI47" s="292">
        <v>0.87</v>
      </c>
      <c r="AJ47" s="291">
        <v>12.1</v>
      </c>
      <c r="AK47" s="293">
        <v>1.57</v>
      </c>
      <c r="AL47" s="294">
        <v>2.32</v>
      </c>
      <c r="AM47" s="36"/>
    </row>
    <row r="48" spans="1:39" ht="12.75">
      <c r="A48" s="68" t="s">
        <v>174</v>
      </c>
      <c r="B48" s="163">
        <f>VLOOKUP($D$10,$AF$6:$AL$406,ROWS(B$44:B48)+1,FALSE)</f>
        <v>0.57</v>
      </c>
      <c r="C48" s="57" t="s">
        <v>174</v>
      </c>
      <c r="D48" s="163">
        <f>VLOOKUP($D$11,$AF$6:$AL$336,ROWS(D$44:D48)+1,FALSE)</f>
        <v>0.615</v>
      </c>
      <c r="E48" s="107" t="s">
        <v>229</v>
      </c>
      <c r="F48" s="79">
        <f>IF($D$23&lt;$N$72,"Fillet weld size &lt; "&amp;$N$72&amp;" in. (min.)!","")</f>
      </c>
      <c r="G48" s="9"/>
      <c r="H48" s="9"/>
      <c r="I48" s="13"/>
      <c r="J48" s="36"/>
      <c r="L48" s="36"/>
      <c r="M48" s="37" t="s">
        <v>77</v>
      </c>
      <c r="N48" s="83"/>
      <c r="O48" s="30"/>
      <c r="S48" s="36"/>
      <c r="T48" s="36"/>
      <c r="U48" s="36"/>
      <c r="V48" s="36"/>
      <c r="W48" s="36"/>
      <c r="X48" s="36"/>
      <c r="Y48" s="36"/>
      <c r="Z48" s="36"/>
      <c r="AA48" s="36"/>
      <c r="AB48" s="36"/>
      <c r="AC48" s="36"/>
      <c r="AD48" s="36"/>
      <c r="AE48" s="36"/>
      <c r="AF48" s="289" t="s">
        <v>496</v>
      </c>
      <c r="AG48" s="290">
        <v>61.8</v>
      </c>
      <c r="AH48" s="291">
        <v>36.7</v>
      </c>
      <c r="AI48" s="292">
        <v>0.83</v>
      </c>
      <c r="AJ48" s="291">
        <v>12.2</v>
      </c>
      <c r="AK48" s="293">
        <v>1.36</v>
      </c>
      <c r="AL48" s="294">
        <v>2.11</v>
      </c>
      <c r="AM48" s="36"/>
    </row>
    <row r="49" spans="1:38" ht="12.75">
      <c r="A49" s="86" t="s">
        <v>292</v>
      </c>
      <c r="B49" s="321">
        <f>VLOOKUP($D$10,$AF$6:$AL$406,ROWS(B$44:B49)+1,FALSE)</f>
        <v>0.972</v>
      </c>
      <c r="C49" s="57" t="s">
        <v>292</v>
      </c>
      <c r="D49" s="321">
        <f>VLOOKUP($D$11,$AF$6:$AL$336,ROWS(D$44:D49)+1,FALSE)</f>
        <v>1.12</v>
      </c>
      <c r="E49" s="107" t="s">
        <v>229</v>
      </c>
      <c r="F49" s="79">
        <f>IF($D$32&lt;VLOOKUP($D$24,$AA$17:$AB$24,2,FALSE),"Edge distance does not meet Table J3.2!","")</f>
      </c>
      <c r="G49" s="9"/>
      <c r="H49" s="9"/>
      <c r="I49" s="13"/>
      <c r="M49" s="49" t="s">
        <v>260</v>
      </c>
      <c r="N49" s="255" t="str">
        <f>IF($D$28="Oversized",IF($D$24&lt;=0.875,0.0625,IF($D$24=1,0.125,IF($D$24&gt;=1.125,0.125))),"N.A.")</f>
        <v>N.A.</v>
      </c>
      <c r="O49" s="37" t="s">
        <v>229</v>
      </c>
      <c r="P49" s="56">
        <f>IF($N$49="N.A.","","C2 = Edge distance increment from AISC Table J3.5, page 16.1-108")</f>
      </c>
      <c r="AF49" s="289" t="s">
        <v>497</v>
      </c>
      <c r="AG49" s="290">
        <v>57</v>
      </c>
      <c r="AH49" s="291">
        <v>36.5</v>
      </c>
      <c r="AI49" s="292">
        <v>0.765</v>
      </c>
      <c r="AJ49" s="291">
        <v>12.1</v>
      </c>
      <c r="AK49" s="293">
        <v>1.26</v>
      </c>
      <c r="AL49" s="294">
        <v>2.01</v>
      </c>
    </row>
    <row r="50" spans="1:38" ht="12.75">
      <c r="A50" s="149"/>
      <c r="B50" s="152"/>
      <c r="C50" s="150"/>
      <c r="D50" s="152"/>
      <c r="E50" s="151"/>
      <c r="F50" s="20"/>
      <c r="G50" s="20"/>
      <c r="H50" s="20"/>
      <c r="I50" s="122" t="s">
        <v>122</v>
      </c>
      <c r="M50" s="49" t="s">
        <v>398</v>
      </c>
      <c r="N50" s="42">
        <f>IF($N$49="N.A.",$D$32-0.5*$N$5,$D$32-0.5*$N$5-$N$49)</f>
        <v>0.78125</v>
      </c>
      <c r="O50" s="37" t="s">
        <v>229</v>
      </c>
      <c r="P50" s="56" t="str">
        <f>IF($N$49="N.A.","Lce = Clear distance between edge bolt hole and edge","Lce = Clear distance between edge bolt hole and edge - C2")</f>
        <v>Lce = Clear distance between edge bolt hole and edge</v>
      </c>
      <c r="AF50" s="289" t="s">
        <v>498</v>
      </c>
      <c r="AG50" s="290">
        <v>53.6</v>
      </c>
      <c r="AH50" s="291">
        <v>36.3</v>
      </c>
      <c r="AI50" s="292">
        <v>0.725</v>
      </c>
      <c r="AJ50" s="291">
        <v>12.1</v>
      </c>
      <c r="AK50" s="293">
        <v>1.18</v>
      </c>
      <c r="AL50" s="294">
        <v>1.93</v>
      </c>
    </row>
    <row r="51" spans="1:38" ht="12.75">
      <c r="A51" s="342" t="s">
        <v>205</v>
      </c>
      <c r="B51" s="17"/>
      <c r="C51" s="118"/>
      <c r="D51" s="17"/>
      <c r="E51" s="17"/>
      <c r="F51" s="17"/>
      <c r="G51" s="17"/>
      <c r="H51" s="184"/>
      <c r="I51" s="178"/>
      <c r="M51" s="49" t="s">
        <v>399</v>
      </c>
      <c r="N51" s="42">
        <f>$D$31-$N$5</f>
        <v>2.0625</v>
      </c>
      <c r="O51" s="37" t="s">
        <v>229</v>
      </c>
      <c r="P51" s="56" t="s">
        <v>400</v>
      </c>
      <c r="AF51" s="289" t="s">
        <v>499</v>
      </c>
      <c r="AG51" s="290">
        <v>50.1</v>
      </c>
      <c r="AH51" s="291">
        <v>36.2</v>
      </c>
      <c r="AI51" s="292">
        <v>0.68</v>
      </c>
      <c r="AJ51" s="291">
        <v>12</v>
      </c>
      <c r="AK51" s="293">
        <v>1.1</v>
      </c>
      <c r="AL51" s="294">
        <v>1.85</v>
      </c>
    </row>
    <row r="52" spans="1:38" ht="12.75">
      <c r="A52" s="18"/>
      <c r="B52" s="51"/>
      <c r="C52" s="44"/>
      <c r="D52" s="44"/>
      <c r="E52" s="44"/>
      <c r="F52" s="44"/>
      <c r="G52" s="44"/>
      <c r="H52" s="87"/>
      <c r="I52" s="179"/>
      <c r="M52" s="256" t="s">
        <v>119</v>
      </c>
      <c r="N52" s="60">
        <f>MIN(1.2*$N$50*$N$8*$D$21,2.4*$D$24*$D$21*$N$8)/2</f>
        <v>10.1953125</v>
      </c>
      <c r="O52" s="37" t="s">
        <v>206</v>
      </c>
      <c r="P52" s="71" t="s">
        <v>807</v>
      </c>
      <c r="AF52" s="289" t="s">
        <v>500</v>
      </c>
      <c r="AG52" s="290">
        <v>47</v>
      </c>
      <c r="AH52" s="291">
        <v>36</v>
      </c>
      <c r="AI52" s="292">
        <v>0.65</v>
      </c>
      <c r="AJ52" s="291">
        <v>12</v>
      </c>
      <c r="AK52" s="293">
        <v>1.02</v>
      </c>
      <c r="AL52" s="294">
        <v>1.77</v>
      </c>
    </row>
    <row r="53" spans="1:38" ht="12.75">
      <c r="A53" s="10" t="s">
        <v>191</v>
      </c>
      <c r="B53" s="9"/>
      <c r="C53" s="9"/>
      <c r="D53" s="9"/>
      <c r="E53" s="36"/>
      <c r="F53" s="36"/>
      <c r="G53" s="36"/>
      <c r="H53" s="87"/>
      <c r="I53" s="183"/>
      <c r="M53" s="256" t="s">
        <v>291</v>
      </c>
      <c r="N53" s="60">
        <f>MIN(1.2*$N$51*$N$8*$D$21,2.4*$D$24*$D$21*$N$8)/2</f>
        <v>22.837500000000002</v>
      </c>
      <c r="O53" s="37" t="s">
        <v>206</v>
      </c>
      <c r="P53" s="71" t="s">
        <v>808</v>
      </c>
      <c r="AF53" s="289" t="s">
        <v>501</v>
      </c>
      <c r="AG53" s="290">
        <v>44.2</v>
      </c>
      <c r="AH53" s="291">
        <v>35.9</v>
      </c>
      <c r="AI53" s="292">
        <v>0.625</v>
      </c>
      <c r="AJ53" s="291">
        <v>12</v>
      </c>
      <c r="AK53" s="292">
        <v>0.94</v>
      </c>
      <c r="AL53" s="294">
        <v>1.69</v>
      </c>
    </row>
    <row r="54" spans="1:38" ht="12.75">
      <c r="A54" s="72" t="s">
        <v>10</v>
      </c>
      <c r="B54" s="9"/>
      <c r="C54" s="9"/>
      <c r="D54" s="9"/>
      <c r="E54" s="9"/>
      <c r="F54" s="9"/>
      <c r="G54" s="9"/>
      <c r="H54" s="9"/>
      <c r="I54" s="13"/>
      <c r="M54" s="49" t="s">
        <v>301</v>
      </c>
      <c r="N54" s="60">
        <f>2*($N$52+($D$29-1)*$N$53)</f>
        <v>157.415625</v>
      </c>
      <c r="O54" s="37" t="s">
        <v>206</v>
      </c>
      <c r="P54" s="47" t="s">
        <v>401</v>
      </c>
      <c r="AF54" s="289" t="s">
        <v>502</v>
      </c>
      <c r="AG54" s="290">
        <v>39.7</v>
      </c>
      <c r="AH54" s="291">
        <v>35.6</v>
      </c>
      <c r="AI54" s="292">
        <v>0.6</v>
      </c>
      <c r="AJ54" s="291">
        <v>12</v>
      </c>
      <c r="AK54" s="292">
        <v>0.79</v>
      </c>
      <c r="AL54" s="294">
        <v>1.54</v>
      </c>
    </row>
    <row r="55" spans="1:38" ht="12.75">
      <c r="A55" s="68" t="s">
        <v>254</v>
      </c>
      <c r="B55" s="338">
        <f>$N$5</f>
        <v>0.9375</v>
      </c>
      <c r="C55" s="107" t="s">
        <v>229</v>
      </c>
      <c r="D55" s="51" t="str">
        <f>$P$5</f>
        <v>dh1 = Nominal hole dimensions from Table J3.3 (in angles)</v>
      </c>
      <c r="E55" s="9"/>
      <c r="F55" s="9"/>
      <c r="G55" s="9"/>
      <c r="H55" s="9"/>
      <c r="I55" s="13"/>
      <c r="K55" s="33"/>
      <c r="M55" s="28" t="s">
        <v>82</v>
      </c>
      <c r="O55" s="33"/>
      <c r="AF55" s="289" t="s">
        <v>503</v>
      </c>
      <c r="AG55" s="295">
        <v>114</v>
      </c>
      <c r="AH55" s="291">
        <v>36</v>
      </c>
      <c r="AI55" s="293">
        <v>1.26</v>
      </c>
      <c r="AJ55" s="291">
        <v>16.2</v>
      </c>
      <c r="AK55" s="293">
        <v>2.28</v>
      </c>
      <c r="AL55" s="294">
        <v>3.07</v>
      </c>
    </row>
    <row r="56" spans="1:38" ht="12.75">
      <c r="A56" s="68" t="s">
        <v>194</v>
      </c>
      <c r="B56" s="322">
        <f>$N$6</f>
        <v>0.9375</v>
      </c>
      <c r="C56" s="107" t="s">
        <v>229</v>
      </c>
      <c r="D56" s="51" t="str">
        <f>$P$6</f>
        <v>dh2 = Nominal hole dimensions from Table J3.3 (in col. web)</v>
      </c>
      <c r="E56" s="9"/>
      <c r="F56" s="9"/>
      <c r="G56" s="9"/>
      <c r="H56" s="9"/>
      <c r="I56" s="13"/>
      <c r="K56" s="33"/>
      <c r="M56" s="32" t="s">
        <v>117</v>
      </c>
      <c r="N56" s="38">
        <f>2*(($D$29-1)*$D$31+(2*$D$32))*$D$21</f>
        <v>8.625</v>
      </c>
      <c r="O56" s="30" t="s">
        <v>210</v>
      </c>
      <c r="P56" s="47" t="s">
        <v>81</v>
      </c>
      <c r="AF56" s="289" t="s">
        <v>504</v>
      </c>
      <c r="AG56" s="295">
        <v>104</v>
      </c>
      <c r="AH56" s="291">
        <v>35.6</v>
      </c>
      <c r="AI56" s="293">
        <v>1.16</v>
      </c>
      <c r="AJ56" s="291">
        <v>16.1</v>
      </c>
      <c r="AK56" s="293">
        <v>2.09</v>
      </c>
      <c r="AL56" s="294">
        <v>2.88</v>
      </c>
    </row>
    <row r="57" spans="1:38" ht="12.75">
      <c r="A57" s="68" t="s">
        <v>41</v>
      </c>
      <c r="B57" s="164">
        <f>$N$7</f>
        <v>0.6013204688511713</v>
      </c>
      <c r="C57" s="107" t="s">
        <v>210</v>
      </c>
      <c r="D57" s="51" t="s">
        <v>256</v>
      </c>
      <c r="E57" s="9"/>
      <c r="F57" s="9"/>
      <c r="G57" s="9"/>
      <c r="H57" s="9"/>
      <c r="I57" s="13"/>
      <c r="M57" s="32" t="s">
        <v>221</v>
      </c>
      <c r="N57" s="40">
        <f>(1/1.5)*0.6*$D$22*$N$56</f>
        <v>124.19999999999999</v>
      </c>
      <c r="O57" s="30" t="s">
        <v>206</v>
      </c>
      <c r="P57" s="28" t="s">
        <v>83</v>
      </c>
      <c r="AF57" s="289" t="s">
        <v>505</v>
      </c>
      <c r="AG57" s="290">
        <v>93.6</v>
      </c>
      <c r="AH57" s="291">
        <v>35.2</v>
      </c>
      <c r="AI57" s="293">
        <v>1.04</v>
      </c>
      <c r="AJ57" s="291">
        <v>16</v>
      </c>
      <c r="AK57" s="293">
        <v>1.89</v>
      </c>
      <c r="AL57" s="294">
        <v>2.68</v>
      </c>
    </row>
    <row r="58" spans="1:38" ht="12.75">
      <c r="A58" s="68" t="s">
        <v>80</v>
      </c>
      <c r="B58" s="165">
        <f>$N$8</f>
        <v>58</v>
      </c>
      <c r="C58" s="107" t="s">
        <v>212</v>
      </c>
      <c r="D58" s="51" t="str">
        <f>$P$8</f>
        <v>Fup = 58 for Fyp = 36 (for shear plate)</v>
      </c>
      <c r="E58" s="9"/>
      <c r="F58" s="9"/>
      <c r="G58" s="9"/>
      <c r="H58" s="9"/>
      <c r="I58" s="13"/>
      <c r="M58" s="28" t="s">
        <v>87</v>
      </c>
      <c r="O58" s="33"/>
      <c r="AF58" s="289" t="s">
        <v>506</v>
      </c>
      <c r="AG58" s="290">
        <v>85.7</v>
      </c>
      <c r="AH58" s="291">
        <v>34.8</v>
      </c>
      <c r="AI58" s="292">
        <v>0.96</v>
      </c>
      <c r="AJ58" s="291">
        <v>15.9</v>
      </c>
      <c r="AK58" s="293">
        <v>1.73</v>
      </c>
      <c r="AL58" s="294">
        <v>2.52</v>
      </c>
    </row>
    <row r="59" spans="1:38" ht="12.75">
      <c r="A59" s="68" t="s">
        <v>188</v>
      </c>
      <c r="B59" s="165">
        <f>$N$9</f>
        <v>65</v>
      </c>
      <c r="C59" s="107" t="s">
        <v>212</v>
      </c>
      <c r="D59" s="51" t="str">
        <f>$P$9</f>
        <v>Fub = 65 for Fyb = 50 (for beam)</v>
      </c>
      <c r="E59" s="9"/>
      <c r="F59" s="9"/>
      <c r="G59" s="9"/>
      <c r="H59" s="9"/>
      <c r="I59" s="13"/>
      <c r="M59" s="32" t="s">
        <v>222</v>
      </c>
      <c r="N59" s="38">
        <f>$N$56-2*($D$29*($N$5+1/16)*$D$21)</f>
        <v>5.625</v>
      </c>
      <c r="O59" s="30" t="s">
        <v>210</v>
      </c>
      <c r="P59" s="37" t="s">
        <v>89</v>
      </c>
      <c r="AF59" s="289" t="s">
        <v>507</v>
      </c>
      <c r="AG59" s="290">
        <v>77.5</v>
      </c>
      <c r="AH59" s="291">
        <v>34.5</v>
      </c>
      <c r="AI59" s="292">
        <v>0.87</v>
      </c>
      <c r="AJ59" s="291">
        <v>15.8</v>
      </c>
      <c r="AK59" s="293">
        <v>1.57</v>
      </c>
      <c r="AL59" s="294">
        <v>2.36</v>
      </c>
    </row>
    <row r="60" spans="1:38" ht="12.75">
      <c r="A60" s="61" t="s">
        <v>24</v>
      </c>
      <c r="B60" s="166">
        <f>$N$10</f>
        <v>65</v>
      </c>
      <c r="C60" s="107" t="s">
        <v>212</v>
      </c>
      <c r="D60" s="51" t="str">
        <f>$P$10</f>
        <v>Fuc = 65 for Fyc = 50 (for column)</v>
      </c>
      <c r="E60" s="9"/>
      <c r="F60" s="9"/>
      <c r="G60" s="9"/>
      <c r="H60" s="9"/>
      <c r="I60" s="13"/>
      <c r="M60" s="32" t="s">
        <v>223</v>
      </c>
      <c r="N60" s="40">
        <f>0.5*0.6*$N$8*$N$59</f>
        <v>97.87499999999999</v>
      </c>
      <c r="O60" s="30" t="s">
        <v>206</v>
      </c>
      <c r="P60" s="30" t="s">
        <v>85</v>
      </c>
      <c r="T60" s="37"/>
      <c r="AF60" s="289" t="s">
        <v>508</v>
      </c>
      <c r="AG60" s="290">
        <v>71</v>
      </c>
      <c r="AH60" s="291">
        <v>34.2</v>
      </c>
      <c r="AI60" s="292">
        <v>0.83</v>
      </c>
      <c r="AJ60" s="291">
        <v>15.9</v>
      </c>
      <c r="AK60" s="293">
        <v>1.4</v>
      </c>
      <c r="AL60" s="294">
        <v>2.19</v>
      </c>
    </row>
    <row r="61" spans="1:38" ht="12.75">
      <c r="A61" s="18"/>
      <c r="B61" s="9"/>
      <c r="C61" s="9"/>
      <c r="D61" s="9"/>
      <c r="E61" s="9"/>
      <c r="F61" s="9"/>
      <c r="G61" s="9"/>
      <c r="H61" s="9"/>
      <c r="I61" s="13"/>
      <c r="M61" s="36" t="s">
        <v>91</v>
      </c>
      <c r="O61" s="33"/>
      <c r="AF61" s="289" t="s">
        <v>509</v>
      </c>
      <c r="AG61" s="290">
        <v>65.2</v>
      </c>
      <c r="AH61" s="291">
        <v>33.9</v>
      </c>
      <c r="AI61" s="292">
        <v>0.775</v>
      </c>
      <c r="AJ61" s="291">
        <v>15.8</v>
      </c>
      <c r="AK61" s="293">
        <v>1.28</v>
      </c>
      <c r="AL61" s="294">
        <v>2.06</v>
      </c>
    </row>
    <row r="62" spans="1:38" ht="12.75">
      <c r="A62" s="84" t="s">
        <v>109</v>
      </c>
      <c r="B62" s="9"/>
      <c r="C62" s="9"/>
      <c r="D62" s="9"/>
      <c r="E62" s="9"/>
      <c r="F62" s="9"/>
      <c r="G62" s="9"/>
      <c r="H62" s="9"/>
      <c r="I62" s="13"/>
      <c r="M62" s="32" t="s">
        <v>402</v>
      </c>
      <c r="N62" s="38">
        <f>2*((($D$32+($D$29-1)*$D$31)-(($D$29-1)*($N$5+1/16)+($N$5+1/16)/2))*$D$21)</f>
        <v>5.0625</v>
      </c>
      <c r="O62" s="30" t="s">
        <v>210</v>
      </c>
      <c r="P62" s="30" t="s">
        <v>88</v>
      </c>
      <c r="AF62" s="289" t="s">
        <v>510</v>
      </c>
      <c r="AG62" s="290">
        <v>59.2</v>
      </c>
      <c r="AH62" s="291">
        <v>33.7</v>
      </c>
      <c r="AI62" s="292">
        <v>0.715</v>
      </c>
      <c r="AJ62" s="291">
        <v>15.7</v>
      </c>
      <c r="AK62" s="293">
        <v>1.15</v>
      </c>
      <c r="AL62" s="294">
        <v>1.94</v>
      </c>
    </row>
    <row r="63" spans="1:38" ht="12.75">
      <c r="A63" s="72" t="s">
        <v>257</v>
      </c>
      <c r="B63" s="20"/>
      <c r="C63" s="106"/>
      <c r="D63" s="51" t="s">
        <v>196</v>
      </c>
      <c r="E63" s="54"/>
      <c r="F63" s="54"/>
      <c r="G63" s="9"/>
      <c r="H63" s="9"/>
      <c r="I63" s="13"/>
      <c r="M63" s="32" t="s">
        <v>403</v>
      </c>
      <c r="N63" s="38">
        <f>2*($D$32+($D$29-1)*$D$31)*$D$21</f>
        <v>7.6875</v>
      </c>
      <c r="O63" s="30" t="s">
        <v>210</v>
      </c>
      <c r="P63" s="30" t="s">
        <v>90</v>
      </c>
      <c r="AF63" s="289" t="s">
        <v>511</v>
      </c>
      <c r="AG63" s="290">
        <v>49.5</v>
      </c>
      <c r="AH63" s="291">
        <v>33.8</v>
      </c>
      <c r="AI63" s="292">
        <v>0.67</v>
      </c>
      <c r="AJ63" s="291">
        <v>11.5</v>
      </c>
      <c r="AK63" s="293">
        <v>1.22</v>
      </c>
      <c r="AL63" s="294">
        <v>1.92</v>
      </c>
    </row>
    <row r="64" spans="1:38" ht="12.75">
      <c r="A64" s="68" t="s">
        <v>261</v>
      </c>
      <c r="B64" s="167">
        <f>$N$13</f>
        <v>8</v>
      </c>
      <c r="C64" s="107" t="s">
        <v>277</v>
      </c>
      <c r="D64" s="51" t="str">
        <f>$P$13</f>
        <v>Nb = 2*Nr  (total number of bolts at support connection)</v>
      </c>
      <c r="E64" s="54"/>
      <c r="F64" s="54"/>
      <c r="G64" s="9"/>
      <c r="H64" s="9"/>
      <c r="I64" s="13"/>
      <c r="M64" s="32" t="s">
        <v>404</v>
      </c>
      <c r="N64" s="38">
        <f>2*(($D$20-$D$33)/2-(($N$5+1/16)/2))*$D$21</f>
        <v>0.5625</v>
      </c>
      <c r="O64" s="30" t="s">
        <v>210</v>
      </c>
      <c r="P64" s="28" t="s">
        <v>92</v>
      </c>
      <c r="AF64" s="289" t="s">
        <v>512</v>
      </c>
      <c r="AG64" s="290">
        <v>44.8</v>
      </c>
      <c r="AH64" s="291">
        <v>33.5</v>
      </c>
      <c r="AI64" s="292">
        <v>0.635</v>
      </c>
      <c r="AJ64" s="291">
        <v>11.6</v>
      </c>
      <c r="AK64" s="293">
        <v>1.06</v>
      </c>
      <c r="AL64" s="294">
        <v>1.76</v>
      </c>
    </row>
    <row r="65" spans="1:38" ht="12.75">
      <c r="A65" s="68" t="s">
        <v>279</v>
      </c>
      <c r="B65" s="168">
        <f>$N$14</f>
        <v>5</v>
      </c>
      <c r="C65" s="107" t="s">
        <v>211</v>
      </c>
      <c r="D65" s="51" t="str">
        <f>$P$14</f>
        <v>vb = R/Nb (actual shear/bolt)</v>
      </c>
      <c r="E65" s="54"/>
      <c r="F65" s="36"/>
      <c r="G65" s="9"/>
      <c r="H65" s="9"/>
      <c r="I65" s="13"/>
      <c r="M65" s="32" t="s">
        <v>193</v>
      </c>
      <c r="N65" s="40">
        <f>MIN(0.3*$N$8*$N$62+0.5*$N$8*$N$64,0.3*$D$22*$N$63+0.5*$N$8*$N$64)</f>
        <v>99.33749999999999</v>
      </c>
      <c r="O65" s="30" t="s">
        <v>206</v>
      </c>
      <c r="P65" s="30" t="s">
        <v>86</v>
      </c>
      <c r="AF65" s="289" t="s">
        <v>513</v>
      </c>
      <c r="AG65" s="290">
        <v>41.6</v>
      </c>
      <c r="AH65" s="291">
        <v>33.3</v>
      </c>
      <c r="AI65" s="292">
        <v>0.605</v>
      </c>
      <c r="AJ65" s="291">
        <v>11.5</v>
      </c>
      <c r="AK65" s="292">
        <v>0.96</v>
      </c>
      <c r="AL65" s="294">
        <v>1.66</v>
      </c>
    </row>
    <row r="66" spans="1:38" ht="12.75">
      <c r="A66" s="68" t="s">
        <v>201</v>
      </c>
      <c r="B66" s="169">
        <f>$N$15</f>
        <v>8.315033761535757</v>
      </c>
      <c r="C66" s="107" t="s">
        <v>212</v>
      </c>
      <c r="D66" s="51" t="str">
        <f>$P$15</f>
        <v>fv = vb/Ab (actual bolt shear stress)</v>
      </c>
      <c r="E66" s="54"/>
      <c r="F66" s="54"/>
      <c r="G66" s="9"/>
      <c r="H66" s="9"/>
      <c r="I66" s="53"/>
      <c r="M66" s="93" t="s">
        <v>110</v>
      </c>
      <c r="AF66" s="289" t="s">
        <v>514</v>
      </c>
      <c r="AG66" s="290">
        <v>38.3</v>
      </c>
      <c r="AH66" s="291">
        <v>33.1</v>
      </c>
      <c r="AI66" s="292">
        <v>0.58</v>
      </c>
      <c r="AJ66" s="291">
        <v>11.5</v>
      </c>
      <c r="AK66" s="292">
        <v>0.855</v>
      </c>
      <c r="AL66" s="294">
        <v>1.56</v>
      </c>
    </row>
    <row r="67" spans="1:38" ht="12.75">
      <c r="A67" s="325" t="s">
        <v>407</v>
      </c>
      <c r="B67" s="169" t="str">
        <f>$N$18</f>
        <v>N.A.</v>
      </c>
      <c r="C67" s="9"/>
      <c r="D67" s="9">
        <f>$P$18</f>
      </c>
      <c r="E67" s="9"/>
      <c r="F67" s="9"/>
      <c r="G67" s="9"/>
      <c r="H67" s="9"/>
      <c r="I67" s="13"/>
      <c r="L67" s="32"/>
      <c r="M67" s="32" t="s">
        <v>282</v>
      </c>
      <c r="N67" s="42">
        <f>($D$29-1)*$D$31+2*$D$32-2*$D$23</f>
        <v>11</v>
      </c>
      <c r="O67" s="30" t="s">
        <v>43</v>
      </c>
      <c r="P67" s="37" t="s">
        <v>96</v>
      </c>
      <c r="AF67" s="289" t="s">
        <v>515</v>
      </c>
      <c r="AG67" s="290">
        <v>34.7</v>
      </c>
      <c r="AH67" s="291">
        <v>32.9</v>
      </c>
      <c r="AI67" s="292">
        <v>0.55</v>
      </c>
      <c r="AJ67" s="291">
        <v>11.5</v>
      </c>
      <c r="AK67" s="292">
        <v>0.74</v>
      </c>
      <c r="AL67" s="294">
        <v>1.44</v>
      </c>
    </row>
    <row r="68" spans="1:38" ht="12.75">
      <c r="A68" s="68" t="s">
        <v>313</v>
      </c>
      <c r="B68" s="168" t="str">
        <f>$N$19</f>
        <v>N.A.</v>
      </c>
      <c r="C68" s="115" t="s">
        <v>287</v>
      </c>
      <c r="D68" s="4">
        <f>$P$19</f>
      </c>
      <c r="E68" s="36"/>
      <c r="F68" s="54"/>
      <c r="G68" s="9"/>
      <c r="H68" s="9"/>
      <c r="I68" s="53"/>
      <c r="L68" s="32"/>
      <c r="M68" s="32" t="s">
        <v>42</v>
      </c>
      <c r="N68" s="60">
        <f>SQRT($D$16^2+$D$17^2)</f>
        <v>40</v>
      </c>
      <c r="O68" s="30" t="s">
        <v>206</v>
      </c>
      <c r="P68" s="36" t="s">
        <v>93</v>
      </c>
      <c r="AF68" s="289" t="s">
        <v>516</v>
      </c>
      <c r="AG68" s="295">
        <v>115</v>
      </c>
      <c r="AH68" s="291">
        <v>33.2</v>
      </c>
      <c r="AI68" s="293">
        <v>1.36</v>
      </c>
      <c r="AJ68" s="291">
        <v>15.6</v>
      </c>
      <c r="AK68" s="293">
        <v>2.44</v>
      </c>
      <c r="AL68" s="294">
        <v>3.23</v>
      </c>
    </row>
    <row r="69" spans="1:38" ht="12.75">
      <c r="A69" s="50" t="s">
        <v>385</v>
      </c>
      <c r="B69" s="169">
        <f>$N$20</f>
        <v>48</v>
      </c>
      <c r="C69" s="107" t="s">
        <v>212</v>
      </c>
      <c r="D69" s="343" t="str">
        <f>$P$20</f>
        <v>Fnv  = Nominal shear stress for A325-N from AISC Table J3.2, page 16.1-104</v>
      </c>
      <c r="E69" s="9"/>
      <c r="F69" s="9"/>
      <c r="G69" s="9"/>
      <c r="H69" s="9"/>
      <c r="I69" s="13"/>
      <c r="L69" s="73"/>
      <c r="M69" s="73" t="s">
        <v>61</v>
      </c>
      <c r="N69" s="42">
        <f>IF($D$17&gt;0,90-(ATAN($D$16/$D$17)*(180/PI())),0)</f>
        <v>0</v>
      </c>
      <c r="O69" s="30" t="s">
        <v>230</v>
      </c>
      <c r="P69" s="109" t="s">
        <v>62</v>
      </c>
      <c r="AF69" s="289" t="s">
        <v>517</v>
      </c>
      <c r="AG69" s="295">
        <v>105</v>
      </c>
      <c r="AH69" s="291">
        <v>32.8</v>
      </c>
      <c r="AI69" s="293">
        <v>1.24</v>
      </c>
      <c r="AJ69" s="291">
        <v>15.5</v>
      </c>
      <c r="AK69" s="293">
        <v>2.24</v>
      </c>
      <c r="AL69" s="294">
        <v>3.03</v>
      </c>
    </row>
    <row r="70" spans="1:38" ht="12.75">
      <c r="A70" s="50" t="s">
        <v>386</v>
      </c>
      <c r="B70" s="169">
        <f>$N$21</f>
        <v>48</v>
      </c>
      <c r="C70" s="107" t="s">
        <v>212</v>
      </c>
      <c r="D70" s="4" t="str">
        <f>$P$21</f>
        <v>Fnv' = Fnv (no reduction needed for comb. effects)</v>
      </c>
      <c r="E70" s="9"/>
      <c r="F70" s="9"/>
      <c r="G70" s="9"/>
      <c r="H70" s="9"/>
      <c r="I70" s="13"/>
      <c r="L70" s="73"/>
      <c r="M70" s="32" t="s">
        <v>815</v>
      </c>
      <c r="N70" s="40">
        <f>1+0.5*(SIN(RADIANS($N$69)))^1.5</f>
        <v>1</v>
      </c>
      <c r="P70" s="30" t="s">
        <v>816</v>
      </c>
      <c r="AF70" s="289" t="s">
        <v>518</v>
      </c>
      <c r="AG70" s="290">
        <v>95.8</v>
      </c>
      <c r="AH70" s="291">
        <v>32.4</v>
      </c>
      <c r="AI70" s="293">
        <v>1.14</v>
      </c>
      <c r="AJ70" s="291">
        <v>15.4</v>
      </c>
      <c r="AK70" s="293">
        <v>2.05</v>
      </c>
      <c r="AL70" s="294">
        <v>2.84</v>
      </c>
    </row>
    <row r="71" spans="1:41" ht="12.75">
      <c r="A71" s="68" t="s">
        <v>214</v>
      </c>
      <c r="B71" s="168">
        <f>$N$22</f>
        <v>24</v>
      </c>
      <c r="C71" s="107" t="s">
        <v>212</v>
      </c>
      <c r="D71" s="4" t="str">
        <f>$P$22</f>
        <v>Fv = Fnv' / 2 (allowable bolt shear stress)</v>
      </c>
      <c r="E71" s="36"/>
      <c r="F71" s="36"/>
      <c r="G71" s="9"/>
      <c r="H71" s="9"/>
      <c r="I71" s="13"/>
      <c r="L71" s="73"/>
      <c r="M71" s="73" t="s">
        <v>232</v>
      </c>
      <c r="N71" s="69">
        <f>(2*$N$68/2)/(0.6*70*0.707*$N$67)</f>
        <v>0.12246122571440816</v>
      </c>
      <c r="O71" s="37" t="s">
        <v>280</v>
      </c>
      <c r="P71" s="74" t="s">
        <v>232</v>
      </c>
      <c r="Q71" s="30" t="s">
        <v>95</v>
      </c>
      <c r="AF71" s="289" t="s">
        <v>519</v>
      </c>
      <c r="AG71" s="290">
        <v>85.9</v>
      </c>
      <c r="AH71" s="291">
        <v>32</v>
      </c>
      <c r="AI71" s="293">
        <v>1.02</v>
      </c>
      <c r="AJ71" s="291">
        <v>15.3</v>
      </c>
      <c r="AK71" s="293">
        <v>1.85</v>
      </c>
      <c r="AL71" s="294">
        <v>2.64</v>
      </c>
      <c r="AN71" s="49"/>
      <c r="AO71" s="98"/>
    </row>
    <row r="72" spans="1:41" ht="12.75">
      <c r="A72" s="329" t="s">
        <v>387</v>
      </c>
      <c r="B72" s="169" t="str">
        <f>$N$23</f>
        <v>N.A.</v>
      </c>
      <c r="C72" s="9"/>
      <c r="D72" s="4" t="str">
        <f>$P$23</f>
        <v>ks = not applicable for N or X bolts</v>
      </c>
      <c r="E72" s="9"/>
      <c r="F72" s="9"/>
      <c r="G72" s="9"/>
      <c r="H72" s="9"/>
      <c r="I72" s="13"/>
      <c r="L72" s="73"/>
      <c r="M72" s="73" t="s">
        <v>289</v>
      </c>
      <c r="N72" s="110">
        <f>IF(MIN($D$21,$B$46)&lt;=0.25,0.125,IF(MIN($D$21,$B$46)&lt;=0.5,0.1875,IF(MIN($D$21,$B$46)&lt;=0.75,0.25,IF(MIN($D$21,$B$46)&gt;0.75,0.3125))))</f>
        <v>0.1875</v>
      </c>
      <c r="O72" s="30" t="s">
        <v>229</v>
      </c>
      <c r="P72" s="74" t="s">
        <v>323</v>
      </c>
      <c r="S72" s="49"/>
      <c r="AF72" s="289" t="s">
        <v>520</v>
      </c>
      <c r="AG72" s="290">
        <v>76.9</v>
      </c>
      <c r="AH72" s="291">
        <v>31.6</v>
      </c>
      <c r="AI72" s="292">
        <v>0.93</v>
      </c>
      <c r="AJ72" s="291">
        <v>15.2</v>
      </c>
      <c r="AK72" s="293">
        <v>1.65</v>
      </c>
      <c r="AL72" s="294">
        <v>2.44</v>
      </c>
      <c r="AO72" s="98"/>
    </row>
    <row r="73" spans="1:41" ht="12.75">
      <c r="A73" s="68" t="s">
        <v>198</v>
      </c>
      <c r="B73" s="169">
        <f>$N$24</f>
        <v>14.431691252428111</v>
      </c>
      <c r="C73" s="107" t="s">
        <v>211</v>
      </c>
      <c r="D73" s="4" t="str">
        <f>$P$24</f>
        <v>Vb = Ab*Fv (allowable shear/bolt)</v>
      </c>
      <c r="E73" s="36"/>
      <c r="F73" s="36"/>
      <c r="G73" s="36"/>
      <c r="H73" s="9"/>
      <c r="I73" s="45"/>
      <c r="L73" s="32"/>
      <c r="M73" s="73" t="s">
        <v>224</v>
      </c>
      <c r="N73" s="110">
        <f>IF($D$21=1/4,1/4,$D$21-1/16)</f>
        <v>0.3125</v>
      </c>
      <c r="O73" s="30" t="s">
        <v>229</v>
      </c>
      <c r="P73" s="74" t="s">
        <v>94</v>
      </c>
      <c r="S73" s="49"/>
      <c r="AF73" s="289" t="s">
        <v>521</v>
      </c>
      <c r="AG73" s="290">
        <v>69.2</v>
      </c>
      <c r="AH73" s="291">
        <v>31.3</v>
      </c>
      <c r="AI73" s="292">
        <v>0.83</v>
      </c>
      <c r="AJ73" s="291">
        <v>15.1</v>
      </c>
      <c r="AK73" s="293">
        <v>1.5</v>
      </c>
      <c r="AL73" s="294">
        <v>2.29</v>
      </c>
      <c r="AO73" s="98"/>
    </row>
    <row r="74" spans="1:41" ht="12.75">
      <c r="A74" s="50" t="s">
        <v>303</v>
      </c>
      <c r="B74" s="168">
        <f>$N$25</f>
        <v>115.45353001942489</v>
      </c>
      <c r="C74" s="107" t="s">
        <v>287</v>
      </c>
      <c r="D74" s="4" t="str">
        <f>$P$25</f>
        <v>Rbv = Nb*Vb (allow. shear load)</v>
      </c>
      <c r="E74" s="9"/>
      <c r="F74" s="9"/>
      <c r="G74" s="9"/>
      <c r="H74" s="79"/>
      <c r="I74" s="251" t="str">
        <f>IF($B$74&gt;=$D$16,"Rbv &gt;= R,  O.K.  ","Rbv &lt; R, N.G.  ")</f>
        <v>Rbv &gt;= R,  O.K.  </v>
      </c>
      <c r="L74" s="32"/>
      <c r="M74" s="32" t="s">
        <v>288</v>
      </c>
      <c r="N74" s="40">
        <f>(1/2)*2*0.6*$N$70*70*0.707*$D$23*$N$67</f>
        <v>81.6585</v>
      </c>
      <c r="O74" s="30" t="s">
        <v>206</v>
      </c>
      <c r="P74" s="90" t="s">
        <v>817</v>
      </c>
      <c r="AF74" s="289" t="s">
        <v>522</v>
      </c>
      <c r="AG74" s="290">
        <v>62.2</v>
      </c>
      <c r="AH74" s="291">
        <v>30.9</v>
      </c>
      <c r="AI74" s="292">
        <v>0.775</v>
      </c>
      <c r="AJ74" s="291">
        <v>15.1</v>
      </c>
      <c r="AK74" s="293">
        <v>1.32</v>
      </c>
      <c r="AL74" s="294">
        <v>2.1</v>
      </c>
      <c r="AN74" s="49" t="s">
        <v>278</v>
      </c>
      <c r="AO74" s="98">
        <f>$D$16/$B$74</f>
        <v>0.3464597400639899</v>
      </c>
    </row>
    <row r="75" spans="1:41" ht="12.75">
      <c r="A75" s="68" t="s">
        <v>40</v>
      </c>
      <c r="B75" s="168">
        <f>$N$16</f>
        <v>0</v>
      </c>
      <c r="C75" s="107" t="s">
        <v>211</v>
      </c>
      <c r="D75" s="51" t="str">
        <f>$P$16</f>
        <v>T = P/Nb  (actual tension/bolt)</v>
      </c>
      <c r="E75" s="9"/>
      <c r="F75" s="9"/>
      <c r="G75" s="9"/>
      <c r="H75" s="9"/>
      <c r="I75" s="251"/>
      <c r="L75" s="32"/>
      <c r="M75" s="32" t="s">
        <v>406</v>
      </c>
      <c r="N75" s="42">
        <f>6.19*16*$N$70*$D$23/$N$10</f>
        <v>0.3809230769230769</v>
      </c>
      <c r="O75" s="28" t="s">
        <v>229</v>
      </c>
      <c r="P75" s="28" t="s">
        <v>822</v>
      </c>
      <c r="AF75" s="289" t="s">
        <v>523</v>
      </c>
      <c r="AG75" s="290">
        <v>56.3</v>
      </c>
      <c r="AH75" s="291">
        <v>30.7</v>
      </c>
      <c r="AI75" s="292">
        <v>0.71</v>
      </c>
      <c r="AJ75" s="291">
        <v>15</v>
      </c>
      <c r="AK75" s="293">
        <v>1.19</v>
      </c>
      <c r="AL75" s="294">
        <v>1.97</v>
      </c>
      <c r="AN75" s="49"/>
      <c r="AO75" s="98"/>
    </row>
    <row r="76" spans="1:38" ht="12.75">
      <c r="A76" s="68" t="s">
        <v>39</v>
      </c>
      <c r="B76" s="169">
        <f>$N$17</f>
        <v>0</v>
      </c>
      <c r="C76" s="107" t="s">
        <v>212</v>
      </c>
      <c r="D76" s="51" t="str">
        <f>$P$17</f>
        <v>ft = T/Ab  (actual bolt tension stress)</v>
      </c>
      <c r="E76" s="9"/>
      <c r="F76" s="9"/>
      <c r="G76" s="36"/>
      <c r="H76" s="9"/>
      <c r="I76" s="251"/>
      <c r="L76" s="32"/>
      <c r="M76" s="32" t="s">
        <v>810</v>
      </c>
      <c r="N76" s="33" t="str">
        <f>IF($N$75&gt;$B$46,"Yes","No")</f>
        <v>Yes</v>
      </c>
      <c r="P76" s="28" t="s">
        <v>324</v>
      </c>
      <c r="AF76" s="289" t="s">
        <v>524</v>
      </c>
      <c r="AG76" s="290">
        <v>51</v>
      </c>
      <c r="AH76" s="291">
        <v>30.4</v>
      </c>
      <c r="AI76" s="292">
        <v>0.655</v>
      </c>
      <c r="AJ76" s="291">
        <v>15</v>
      </c>
      <c r="AK76" s="293">
        <v>1.07</v>
      </c>
      <c r="AL76" s="294">
        <v>1.85</v>
      </c>
    </row>
    <row r="77" spans="1:41" ht="12.75">
      <c r="A77" s="329" t="s">
        <v>290</v>
      </c>
      <c r="B77" s="164">
        <f>$N$26</f>
        <v>0.4617332579068646</v>
      </c>
      <c r="C77" s="107" t="s">
        <v>210</v>
      </c>
      <c r="D77" s="339" t="s">
        <v>321</v>
      </c>
      <c r="E77" s="9"/>
      <c r="F77" s="9"/>
      <c r="G77" s="9"/>
      <c r="H77" s="9"/>
      <c r="I77" s="251"/>
      <c r="L77" s="32"/>
      <c r="M77" s="32" t="s">
        <v>405</v>
      </c>
      <c r="N77" s="60">
        <f>IF($N$76="No",$N$74,$N$74*$B$46/$N$75)</f>
        <v>76.10136863893376</v>
      </c>
      <c r="O77" s="30" t="s">
        <v>206</v>
      </c>
      <c r="P77" s="142" t="str">
        <f>IF($N$76="No","Rwr' = Rwr, tmin &lt; twb, no reduction in strength is needed","Rwr' = Rwr*twb/tmin")</f>
        <v>Rwr' = Rwr*twb/tmin</v>
      </c>
      <c r="Q77" s="37"/>
      <c r="AF77" s="289" t="s">
        <v>525</v>
      </c>
      <c r="AG77" s="290">
        <v>43.5</v>
      </c>
      <c r="AH77" s="291">
        <v>30.7</v>
      </c>
      <c r="AI77" s="292">
        <v>0.65</v>
      </c>
      <c r="AJ77" s="291">
        <v>10.5</v>
      </c>
      <c r="AK77" s="293">
        <v>1.18</v>
      </c>
      <c r="AL77" s="294">
        <v>1.83</v>
      </c>
      <c r="AN77" s="49"/>
      <c r="AO77" s="98"/>
    </row>
    <row r="78" spans="1:41" ht="12.75">
      <c r="A78" s="50" t="s">
        <v>390</v>
      </c>
      <c r="B78" s="169">
        <f>$N$27</f>
        <v>90</v>
      </c>
      <c r="C78" s="107" t="s">
        <v>212</v>
      </c>
      <c r="D78" s="349" t="str">
        <f>$P$27</f>
        <v>Fnt  = Nominal tension stress for A325 bolts from AISC Table J3.2, page 16.1-104</v>
      </c>
      <c r="E78" s="9"/>
      <c r="F78" s="9"/>
      <c r="G78" s="9"/>
      <c r="H78" s="9"/>
      <c r="I78" s="251"/>
      <c r="L78" s="32"/>
      <c r="M78" s="93" t="s">
        <v>253</v>
      </c>
      <c r="O78" s="33"/>
      <c r="R78" s="135" t="s">
        <v>296</v>
      </c>
      <c r="AF78" s="289" t="s">
        <v>526</v>
      </c>
      <c r="AG78" s="290">
        <v>38.9</v>
      </c>
      <c r="AH78" s="291">
        <v>30.3</v>
      </c>
      <c r="AI78" s="292">
        <v>0.615</v>
      </c>
      <c r="AJ78" s="291">
        <v>10.5</v>
      </c>
      <c r="AK78" s="293">
        <v>1</v>
      </c>
      <c r="AL78" s="294">
        <v>1.65</v>
      </c>
      <c r="AN78" s="49"/>
      <c r="AO78" s="98"/>
    </row>
    <row r="79" spans="1:41" ht="12.75">
      <c r="A79" s="50" t="s">
        <v>392</v>
      </c>
      <c r="B79" s="169">
        <f>$N$28</f>
        <v>90</v>
      </c>
      <c r="C79" s="107" t="s">
        <v>212</v>
      </c>
      <c r="D79" s="4" t="str">
        <f>$P$28</f>
        <v>Fnt' = Fnt (no reduction needed for comb. effects</v>
      </c>
      <c r="E79" s="9"/>
      <c r="F79" s="9"/>
      <c r="G79" s="9"/>
      <c r="H79" s="9"/>
      <c r="I79" s="251"/>
      <c r="M79" s="28" t="s">
        <v>413</v>
      </c>
      <c r="N79" s="56"/>
      <c r="AF79" s="289" t="s">
        <v>527</v>
      </c>
      <c r="AG79" s="290">
        <v>36.5</v>
      </c>
      <c r="AH79" s="291">
        <v>30.2</v>
      </c>
      <c r="AI79" s="292">
        <v>0.585</v>
      </c>
      <c r="AJ79" s="291">
        <v>10.5</v>
      </c>
      <c r="AK79" s="292">
        <v>0.93</v>
      </c>
      <c r="AL79" s="294">
        <v>1.58</v>
      </c>
      <c r="AN79" s="49"/>
      <c r="AO79" s="98"/>
    </row>
    <row r="80" spans="1:41" ht="12.75">
      <c r="A80" s="61" t="s">
        <v>300</v>
      </c>
      <c r="B80" s="168">
        <f>$N$29</f>
        <v>45</v>
      </c>
      <c r="C80" s="107" t="s">
        <v>212</v>
      </c>
      <c r="D80" s="141" t="str">
        <f>$P$29</f>
        <v>Ft = Fnt' / 2 (allowable bolt tension stress)</v>
      </c>
      <c r="E80" s="9"/>
      <c r="F80" s="9"/>
      <c r="G80" s="9"/>
      <c r="H80" s="9"/>
      <c r="I80" s="251"/>
      <c r="M80" s="49" t="s">
        <v>222</v>
      </c>
      <c r="N80" s="42" t="str">
        <f>IF(AND($D$34=0,$D$35=0,$D$36=0),"N.A.","N.A.")</f>
        <v>N.A.</v>
      </c>
      <c r="O80" s="37" t="s">
        <v>210</v>
      </c>
      <c r="P80" s="30" t="s">
        <v>841</v>
      </c>
      <c r="AF80" s="289" t="s">
        <v>528</v>
      </c>
      <c r="AG80" s="290">
        <v>34.2</v>
      </c>
      <c r="AH80" s="291">
        <v>30</v>
      </c>
      <c r="AI80" s="292">
        <v>0.565</v>
      </c>
      <c r="AJ80" s="291">
        <v>10.5</v>
      </c>
      <c r="AK80" s="292">
        <v>0.85</v>
      </c>
      <c r="AL80" s="294">
        <v>1.5</v>
      </c>
      <c r="AN80" s="49"/>
      <c r="AO80" s="98"/>
    </row>
    <row r="81" spans="1:41" ht="12.75">
      <c r="A81" s="68" t="s">
        <v>779</v>
      </c>
      <c r="B81" s="168">
        <f>$N$30</f>
        <v>27.059421098302707</v>
      </c>
      <c r="C81" s="107" t="s">
        <v>211</v>
      </c>
      <c r="D81" s="4" t="str">
        <f>$P$30</f>
        <v>B = Ft*Ab (allow. tension load per bolt)</v>
      </c>
      <c r="E81" s="36"/>
      <c r="F81" s="36"/>
      <c r="G81" s="9"/>
      <c r="H81" s="9"/>
      <c r="I81" s="251"/>
      <c r="L81" s="49"/>
      <c r="M81" s="32" t="s">
        <v>223</v>
      </c>
      <c r="N81" s="40" t="str">
        <f>"N.A."</f>
        <v>N.A.</v>
      </c>
      <c r="O81" s="30" t="s">
        <v>206</v>
      </c>
      <c r="P81" s="28" t="s">
        <v>840</v>
      </c>
      <c r="AF81" s="289" t="s">
        <v>529</v>
      </c>
      <c r="AG81" s="290">
        <v>31.7</v>
      </c>
      <c r="AH81" s="291">
        <v>29.8</v>
      </c>
      <c r="AI81" s="292">
        <v>0.545</v>
      </c>
      <c r="AJ81" s="291">
        <v>10.5</v>
      </c>
      <c r="AK81" s="292">
        <v>0.76</v>
      </c>
      <c r="AL81" s="294">
        <v>1.41</v>
      </c>
      <c r="AN81" s="49"/>
      <c r="AO81" s="98"/>
    </row>
    <row r="82" spans="1:41" ht="12.75">
      <c r="A82" s="50" t="s">
        <v>268</v>
      </c>
      <c r="B82" s="344">
        <f>$N$31</f>
        <v>216.47536878642165</v>
      </c>
      <c r="C82" s="107" t="s">
        <v>287</v>
      </c>
      <c r="D82" s="51" t="s">
        <v>327</v>
      </c>
      <c r="E82" s="9"/>
      <c r="F82" s="9"/>
      <c r="G82" s="9"/>
      <c r="H82" s="79"/>
      <c r="I82" s="251">
        <f>IF($D$17&gt;0,IF($B$82&gt;=$D$17,"Rba &gt;= P,  O.K.  ","Rba &lt; P, N.G.  "),"")</f>
      </c>
      <c r="L82" s="32"/>
      <c r="M82" s="56" t="s">
        <v>44</v>
      </c>
      <c r="O82" s="33"/>
      <c r="AF82" s="289" t="s">
        <v>530</v>
      </c>
      <c r="AG82" s="290">
        <v>29.1</v>
      </c>
      <c r="AH82" s="291">
        <v>29.7</v>
      </c>
      <c r="AI82" s="292">
        <v>0.52</v>
      </c>
      <c r="AJ82" s="291">
        <v>10.5</v>
      </c>
      <c r="AK82" s="292">
        <v>0.67</v>
      </c>
      <c r="AL82" s="294">
        <v>1.32</v>
      </c>
      <c r="AN82" s="49" t="str">
        <f>IF(AO82="","N.A.","SR =")</f>
        <v>N.A.</v>
      </c>
      <c r="AO82" s="98">
        <f>IF($D$17&gt;0,$D$17/$B$82,"")</f>
      </c>
    </row>
    <row r="83" spans="1:41" ht="12.75">
      <c r="A83" s="18"/>
      <c r="B83" s="9"/>
      <c r="C83" s="9"/>
      <c r="D83" s="9"/>
      <c r="E83" s="9"/>
      <c r="F83" s="9"/>
      <c r="G83" s="9"/>
      <c r="H83" s="9"/>
      <c r="I83" s="251"/>
      <c r="L83" s="56"/>
      <c r="M83" s="49" t="s">
        <v>46</v>
      </c>
      <c r="N83" s="42">
        <f>IF(AND($D$34=0,$D$35=0,$D$36=0),$N$67*$B$46,"N.A.")</f>
        <v>3.905</v>
      </c>
      <c r="O83" s="37" t="s">
        <v>210</v>
      </c>
      <c r="P83" s="47" t="s">
        <v>99</v>
      </c>
      <c r="AF83" s="289" t="s">
        <v>531</v>
      </c>
      <c r="AG83" s="290">
        <v>26.4</v>
      </c>
      <c r="AH83" s="291">
        <v>29.5</v>
      </c>
      <c r="AI83" s="292">
        <v>0.47</v>
      </c>
      <c r="AJ83" s="291">
        <v>10.4</v>
      </c>
      <c r="AK83" s="292">
        <v>0.61</v>
      </c>
      <c r="AL83" s="294">
        <v>1.26</v>
      </c>
      <c r="AN83" s="49"/>
      <c r="AO83" s="98"/>
    </row>
    <row r="84" spans="1:41" ht="12.75">
      <c r="A84" s="66" t="s">
        <v>197</v>
      </c>
      <c r="B84" s="54"/>
      <c r="C84" s="115"/>
      <c r="D84" s="54"/>
      <c r="E84" s="9"/>
      <c r="F84" s="9"/>
      <c r="G84" s="9"/>
      <c r="H84" s="9"/>
      <c r="I84" s="251"/>
      <c r="L84" s="49"/>
      <c r="M84" s="49" t="s">
        <v>47</v>
      </c>
      <c r="N84" s="60">
        <f>IF(AND($D$34=0,$D$35=0,$D$36=0),(0.6*$D$12*$N$83),"N.A.")</f>
        <v>117.14999999999999</v>
      </c>
      <c r="O84" s="37" t="s">
        <v>206</v>
      </c>
      <c r="P84" s="37" t="s">
        <v>839</v>
      </c>
      <c r="AF84" s="289" t="s">
        <v>532</v>
      </c>
      <c r="AG84" s="295">
        <v>159</v>
      </c>
      <c r="AH84" s="291">
        <v>32.5</v>
      </c>
      <c r="AI84" s="293">
        <v>1.97</v>
      </c>
      <c r="AJ84" s="291">
        <v>15.3</v>
      </c>
      <c r="AK84" s="293">
        <v>3.54</v>
      </c>
      <c r="AL84" s="294">
        <v>4.33</v>
      </c>
      <c r="AN84" s="49"/>
      <c r="AO84" s="98"/>
    </row>
    <row r="85" spans="1:41" ht="12.75">
      <c r="A85" s="68" t="s">
        <v>16</v>
      </c>
      <c r="B85" s="171" t="str">
        <f>IF($D$17&gt;0,$N$33,"N.A.")</f>
        <v>N.A.</v>
      </c>
      <c r="C85" s="51" t="s">
        <v>229</v>
      </c>
      <c r="D85" s="51" t="str">
        <f>$P$33</f>
        <v>p = Min. of: S  or  S/2+ED  (tributary angle length/bolt)</v>
      </c>
      <c r="E85" s="9"/>
      <c r="F85" s="9"/>
      <c r="G85" s="9"/>
      <c r="H85" s="9"/>
      <c r="I85" s="251"/>
      <c r="L85" s="49"/>
      <c r="M85" s="82" t="s">
        <v>415</v>
      </c>
      <c r="O85" s="33"/>
      <c r="V85" s="36"/>
      <c r="W85" s="36"/>
      <c r="X85" s="36"/>
      <c r="Y85" s="36"/>
      <c r="Z85" s="36"/>
      <c r="AA85" s="36"/>
      <c r="AB85" s="36"/>
      <c r="AC85" s="36"/>
      <c r="AD85" s="360"/>
      <c r="AF85" s="289" t="s">
        <v>533</v>
      </c>
      <c r="AG85" s="295">
        <v>108</v>
      </c>
      <c r="AH85" s="291">
        <v>30.4</v>
      </c>
      <c r="AI85" s="293">
        <v>1.38</v>
      </c>
      <c r="AJ85" s="291">
        <v>14.7</v>
      </c>
      <c r="AK85" s="293">
        <v>2.48</v>
      </c>
      <c r="AL85" s="294">
        <v>3.27</v>
      </c>
      <c r="AN85" s="49"/>
      <c r="AO85" s="98"/>
    </row>
    <row r="86" spans="1:41" ht="12.75">
      <c r="A86" s="68" t="s">
        <v>780</v>
      </c>
      <c r="B86" s="164" t="str">
        <f>IF($D$17&gt;0,$N$34,"N.A.")</f>
        <v>N.A.</v>
      </c>
      <c r="C86" s="107" t="s">
        <v>229</v>
      </c>
      <c r="D86" s="51" t="str">
        <f>$P$34</f>
        <v>b = (g-tw)/2</v>
      </c>
      <c r="E86" s="9"/>
      <c r="F86" s="9"/>
      <c r="G86" s="9"/>
      <c r="H86" s="9"/>
      <c r="I86" s="251"/>
      <c r="L86" s="82"/>
      <c r="M86" s="82" t="s">
        <v>416</v>
      </c>
      <c r="O86" s="33"/>
      <c r="V86" s="36"/>
      <c r="W86" s="36"/>
      <c r="X86" s="36"/>
      <c r="Y86" s="36"/>
      <c r="Z86" s="36"/>
      <c r="AA86" s="36"/>
      <c r="AB86" s="36"/>
      <c r="AC86" s="36"/>
      <c r="AD86" s="360"/>
      <c r="AF86" s="289" t="s">
        <v>534</v>
      </c>
      <c r="AG86" s="290">
        <v>98.9</v>
      </c>
      <c r="AH86" s="291">
        <v>30</v>
      </c>
      <c r="AI86" s="293">
        <v>1.26</v>
      </c>
      <c r="AJ86" s="291">
        <v>14.6</v>
      </c>
      <c r="AK86" s="293">
        <v>2.28</v>
      </c>
      <c r="AL86" s="294">
        <v>3.07</v>
      </c>
      <c r="AN86" s="49"/>
      <c r="AO86" s="98"/>
    </row>
    <row r="87" spans="1:41" ht="12.75">
      <c r="A87" s="68" t="s">
        <v>781</v>
      </c>
      <c r="B87" s="164" t="str">
        <f>IF($D$17&gt;0,$N$35,"N.A.")</f>
        <v>N.A.</v>
      </c>
      <c r="C87" s="107" t="s">
        <v>229</v>
      </c>
      <c r="D87" s="51" t="str">
        <f>$P$35</f>
        <v>b' = b-db/2</v>
      </c>
      <c r="E87" s="9"/>
      <c r="F87" s="9"/>
      <c r="G87" s="9"/>
      <c r="H87" s="9"/>
      <c r="I87" s="251"/>
      <c r="L87" s="82"/>
      <c r="M87" s="93" t="s">
        <v>252</v>
      </c>
      <c r="O87" s="33"/>
      <c r="R87" s="135" t="s">
        <v>297</v>
      </c>
      <c r="V87" s="36"/>
      <c r="W87" s="36"/>
      <c r="X87" s="36"/>
      <c r="Y87" s="36"/>
      <c r="Z87" s="36"/>
      <c r="AA87" s="36"/>
      <c r="AB87" s="36"/>
      <c r="AC87" s="36"/>
      <c r="AD87" s="361"/>
      <c r="AF87" s="289" t="s">
        <v>535</v>
      </c>
      <c r="AG87" s="290">
        <v>90.4</v>
      </c>
      <c r="AH87" s="291">
        <v>29.6</v>
      </c>
      <c r="AI87" s="293">
        <v>1.16</v>
      </c>
      <c r="AJ87" s="291">
        <v>14.4</v>
      </c>
      <c r="AK87" s="293">
        <v>2.09</v>
      </c>
      <c r="AL87" s="294">
        <v>2.88</v>
      </c>
      <c r="AN87" s="49"/>
      <c r="AO87" s="98"/>
    </row>
    <row r="88" spans="1:41" ht="12.75">
      <c r="A88" s="68" t="s">
        <v>782</v>
      </c>
      <c r="B88" s="164" t="str">
        <f>IF($D$17&gt;0,$N$36,"N.A.")</f>
        <v>N.A.</v>
      </c>
      <c r="C88" s="107" t="s">
        <v>229</v>
      </c>
      <c r="D88" s="51" t="str">
        <f>$P$36</f>
        <v>a = minimum of: (bfc-g)/2 , (Lc-g)/2 , or  1.25*b</v>
      </c>
      <c r="E88" s="9"/>
      <c r="F88" s="9"/>
      <c r="G88" s="9"/>
      <c r="H88" s="9"/>
      <c r="I88" s="251"/>
      <c r="L88" s="93"/>
      <c r="M88" s="28" t="s">
        <v>417</v>
      </c>
      <c r="V88" s="36"/>
      <c r="W88" s="36"/>
      <c r="X88" s="36"/>
      <c r="Y88" s="36"/>
      <c r="Z88" s="36"/>
      <c r="AA88" s="36"/>
      <c r="AB88" s="36"/>
      <c r="AC88" s="36"/>
      <c r="AD88" s="361"/>
      <c r="AF88" s="289" t="s">
        <v>536</v>
      </c>
      <c r="AG88" s="290">
        <v>82.9</v>
      </c>
      <c r="AH88" s="291">
        <v>29.3</v>
      </c>
      <c r="AI88" s="293">
        <v>1.06</v>
      </c>
      <c r="AJ88" s="291">
        <v>14.4</v>
      </c>
      <c r="AK88" s="293">
        <v>1.93</v>
      </c>
      <c r="AL88" s="294">
        <v>2.72</v>
      </c>
      <c r="AN88" s="49"/>
      <c r="AO88" s="98"/>
    </row>
    <row r="89" spans="1:38" ht="12.75">
      <c r="A89" s="76" t="s">
        <v>125</v>
      </c>
      <c r="B89" s="164" t="str">
        <f>IF($D$17&gt;0,$N$37,"N.A.")</f>
        <v>N.A.</v>
      </c>
      <c r="C89" s="107" t="s">
        <v>229</v>
      </c>
      <c r="D89" s="51" t="str">
        <f>$P$37</f>
        <v>a' = a+db/2</v>
      </c>
      <c r="E89" s="54"/>
      <c r="F89" s="54"/>
      <c r="G89" s="9"/>
      <c r="H89" s="9"/>
      <c r="I89" s="251"/>
      <c r="M89" s="49" t="s">
        <v>222</v>
      </c>
      <c r="N89" s="42" t="str">
        <f>IF(AND($D$34&gt;0,$D$35&gt;0,$D$35&lt;=0.5*$B$45,$D$36=0),$N$67*$B$46,IF(AND($D$34&gt;0,$D$35&gt;0,$D$36=0,$D$35&gt;0.5*$B$45),"ERROR","N.A."))</f>
        <v>N.A.</v>
      </c>
      <c r="O89" s="37" t="s">
        <v>210</v>
      </c>
      <c r="P89" s="30" t="s">
        <v>97</v>
      </c>
      <c r="V89" s="36"/>
      <c r="W89" s="36"/>
      <c r="X89" s="36"/>
      <c r="Y89" s="36"/>
      <c r="Z89" s="36"/>
      <c r="AA89" s="36"/>
      <c r="AB89" s="36"/>
      <c r="AC89" s="36"/>
      <c r="AD89" s="360"/>
      <c r="AF89" s="289" t="s">
        <v>537</v>
      </c>
      <c r="AG89" s="290">
        <v>76</v>
      </c>
      <c r="AH89" s="291">
        <v>29</v>
      </c>
      <c r="AI89" s="292">
        <v>0.98</v>
      </c>
      <c r="AJ89" s="291">
        <v>14.3</v>
      </c>
      <c r="AK89" s="293">
        <v>1.77</v>
      </c>
      <c r="AL89" s="294">
        <v>2.56</v>
      </c>
    </row>
    <row r="90" spans="1:41" ht="12.75">
      <c r="A90" s="80" t="s">
        <v>38</v>
      </c>
      <c r="B90" s="164" t="str">
        <f>IF($D$17&gt;0,$N$38,"N.A.")</f>
        <v>N.A.</v>
      </c>
      <c r="C90" s="115"/>
      <c r="D90" s="81" t="s">
        <v>20</v>
      </c>
      <c r="E90" s="54"/>
      <c r="F90" s="54"/>
      <c r="G90" s="9"/>
      <c r="H90" s="9"/>
      <c r="I90" s="251"/>
      <c r="L90" s="49"/>
      <c r="M90" s="32" t="s">
        <v>223</v>
      </c>
      <c r="N90" s="40" t="str">
        <f>IF(AND($D$34&gt;0,$D$35&gt;0,$D$35&lt;=0.5*$B$45,$D$36=0),(1/2)*0.6*$N$9*$N$89,IF(AND($D$34&gt;0,$D$35&gt;0,$D$36=0,$D$35&gt;0.5*$B$45),"ERROR","N.A."))</f>
        <v>N.A.</v>
      </c>
      <c r="O90" s="30" t="s">
        <v>206</v>
      </c>
      <c r="P90" s="28" t="s">
        <v>414</v>
      </c>
      <c r="V90" s="36"/>
      <c r="W90" s="36"/>
      <c r="X90" s="36"/>
      <c r="Y90" s="36"/>
      <c r="Z90" s="36"/>
      <c r="AA90" s="36"/>
      <c r="AB90" s="36"/>
      <c r="AC90" s="36"/>
      <c r="AD90" s="360"/>
      <c r="AF90" s="289" t="s">
        <v>538</v>
      </c>
      <c r="AG90" s="290">
        <v>69.4</v>
      </c>
      <c r="AH90" s="291">
        <v>28.7</v>
      </c>
      <c r="AI90" s="292">
        <v>0.91</v>
      </c>
      <c r="AJ90" s="291">
        <v>14.2</v>
      </c>
      <c r="AK90" s="293">
        <v>1.61</v>
      </c>
      <c r="AL90" s="294">
        <v>2.4</v>
      </c>
      <c r="AN90" s="49"/>
      <c r="AO90" s="98"/>
    </row>
    <row r="91" spans="1:41" ht="12.75">
      <c r="A91" s="76" t="s">
        <v>217</v>
      </c>
      <c r="B91" s="164" t="str">
        <f>IF($D$17&gt;0,$N$39,"N.A.")</f>
        <v>N.A.</v>
      </c>
      <c r="C91" s="115"/>
      <c r="D91" s="51" t="str">
        <f>$P$39</f>
        <v>d' = Nominal hole dimensions from Table J3.3</v>
      </c>
      <c r="E91" s="54"/>
      <c r="F91" s="54"/>
      <c r="G91" s="9"/>
      <c r="H91" s="9"/>
      <c r="I91" s="251"/>
      <c r="L91" s="32"/>
      <c r="M91" s="56" t="s">
        <v>285</v>
      </c>
      <c r="O91" s="33"/>
      <c r="U91" s="56"/>
      <c r="V91" s="36"/>
      <c r="W91" s="36"/>
      <c r="X91" s="36"/>
      <c r="Y91" s="36"/>
      <c r="Z91" s="36"/>
      <c r="AA91" s="36"/>
      <c r="AB91" s="36"/>
      <c r="AC91" s="36"/>
      <c r="AD91" s="361"/>
      <c r="AF91" s="289" t="s">
        <v>539</v>
      </c>
      <c r="AG91" s="290">
        <v>64</v>
      </c>
      <c r="AH91" s="291">
        <v>28.4</v>
      </c>
      <c r="AI91" s="292">
        <v>0.83</v>
      </c>
      <c r="AJ91" s="291">
        <v>14.1</v>
      </c>
      <c r="AK91" s="293">
        <v>1.5</v>
      </c>
      <c r="AL91" s="294">
        <v>2.29</v>
      </c>
      <c r="AN91" s="49"/>
      <c r="AO91" s="98"/>
    </row>
    <row r="92" spans="1:41" ht="12.75">
      <c r="A92" s="80" t="s">
        <v>18</v>
      </c>
      <c r="B92" s="164" t="str">
        <f>IF($D$17&gt;0,$N$40,"N.A.")</f>
        <v>N.A.</v>
      </c>
      <c r="C92" s="115"/>
      <c r="D92" s="81" t="s">
        <v>259</v>
      </c>
      <c r="E92" s="54"/>
      <c r="F92" s="54"/>
      <c r="G92" s="9"/>
      <c r="H92" s="9"/>
      <c r="I92" s="251"/>
      <c r="L92" s="56"/>
      <c r="M92" s="49" t="s">
        <v>46</v>
      </c>
      <c r="N92" s="42" t="str">
        <f>IF(AND($D$34&gt;0,$D$35&gt;0,$D$35&lt;=0.5*$B$45,$D$36=0),$N$89,IF(AND($D$34&gt;0,$D$35&gt;0,$D$36=0,$D$35&gt;0.5*$B$45),"ERROR","N.A."))</f>
        <v>N.A.</v>
      </c>
      <c r="O92" s="37" t="s">
        <v>210</v>
      </c>
      <c r="P92" s="47" t="s">
        <v>99</v>
      </c>
      <c r="U92" s="49"/>
      <c r="V92" s="36"/>
      <c r="W92" s="36"/>
      <c r="X92" s="36"/>
      <c r="Y92" s="36"/>
      <c r="Z92" s="36"/>
      <c r="AA92" s="36"/>
      <c r="AB92" s="36"/>
      <c r="AC92" s="36"/>
      <c r="AD92" s="341"/>
      <c r="AF92" s="289" t="s">
        <v>540</v>
      </c>
      <c r="AG92" s="290">
        <v>57.2</v>
      </c>
      <c r="AH92" s="291">
        <v>28.1</v>
      </c>
      <c r="AI92" s="292">
        <v>0.75</v>
      </c>
      <c r="AJ92" s="291">
        <v>14</v>
      </c>
      <c r="AK92" s="293">
        <v>1.34</v>
      </c>
      <c r="AL92" s="294">
        <v>2.13</v>
      </c>
      <c r="AN92" s="49"/>
      <c r="AO92" s="98"/>
    </row>
    <row r="93" spans="1:38" ht="12.75">
      <c r="A93" s="80" t="s">
        <v>123</v>
      </c>
      <c r="B93" s="163" t="str">
        <f>IF($D$17&gt;0,$N$41,"N.A.")</f>
        <v>N.A.</v>
      </c>
      <c r="C93" s="115"/>
      <c r="D93" s="81" t="s">
        <v>124</v>
      </c>
      <c r="E93" s="54"/>
      <c r="F93" s="54"/>
      <c r="G93" s="54"/>
      <c r="H93" s="9"/>
      <c r="I93" s="251"/>
      <c r="L93" s="49"/>
      <c r="M93" s="49" t="s">
        <v>47</v>
      </c>
      <c r="N93" s="60" t="str">
        <f>IF(AND($D$34&gt;0,$D$35&gt;0,$D$35&lt;=0.5*$B$45,$D$36=0),(0.6*$D$12*$N$92)*IF(1-($D$16/$N$90)^2&gt;0,(1-($D$16/$N$90)^2),0.0001),IF(AND($D$34&gt;0,$D$35&gt;0,$D$36=0,$D$35&gt;0.5*$B$45),"ERROR","N.A."))</f>
        <v>N.A.</v>
      </c>
      <c r="O93" s="37" t="s">
        <v>206</v>
      </c>
      <c r="P93" s="37" t="s">
        <v>98</v>
      </c>
      <c r="Q93" s="56"/>
      <c r="U93" s="49"/>
      <c r="V93" s="112"/>
      <c r="W93" s="112"/>
      <c r="X93" s="112"/>
      <c r="Y93" s="112"/>
      <c r="Z93" s="112"/>
      <c r="AA93" s="112"/>
      <c r="AB93" s="112"/>
      <c r="AC93" s="112"/>
      <c r="AD93" s="341"/>
      <c r="AF93" s="289" t="s">
        <v>541</v>
      </c>
      <c r="AG93" s="290">
        <v>52.5</v>
      </c>
      <c r="AH93" s="291">
        <v>27.8</v>
      </c>
      <c r="AI93" s="292">
        <v>0.725</v>
      </c>
      <c r="AJ93" s="291">
        <v>14.1</v>
      </c>
      <c r="AK93" s="293">
        <v>1.19</v>
      </c>
      <c r="AL93" s="294">
        <v>1.98</v>
      </c>
    </row>
    <row r="94" spans="1:41" ht="12.75">
      <c r="A94" s="80" t="s">
        <v>19</v>
      </c>
      <c r="B94" s="164" t="str">
        <f>IF($D$17&gt;0,$N$42,"N.A.")</f>
        <v>N.A.</v>
      </c>
      <c r="C94" s="115"/>
      <c r="D94" s="51" t="s">
        <v>37</v>
      </c>
      <c r="E94" s="54"/>
      <c r="F94" s="54"/>
      <c r="G94" s="54"/>
      <c r="H94" s="54"/>
      <c r="I94" s="251"/>
      <c r="L94" s="49"/>
      <c r="M94" s="56" t="s">
        <v>418</v>
      </c>
      <c r="O94" s="33"/>
      <c r="U94" s="49"/>
      <c r="V94" s="112"/>
      <c r="W94" s="112"/>
      <c r="X94" s="112"/>
      <c r="Y94" s="362"/>
      <c r="Z94" s="112"/>
      <c r="AA94" s="112"/>
      <c r="AB94" s="362"/>
      <c r="AC94" s="112"/>
      <c r="AD94" s="354"/>
      <c r="AF94" s="289" t="s">
        <v>542</v>
      </c>
      <c r="AG94" s="290">
        <v>47.6</v>
      </c>
      <c r="AH94" s="291">
        <v>27.6</v>
      </c>
      <c r="AI94" s="292">
        <v>0.66</v>
      </c>
      <c r="AJ94" s="291">
        <v>14</v>
      </c>
      <c r="AK94" s="293">
        <v>1.08</v>
      </c>
      <c r="AL94" s="294">
        <v>1.87</v>
      </c>
      <c r="AN94" s="49"/>
      <c r="AO94" s="98"/>
    </row>
    <row r="95" spans="1:41" ht="12.75">
      <c r="A95" s="76" t="s">
        <v>800</v>
      </c>
      <c r="B95" s="163" t="str">
        <f>IF($D$17&gt;0,$N$43,"N.A.")</f>
        <v>N.A.</v>
      </c>
      <c r="C95" s="107" t="s">
        <v>229</v>
      </c>
      <c r="D95" s="62" t="s">
        <v>809</v>
      </c>
      <c r="E95" s="54"/>
      <c r="F95" s="54"/>
      <c r="G95" s="54"/>
      <c r="H95" s="79"/>
      <c r="I95" s="251">
        <f>IF($D$17&gt;0,IF($D$21&gt;=$B$95,"tp &gt;= tp(req'd),  O.K.  ","tp &lt; tp(req'd), N.G.  "),"")</f>
      </c>
      <c r="L95" s="56"/>
      <c r="M95" s="32" t="s">
        <v>128</v>
      </c>
      <c r="N95" s="42" t="str">
        <f>IF(AND($D$34&gt;0,$D$35&gt;0,$D$35&lt;=0.5*$B$45,$D$36=0),$B$45-$D$35,IF(AND($D$34&gt;0,$D$35&gt;0,$D$36=0,$D$35&gt;0.5*$B$45),"ERROR","N.A."))</f>
        <v>N.A.</v>
      </c>
      <c r="O95" s="30" t="s">
        <v>229</v>
      </c>
      <c r="P95" s="37" t="s">
        <v>227</v>
      </c>
      <c r="Q95" s="56"/>
      <c r="V95" s="139"/>
      <c r="W95" s="139"/>
      <c r="X95" s="139"/>
      <c r="Y95" s="139"/>
      <c r="Z95" s="139"/>
      <c r="AA95" s="139"/>
      <c r="AB95" s="139"/>
      <c r="AC95" s="139"/>
      <c r="AD95" s="364"/>
      <c r="AF95" s="289" t="s">
        <v>543</v>
      </c>
      <c r="AG95" s="290">
        <v>43.1</v>
      </c>
      <c r="AH95" s="291">
        <v>27.4</v>
      </c>
      <c r="AI95" s="292">
        <v>0.605</v>
      </c>
      <c r="AJ95" s="291">
        <v>14</v>
      </c>
      <c r="AK95" s="292">
        <v>0.975</v>
      </c>
      <c r="AL95" s="294">
        <v>1.76</v>
      </c>
      <c r="AN95" s="49" t="str">
        <f>IF(AO95="","N.A.","SR =")</f>
        <v>N.A.</v>
      </c>
      <c r="AO95" s="98">
        <f>IF($D$17&gt;0,$B$95/$D$21,"")</f>
      </c>
    </row>
    <row r="96" spans="1:41" ht="12.75">
      <c r="A96" s="76" t="s">
        <v>218</v>
      </c>
      <c r="B96" s="163" t="str">
        <f>IF($D$17&gt;0,$N$44,"N.A.")</f>
        <v>N.A.</v>
      </c>
      <c r="C96" s="107" t="s">
        <v>229</v>
      </c>
      <c r="D96" s="51" t="str">
        <f>$P$44</f>
        <v>tc = SQRT(6.66*B*b'/(p*Fup))  (to develop 'B' in bolts/no prying)</v>
      </c>
      <c r="E96" s="54"/>
      <c r="F96" s="54"/>
      <c r="G96" s="54"/>
      <c r="H96" s="54"/>
      <c r="I96" s="251"/>
      <c r="L96" s="32"/>
      <c r="M96" s="32" t="s">
        <v>251</v>
      </c>
      <c r="N96" s="42" t="str">
        <f>IF(AND($D$34&gt;0,$D$35&gt;0,$D$35&lt;=0.5*$B$45,$D$36=0),$D$34+$D$21,IF(AND($D$34&gt;0,$D$35&gt;0,$D$36=0,$D$35&gt;0.5*$B$45),"ERROR","N.A."))</f>
        <v>N.A.</v>
      </c>
      <c r="O96" s="30" t="s">
        <v>229</v>
      </c>
      <c r="P96" s="37" t="s">
        <v>100</v>
      </c>
      <c r="Q96" s="56"/>
      <c r="V96" s="132"/>
      <c r="W96" s="132"/>
      <c r="X96" s="132"/>
      <c r="Y96" s="132"/>
      <c r="Z96" s="132"/>
      <c r="AA96" s="133"/>
      <c r="AB96" s="133"/>
      <c r="AC96" s="133"/>
      <c r="AD96" s="369"/>
      <c r="AF96" s="289" t="s">
        <v>544</v>
      </c>
      <c r="AG96" s="290">
        <v>37.8</v>
      </c>
      <c r="AH96" s="291">
        <v>27.6</v>
      </c>
      <c r="AI96" s="292">
        <v>0.61</v>
      </c>
      <c r="AJ96" s="291">
        <v>10</v>
      </c>
      <c r="AK96" s="293">
        <v>1.1</v>
      </c>
      <c r="AL96" s="294">
        <v>1.7</v>
      </c>
      <c r="AN96" s="49"/>
      <c r="AO96" s="98"/>
    </row>
    <row r="97" spans="1:41" ht="12.75">
      <c r="A97" s="80" t="s">
        <v>19</v>
      </c>
      <c r="B97" s="164" t="str">
        <f>IF($D$17&gt;0,$N$45,"N.A.")</f>
        <v>N.A.</v>
      </c>
      <c r="C97" s="115"/>
      <c r="D97" s="81" t="s">
        <v>801</v>
      </c>
      <c r="E97" s="54"/>
      <c r="F97" s="54"/>
      <c r="G97" s="54"/>
      <c r="H97" s="44"/>
      <c r="I97" s="251"/>
      <c r="L97" s="32"/>
      <c r="M97" s="32" t="s">
        <v>17</v>
      </c>
      <c r="N97" s="42" t="str">
        <f>IF(AND($D$34&gt;0,$D$35&gt;0,$D$35&lt;=0.5*$B$45,$D$36=0),($B$47*$B$48^2/2+($N$95-$B$48)*$B$46*($B$48+($N$95-$B$48)/2))/(($N$95-$B$48)*$B$46+$B$47*$B$48),IF(AND($D$34&gt;0,$D$35&gt;0,$D$36=0,$D$35&gt;0.5*$B$45),"ERROR","N.A."))</f>
        <v>N.A.</v>
      </c>
      <c r="O97" s="30" t="s">
        <v>229</v>
      </c>
      <c r="P97" s="37" t="s">
        <v>228</v>
      </c>
      <c r="Q97" s="56"/>
      <c r="V97" s="132"/>
      <c r="W97" s="132"/>
      <c r="X97" s="132"/>
      <c r="Y97" s="132"/>
      <c r="Z97" s="132"/>
      <c r="AA97" s="133"/>
      <c r="AB97" s="133"/>
      <c r="AC97" s="133"/>
      <c r="AD97" s="369"/>
      <c r="AF97" s="289" t="s">
        <v>545</v>
      </c>
      <c r="AG97" s="290">
        <v>33.5</v>
      </c>
      <c r="AH97" s="291">
        <v>27.3</v>
      </c>
      <c r="AI97" s="292">
        <v>0.57</v>
      </c>
      <c r="AJ97" s="291">
        <v>10.1</v>
      </c>
      <c r="AK97" s="292">
        <v>0.93</v>
      </c>
      <c r="AL97" s="294">
        <v>1.53</v>
      </c>
      <c r="AN97" s="49"/>
      <c r="AO97" s="98"/>
    </row>
    <row r="98" spans="1:38" ht="12.75">
      <c r="A98" s="68" t="s">
        <v>237</v>
      </c>
      <c r="B98" s="172" t="str">
        <f>IF($D$17&gt;0,$N$46,"N.A.")</f>
        <v>N.A.</v>
      </c>
      <c r="C98" s="107" t="s">
        <v>206</v>
      </c>
      <c r="D98" s="54" t="s">
        <v>802</v>
      </c>
      <c r="E98" s="54"/>
      <c r="F98" s="54"/>
      <c r="G98" s="54"/>
      <c r="H98" s="44"/>
      <c r="I98" s="251"/>
      <c r="L98" s="32"/>
      <c r="M98" s="32" t="s">
        <v>286</v>
      </c>
      <c r="N98" s="60" t="str">
        <f>IF(AND($D$34&gt;0,$D$35&gt;0,$D$35&lt;=0.5*$B$45,$D$36=0),$B$47*$B$48^3/12+$B$47*$B$48*($N$97-$B$48/2)^2+$B$46*($N$95-$B$48)^3/12+($N$95-$B$48)*$B$46*($B$48+($N$95-$B$48)/2-$N$97)^2,IF(AND($D$34&gt;0,$D$35&gt;0,$D$36=0,$D$35&gt;0.5*$B$45),"ERROR","N.A."))</f>
        <v>N.A.</v>
      </c>
      <c r="O98" s="30" t="s">
        <v>309</v>
      </c>
      <c r="P98" s="37" t="s">
        <v>63</v>
      </c>
      <c r="Q98" s="56"/>
      <c r="V98" s="132"/>
      <c r="W98" s="132"/>
      <c r="X98" s="132"/>
      <c r="Y98" s="132"/>
      <c r="Z98" s="132"/>
      <c r="AA98" s="133"/>
      <c r="AB98" s="133"/>
      <c r="AC98" s="133"/>
      <c r="AD98" s="369"/>
      <c r="AF98" s="289" t="s">
        <v>546</v>
      </c>
      <c r="AG98" s="290">
        <v>30</v>
      </c>
      <c r="AH98" s="291">
        <v>27.1</v>
      </c>
      <c r="AI98" s="292">
        <v>0.515</v>
      </c>
      <c r="AJ98" s="291">
        <v>10</v>
      </c>
      <c r="AK98" s="292">
        <v>0.83</v>
      </c>
      <c r="AL98" s="294">
        <v>1.43</v>
      </c>
    </row>
    <row r="99" spans="1:41" ht="12.75">
      <c r="A99" s="78"/>
      <c r="B99" s="54"/>
      <c r="C99" s="115"/>
      <c r="D99" s="54" t="s">
        <v>803</v>
      </c>
      <c r="E99" s="54"/>
      <c r="F99" s="54"/>
      <c r="G99" s="54"/>
      <c r="H99" s="79"/>
      <c r="I99" s="251">
        <f>IF($D$17&gt;0,IF($B$98&gt;=$D$17,"Ra &gt;= P,  O.K.  ","Ra &lt; P, N.G.  "),"")</f>
      </c>
      <c r="L99" s="32"/>
      <c r="M99" s="32" t="s">
        <v>187</v>
      </c>
      <c r="N99" s="60" t="str">
        <f>IF(AND($D$34&gt;0,$D$35&gt;0,$D$35&lt;=0.5*$B$45,$D$36=0),$N$98/($N$95-$N$97),IF(AND($D$34&gt;0,$D$35&gt;0,$D$36=0,$D$35&gt;0.5*$B$45),"ERROR","N.A."))</f>
        <v>N.A.</v>
      </c>
      <c r="O99" s="30" t="s">
        <v>308</v>
      </c>
      <c r="P99" s="56" t="s">
        <v>245</v>
      </c>
      <c r="Q99" s="56"/>
      <c r="U99" s="56"/>
      <c r="V99" s="132"/>
      <c r="W99" s="132"/>
      <c r="X99" s="132"/>
      <c r="Y99" s="132"/>
      <c r="Z99" s="132"/>
      <c r="AA99" s="132"/>
      <c r="AB99" s="133"/>
      <c r="AC99" s="365"/>
      <c r="AD99" s="369"/>
      <c r="AF99" s="289" t="s">
        <v>547</v>
      </c>
      <c r="AG99" s="290">
        <v>27.7</v>
      </c>
      <c r="AH99" s="291">
        <v>26.9</v>
      </c>
      <c r="AI99" s="292">
        <v>0.49</v>
      </c>
      <c r="AJ99" s="291">
        <v>10</v>
      </c>
      <c r="AK99" s="292">
        <v>0.745</v>
      </c>
      <c r="AL99" s="294">
        <v>1.34</v>
      </c>
      <c r="AN99" s="49" t="str">
        <f>IF(AO99="","N.A.","SR =")</f>
        <v>N.A.</v>
      </c>
      <c r="AO99" s="98">
        <f>IF($D$17&gt;0,$D$17/$B$98,"")</f>
      </c>
    </row>
    <row r="100" spans="1:38" ht="12.75">
      <c r="A100" s="19"/>
      <c r="B100" s="20"/>
      <c r="C100" s="119"/>
      <c r="D100" s="20"/>
      <c r="E100" s="20"/>
      <c r="F100" s="20"/>
      <c r="G100" s="20"/>
      <c r="H100" s="20"/>
      <c r="I100" s="122" t="s">
        <v>122</v>
      </c>
      <c r="L100" s="32"/>
      <c r="M100" s="32" t="s">
        <v>129</v>
      </c>
      <c r="N100" s="60" t="str">
        <f>IF(AND($D$34&gt;0,$D$35&gt;0,$D$35&lt;=0.5*$B$45,$D$36=0),(1/2)*$N$9*IF(1-$D$17/(0.6*$D$12*$N$92)&gt;0,(1-$D$17/(0.6*$D$12*$N$92)),0.0001),IF(AND($D$34&gt;0,$D$35&gt;0,$D$36=0,$D$35&gt;0.5*$B$45),"ERROR","N.A."))</f>
        <v>N.A.</v>
      </c>
      <c r="O100" s="37" t="s">
        <v>212</v>
      </c>
      <c r="P100" s="37" t="s">
        <v>914</v>
      </c>
      <c r="V100" s="132"/>
      <c r="W100" s="132"/>
      <c r="X100" s="132"/>
      <c r="Y100" s="132"/>
      <c r="Z100" s="132"/>
      <c r="AA100" s="132"/>
      <c r="AB100" s="133"/>
      <c r="AC100" s="133"/>
      <c r="AD100" s="369"/>
      <c r="AF100" s="289" t="s">
        <v>548</v>
      </c>
      <c r="AG100" s="290">
        <v>24.8</v>
      </c>
      <c r="AH100" s="291">
        <v>26.7</v>
      </c>
      <c r="AI100" s="292">
        <v>0.46</v>
      </c>
      <c r="AJ100" s="291">
        <v>10</v>
      </c>
      <c r="AK100" s="292">
        <v>0.64</v>
      </c>
      <c r="AL100" s="294">
        <v>1.24</v>
      </c>
    </row>
    <row r="101" spans="1:41" ht="12.75">
      <c r="A101" s="16"/>
      <c r="B101" s="17"/>
      <c r="C101" s="118"/>
      <c r="D101" s="17"/>
      <c r="E101" s="17"/>
      <c r="F101" s="17"/>
      <c r="G101" s="17"/>
      <c r="H101" s="184"/>
      <c r="I101" s="178"/>
      <c r="L101" s="32"/>
      <c r="M101" s="32" t="s">
        <v>120</v>
      </c>
      <c r="N101" s="60" t="str">
        <f>IF(AND($D$34&gt;0,$D$35&gt;0,$D$34&lt;=$B$45/2,$D$36=0),$N$100*$N$99/$N$96,IF(AND($D$34&gt;0,$D$35&gt;0,$D$36=0,$D$35&gt;0.5*$B$45),"ERROR","N.A."))</f>
        <v>N.A.</v>
      </c>
      <c r="O101" s="30" t="s">
        <v>206</v>
      </c>
      <c r="P101" s="37" t="s">
        <v>311</v>
      </c>
      <c r="V101" s="132"/>
      <c r="W101" s="132"/>
      <c r="X101" s="132"/>
      <c r="Y101" s="132"/>
      <c r="Z101" s="132"/>
      <c r="AA101" s="132"/>
      <c r="AB101" s="365"/>
      <c r="AC101" s="365"/>
      <c r="AD101" s="369"/>
      <c r="AF101" s="289" t="s">
        <v>549</v>
      </c>
      <c r="AG101" s="295">
        <v>109</v>
      </c>
      <c r="AH101" s="291">
        <v>28</v>
      </c>
      <c r="AI101" s="293">
        <v>1.52</v>
      </c>
      <c r="AJ101" s="291">
        <v>13.7</v>
      </c>
      <c r="AK101" s="293">
        <v>2.72</v>
      </c>
      <c r="AL101" s="294">
        <v>3.22</v>
      </c>
      <c r="AN101" s="49"/>
      <c r="AO101" s="98"/>
    </row>
    <row r="102" spans="1:41" ht="12.75">
      <c r="A102" s="84" t="s">
        <v>113</v>
      </c>
      <c r="B102" s="9"/>
      <c r="C102" s="106"/>
      <c r="D102" s="9"/>
      <c r="E102" s="9"/>
      <c r="F102" s="9"/>
      <c r="G102" s="9"/>
      <c r="H102" s="87"/>
      <c r="I102" s="251"/>
      <c r="L102" s="32"/>
      <c r="M102" s="56" t="s">
        <v>419</v>
      </c>
      <c r="O102" s="33"/>
      <c r="V102" s="132"/>
      <c r="W102" s="132"/>
      <c r="X102" s="132"/>
      <c r="Y102" s="132"/>
      <c r="Z102" s="132"/>
      <c r="AA102" s="132"/>
      <c r="AB102" s="132"/>
      <c r="AC102" s="365"/>
      <c r="AD102" s="369"/>
      <c r="AF102" s="289" t="s">
        <v>550</v>
      </c>
      <c r="AG102" s="290">
        <v>98.4</v>
      </c>
      <c r="AH102" s="291">
        <v>27.5</v>
      </c>
      <c r="AI102" s="293">
        <v>1.38</v>
      </c>
      <c r="AJ102" s="291">
        <v>13.5</v>
      </c>
      <c r="AK102" s="293">
        <v>2.48</v>
      </c>
      <c r="AL102" s="294">
        <v>2.98</v>
      </c>
      <c r="AN102" s="49"/>
      <c r="AO102" s="98"/>
    </row>
    <row r="103" spans="1:41" ht="12.75">
      <c r="A103" s="66" t="s">
        <v>77</v>
      </c>
      <c r="B103" s="9"/>
      <c r="C103" s="106"/>
      <c r="D103" s="9"/>
      <c r="E103" s="54"/>
      <c r="F103" s="54"/>
      <c r="G103" s="54"/>
      <c r="H103" s="54"/>
      <c r="I103" s="251"/>
      <c r="L103" s="56"/>
      <c r="M103" s="32" t="s">
        <v>30</v>
      </c>
      <c r="N103" s="42" t="str">
        <f>IF(AND($D$34&gt;0,$D$35&gt;0,$D$35&lt;=0.5*$B$45,$D$36=0),$D$34/$B$45,IF(AND($D$34&gt;0,$D$35&gt;0,$D$36=0,$D$35&gt;0.5*$B$45),"ERROR","N.A."))</f>
        <v>N.A.</v>
      </c>
      <c r="O103" s="30"/>
      <c r="P103" s="37" t="s">
        <v>33</v>
      </c>
      <c r="Q103" s="56"/>
      <c r="V103" s="132"/>
      <c r="W103" s="132"/>
      <c r="X103" s="132"/>
      <c r="Y103" s="132"/>
      <c r="Z103" s="132"/>
      <c r="AA103" s="132"/>
      <c r="AB103" s="132"/>
      <c r="AC103" s="132"/>
      <c r="AD103" s="369"/>
      <c r="AF103" s="289" t="s">
        <v>551</v>
      </c>
      <c r="AG103" s="290">
        <v>89.8</v>
      </c>
      <c r="AH103" s="291">
        <v>27.1</v>
      </c>
      <c r="AI103" s="293">
        <v>1.26</v>
      </c>
      <c r="AJ103" s="291">
        <v>13.4</v>
      </c>
      <c r="AK103" s="293">
        <v>2.28</v>
      </c>
      <c r="AL103" s="294">
        <v>2.78</v>
      </c>
      <c r="AN103" s="49"/>
      <c r="AO103" s="98"/>
    </row>
    <row r="104" spans="1:41" ht="12.75">
      <c r="A104" s="50" t="s">
        <v>260</v>
      </c>
      <c r="B104" s="323" t="str">
        <f>$N$49</f>
        <v>N.A.</v>
      </c>
      <c r="C104" s="105" t="s">
        <v>229</v>
      </c>
      <c r="D104" s="44">
        <f>$P$49</f>
      </c>
      <c r="E104" s="9"/>
      <c r="F104" s="9"/>
      <c r="G104" s="9"/>
      <c r="H104" s="9"/>
      <c r="I104" s="251"/>
      <c r="L104" s="32"/>
      <c r="M104" s="32" t="s">
        <v>262</v>
      </c>
      <c r="N104" s="42" t="str">
        <f>IF(AND($D$34&gt;0,$D$35&gt;0,$D$35&lt;=0.5*$B$45,$D$36=0),IF($N$103&lt;=1,2*$N$103,1+$N$103),IF(AND($D$34&gt;0,$D$35&gt;0,$D$36=0,$D$35&gt;0.5*$B$45),"ERROR","N.A."))</f>
        <v>N.A.</v>
      </c>
      <c r="O104" s="30"/>
      <c r="P104" s="37" t="s">
        <v>34</v>
      </c>
      <c r="Q104" s="56"/>
      <c r="V104" s="132"/>
      <c r="W104" s="132"/>
      <c r="X104" s="132"/>
      <c r="Y104" s="132"/>
      <c r="Z104" s="132"/>
      <c r="AA104" s="132"/>
      <c r="AB104" s="132"/>
      <c r="AC104" s="132"/>
      <c r="AD104" s="369"/>
      <c r="AF104" s="289" t="s">
        <v>552</v>
      </c>
      <c r="AG104" s="290">
        <v>82</v>
      </c>
      <c r="AH104" s="291">
        <v>26.7</v>
      </c>
      <c r="AI104" s="293">
        <v>1.16</v>
      </c>
      <c r="AJ104" s="291">
        <v>13.3</v>
      </c>
      <c r="AK104" s="293">
        <v>2.09</v>
      </c>
      <c r="AL104" s="294">
        <v>2.59</v>
      </c>
      <c r="AN104" s="49"/>
      <c r="AO104" s="98"/>
    </row>
    <row r="105" spans="1:41" ht="12.75">
      <c r="A105" s="50" t="s">
        <v>398</v>
      </c>
      <c r="B105" s="163">
        <f>$N$50</f>
        <v>0.78125</v>
      </c>
      <c r="C105" s="105" t="s">
        <v>229</v>
      </c>
      <c r="D105" s="44" t="str">
        <f>$P$50</f>
        <v>Lce = Clear distance between edge bolt hole and edge</v>
      </c>
      <c r="E105" s="44"/>
      <c r="F105" s="9"/>
      <c r="G105" s="9"/>
      <c r="H105" s="9"/>
      <c r="I105" s="251"/>
      <c r="L105" s="32"/>
      <c r="M105" s="32" t="s">
        <v>29</v>
      </c>
      <c r="N105" s="42" t="str">
        <f>IF(AND($D$34&gt;0,$D$35&gt;0,$D$35&lt;=0.5*$B$45,$D$36=0),$D$34/$N$95,IF(AND($D$34&gt;0,$D$35&gt;0,$D$36=0,$D$35&gt;0.5*$B$45),"ERROR","N.A."))</f>
        <v>N.A.</v>
      </c>
      <c r="O105" s="30"/>
      <c r="P105" s="37" t="s">
        <v>31</v>
      </c>
      <c r="Q105" s="56"/>
      <c r="V105" s="132"/>
      <c r="W105" s="132"/>
      <c r="X105" s="132"/>
      <c r="Y105" s="132"/>
      <c r="Z105" s="132"/>
      <c r="AA105" s="132"/>
      <c r="AB105" s="132"/>
      <c r="AC105" s="132"/>
      <c r="AD105" s="369"/>
      <c r="AF105" s="289" t="s">
        <v>553</v>
      </c>
      <c r="AG105" s="290">
        <v>73.5</v>
      </c>
      <c r="AH105" s="291">
        <v>26.3</v>
      </c>
      <c r="AI105" s="293">
        <v>1.04</v>
      </c>
      <c r="AJ105" s="291">
        <v>13.2</v>
      </c>
      <c r="AK105" s="293">
        <v>1.89</v>
      </c>
      <c r="AL105" s="294">
        <v>2.39</v>
      </c>
      <c r="AN105" s="49"/>
      <c r="AO105" s="98"/>
    </row>
    <row r="106" spans="1:38" ht="12.75">
      <c r="A106" s="50" t="s">
        <v>399</v>
      </c>
      <c r="B106" s="163">
        <f>$N$51</f>
        <v>2.0625</v>
      </c>
      <c r="C106" s="105" t="s">
        <v>229</v>
      </c>
      <c r="D106" s="44" t="str">
        <f>$P$51</f>
        <v>Lcs = Clear distance between bolt holes</v>
      </c>
      <c r="E106" s="44"/>
      <c r="F106" s="9"/>
      <c r="G106" s="9"/>
      <c r="H106" s="9"/>
      <c r="I106" s="251"/>
      <c r="L106" s="32"/>
      <c r="M106" s="32" t="s">
        <v>292</v>
      </c>
      <c r="N106" s="42" t="str">
        <f>IF(AND($D$34&gt;0,$D$35&gt;0,$D$35&lt;=0.5*$B$45,$D$36=0),IF($N$105&lt;=1,2.2*($N$95/$D$34)^1.65,2.2*($N$95/$D$34)),IF(AND($D$34&gt;0,$D$35&gt;0,$D$36=0,$D$35&gt;0.5*$B$45),"ERROR","N.A."))</f>
        <v>N.A.</v>
      </c>
      <c r="O106" s="30"/>
      <c r="P106" s="37" t="s">
        <v>32</v>
      </c>
      <c r="Q106" s="56"/>
      <c r="V106" s="132"/>
      <c r="W106" s="132"/>
      <c r="X106" s="132"/>
      <c r="Y106" s="132"/>
      <c r="Z106" s="132"/>
      <c r="AA106" s="132"/>
      <c r="AB106" s="132"/>
      <c r="AC106" s="132"/>
      <c r="AD106" s="369"/>
      <c r="AF106" s="289" t="s">
        <v>554</v>
      </c>
      <c r="AG106" s="290">
        <v>67.2</v>
      </c>
      <c r="AH106" s="291">
        <v>26</v>
      </c>
      <c r="AI106" s="292">
        <v>0.96</v>
      </c>
      <c r="AJ106" s="291">
        <v>13.1</v>
      </c>
      <c r="AK106" s="293">
        <v>1.73</v>
      </c>
      <c r="AL106" s="294">
        <v>2.23</v>
      </c>
    </row>
    <row r="107" spans="1:41" ht="12.75">
      <c r="A107" s="324" t="s">
        <v>119</v>
      </c>
      <c r="B107" s="168">
        <f>$N$52</f>
        <v>10.1953125</v>
      </c>
      <c r="C107" s="107" t="s">
        <v>206</v>
      </c>
      <c r="D107" s="147" t="str">
        <f>$P$52</f>
        <v>Rpe = (1/2)*min{ (1.2*Lce*tp*Fup), (2.4*db*tp*Fup) }</v>
      </c>
      <c r="E107" s="44"/>
      <c r="F107" s="54"/>
      <c r="G107" s="54"/>
      <c r="H107" s="54"/>
      <c r="I107" s="251"/>
      <c r="L107" s="32"/>
      <c r="M107" s="32" t="s">
        <v>129</v>
      </c>
      <c r="N107" s="60" t="str">
        <f>IF(AND($D$34&gt;0,$D$35&gt;0,$D$35&lt;=0.5*$B$45,$D$36=0),(1/1.67)*MIN(26210*$N$104*$N$106*($B$46/$N$95)^2,$D$12)*IF(1-$D$17/(0.6*$D$12*$N$92)&gt;0,(1-$D$17/(0.6*$D$12*$N$92)),0.0001),IF(AND($D$34&gt;0,$D$35&gt;0,$D$36=0,$D$35&gt;0.5*$B$45),"ERROR","N.A."))</f>
        <v>N.A.</v>
      </c>
      <c r="O107" s="37" t="s">
        <v>212</v>
      </c>
      <c r="P107" s="37" t="s">
        <v>811</v>
      </c>
      <c r="V107" s="132"/>
      <c r="W107" s="132"/>
      <c r="X107" s="132"/>
      <c r="Y107" s="132"/>
      <c r="Z107" s="132"/>
      <c r="AA107" s="132"/>
      <c r="AB107" s="132"/>
      <c r="AC107" s="132"/>
      <c r="AD107" s="369"/>
      <c r="AF107" s="289" t="s">
        <v>555</v>
      </c>
      <c r="AG107" s="290">
        <v>60.7</v>
      </c>
      <c r="AH107" s="291">
        <v>25.7</v>
      </c>
      <c r="AI107" s="292">
        <v>0.87</v>
      </c>
      <c r="AJ107" s="291">
        <v>13</v>
      </c>
      <c r="AK107" s="293">
        <v>1.57</v>
      </c>
      <c r="AL107" s="294">
        <v>2.07</v>
      </c>
      <c r="AN107" s="49"/>
      <c r="AO107" s="98"/>
    </row>
    <row r="108" spans="1:41" ht="12.75">
      <c r="A108" s="324" t="s">
        <v>291</v>
      </c>
      <c r="B108" s="168">
        <f>$N$53</f>
        <v>22.837500000000002</v>
      </c>
      <c r="C108" s="107" t="s">
        <v>206</v>
      </c>
      <c r="D108" s="147" t="str">
        <f>$P$53</f>
        <v>Rps = (1/2)*min{ (1.2*Lcs*tp*Fup), (2.4*db*tp*Fup) }</v>
      </c>
      <c r="E108" s="44"/>
      <c r="F108" s="54"/>
      <c r="G108" s="54"/>
      <c r="H108" s="54"/>
      <c r="I108" s="251"/>
      <c r="L108" s="32"/>
      <c r="M108" s="32" t="s">
        <v>120</v>
      </c>
      <c r="N108" s="60" t="str">
        <f>IF(AND($D$34&gt;0,$D$35&gt;0,$D$35&lt;=0.5*$B$45,$D$36=0),$N$107*$N$99/$N$96,IF(AND($D$34&gt;0,$D$35&gt;0,$D$36=0,$D$35&gt;0.5*$B$45),"ERROR","N.A."))</f>
        <v>N.A.</v>
      </c>
      <c r="O108" s="30" t="s">
        <v>206</v>
      </c>
      <c r="P108" s="37" t="s">
        <v>311</v>
      </c>
      <c r="V108" s="132"/>
      <c r="W108" s="132"/>
      <c r="X108" s="132"/>
      <c r="Y108" s="132"/>
      <c r="Z108" s="132"/>
      <c r="AA108" s="132"/>
      <c r="AB108" s="132"/>
      <c r="AC108" s="132"/>
      <c r="AD108" s="369"/>
      <c r="AF108" s="289" t="s">
        <v>556</v>
      </c>
      <c r="AG108" s="290">
        <v>56.3</v>
      </c>
      <c r="AH108" s="291">
        <v>25.5</v>
      </c>
      <c r="AI108" s="292">
        <v>0.81</v>
      </c>
      <c r="AJ108" s="291">
        <v>13</v>
      </c>
      <c r="AK108" s="293">
        <v>1.46</v>
      </c>
      <c r="AL108" s="294">
        <v>1.96</v>
      </c>
      <c r="AN108" s="49"/>
      <c r="AO108" s="98"/>
    </row>
    <row r="109" spans="1:41" ht="12.75">
      <c r="A109" s="50" t="s">
        <v>301</v>
      </c>
      <c r="B109" s="172">
        <f>$N$54</f>
        <v>157.415625</v>
      </c>
      <c r="C109" s="107" t="s">
        <v>206</v>
      </c>
      <c r="D109" s="44" t="str">
        <f>$P$54</f>
        <v>Rpv = 2*{ Rpe+(Nb-1)*Rps }</v>
      </c>
      <c r="E109" s="44"/>
      <c r="F109" s="54"/>
      <c r="G109" s="54"/>
      <c r="H109" s="58"/>
      <c r="I109" s="251" t="str">
        <f>IF($B$109&gt;=$D$16,"Rpv &gt;= R,  O.K.  ","Rpv &lt; R, N.G.  ")</f>
        <v>Rpv &gt;= R,  O.K.  </v>
      </c>
      <c r="L109" s="32"/>
      <c r="M109" s="93" t="s">
        <v>209</v>
      </c>
      <c r="O109" s="33"/>
      <c r="R109" s="135" t="s">
        <v>298</v>
      </c>
      <c r="V109" s="132"/>
      <c r="W109" s="132"/>
      <c r="X109" s="132"/>
      <c r="Y109" s="132"/>
      <c r="Z109" s="132"/>
      <c r="AA109" s="132"/>
      <c r="AB109" s="132"/>
      <c r="AC109" s="132"/>
      <c r="AD109" s="369"/>
      <c r="AF109" s="289" t="s">
        <v>557</v>
      </c>
      <c r="AG109" s="290">
        <v>51.7</v>
      </c>
      <c r="AH109" s="291">
        <v>25.2</v>
      </c>
      <c r="AI109" s="292">
        <v>0.75</v>
      </c>
      <c r="AJ109" s="291">
        <v>12.9</v>
      </c>
      <c r="AK109" s="293">
        <v>1.34</v>
      </c>
      <c r="AL109" s="294">
        <v>1.84</v>
      </c>
      <c r="AN109" s="49" t="s">
        <v>278</v>
      </c>
      <c r="AO109" s="98">
        <f>$D$16/$B$109</f>
        <v>0.2541043813153872</v>
      </c>
    </row>
    <row r="110" spans="1:41" ht="12.75">
      <c r="A110" s="18"/>
      <c r="B110" s="9"/>
      <c r="C110" s="9"/>
      <c r="D110" s="9"/>
      <c r="E110" s="44"/>
      <c r="F110" s="9"/>
      <c r="G110" s="9"/>
      <c r="H110" s="87"/>
      <c r="I110" s="251"/>
      <c r="M110" s="28" t="s">
        <v>421</v>
      </c>
      <c r="O110" s="33"/>
      <c r="V110" s="133"/>
      <c r="W110" s="132"/>
      <c r="X110" s="132"/>
      <c r="Y110" s="132"/>
      <c r="Z110" s="132"/>
      <c r="AA110" s="132"/>
      <c r="AB110" s="132"/>
      <c r="AC110" s="132"/>
      <c r="AD110" s="369"/>
      <c r="AF110" s="289" t="s">
        <v>558</v>
      </c>
      <c r="AG110" s="290">
        <v>47.7</v>
      </c>
      <c r="AH110" s="291">
        <v>25</v>
      </c>
      <c r="AI110" s="292">
        <v>0.705</v>
      </c>
      <c r="AJ110" s="291">
        <v>13</v>
      </c>
      <c r="AK110" s="293">
        <v>1.22</v>
      </c>
      <c r="AL110" s="294">
        <v>1.72</v>
      </c>
      <c r="AN110" s="49"/>
      <c r="AO110" s="98"/>
    </row>
    <row r="111" spans="1:41" ht="12.75">
      <c r="A111" s="326" t="s">
        <v>82</v>
      </c>
      <c r="B111" s="9"/>
      <c r="C111" s="106"/>
      <c r="D111" s="9"/>
      <c r="E111" s="9"/>
      <c r="F111" s="9"/>
      <c r="G111" s="9"/>
      <c r="H111" s="87"/>
      <c r="I111" s="251"/>
      <c r="M111" s="49" t="s">
        <v>222</v>
      </c>
      <c r="N111" s="42" t="str">
        <f>IF(AND($D$34&gt;0,$D$35&gt;0,$D$36&gt;0),$N$67*$B$46,"N.A.")</f>
        <v>N.A.</v>
      </c>
      <c r="O111" s="37" t="s">
        <v>210</v>
      </c>
      <c r="P111" s="37" t="s">
        <v>97</v>
      </c>
      <c r="V111" s="133"/>
      <c r="W111" s="132"/>
      <c r="X111" s="132"/>
      <c r="Y111" s="132"/>
      <c r="Z111" s="132"/>
      <c r="AA111" s="132"/>
      <c r="AB111" s="132"/>
      <c r="AC111" s="132"/>
      <c r="AD111" s="369"/>
      <c r="AF111" s="289" t="s">
        <v>559</v>
      </c>
      <c r="AG111" s="290">
        <v>43</v>
      </c>
      <c r="AH111" s="291">
        <v>24.7</v>
      </c>
      <c r="AI111" s="292">
        <v>0.65</v>
      </c>
      <c r="AJ111" s="291">
        <v>12.9</v>
      </c>
      <c r="AK111" s="293">
        <v>1.09</v>
      </c>
      <c r="AL111" s="294">
        <v>1.59</v>
      </c>
      <c r="AN111" s="49"/>
      <c r="AO111" s="98"/>
    </row>
    <row r="112" spans="1:41" ht="12.75">
      <c r="A112" s="68" t="s">
        <v>117</v>
      </c>
      <c r="B112" s="173">
        <f>$N$56</f>
        <v>8.625</v>
      </c>
      <c r="C112" s="107" t="s">
        <v>210</v>
      </c>
      <c r="D112" s="51" t="str">
        <f>$P$56</f>
        <v>Avg = 2*((Nr-1)*S+(2*ED))*tp</v>
      </c>
      <c r="E112" s="44"/>
      <c r="F112" s="9"/>
      <c r="G112" s="9"/>
      <c r="H112" s="9"/>
      <c r="I112" s="251"/>
      <c r="L112" s="49"/>
      <c r="M112" s="32" t="s">
        <v>223</v>
      </c>
      <c r="N112" s="40" t="str">
        <f>IF(AND($D$34&gt;0,$D$35&gt;0,$D$36&gt;0),(1/2)*0.6*$N$9*$N$111,"N.A.")</f>
        <v>N.A.</v>
      </c>
      <c r="O112" s="30" t="s">
        <v>206</v>
      </c>
      <c r="P112" s="28" t="s">
        <v>414</v>
      </c>
      <c r="V112" s="133"/>
      <c r="W112" s="132"/>
      <c r="X112" s="132"/>
      <c r="Y112" s="132"/>
      <c r="Z112" s="132"/>
      <c r="AA112" s="132"/>
      <c r="AB112" s="132"/>
      <c r="AC112" s="132"/>
      <c r="AD112" s="369"/>
      <c r="AF112" s="289" t="s">
        <v>560</v>
      </c>
      <c r="AG112" s="290">
        <v>38.5</v>
      </c>
      <c r="AH112" s="291">
        <v>24.5</v>
      </c>
      <c r="AI112" s="292">
        <v>0.605</v>
      </c>
      <c r="AJ112" s="291">
        <v>12.9</v>
      </c>
      <c r="AK112" s="292">
        <v>0.96</v>
      </c>
      <c r="AL112" s="294">
        <v>1.46</v>
      </c>
      <c r="AN112" s="49"/>
      <c r="AO112" s="98"/>
    </row>
    <row r="113" spans="1:41" ht="12.75">
      <c r="A113" s="68" t="s">
        <v>221</v>
      </c>
      <c r="B113" s="172">
        <f>$N$57</f>
        <v>124.19999999999999</v>
      </c>
      <c r="C113" s="107" t="s">
        <v>206</v>
      </c>
      <c r="D113" s="51" t="str">
        <f>$P$57</f>
        <v>Rvg = (1/1.5)*0.60*Fyp*Avg</v>
      </c>
      <c r="E113" s="44"/>
      <c r="F113" s="9"/>
      <c r="G113" s="9"/>
      <c r="H113" s="58"/>
      <c r="I113" s="251" t="str">
        <f>IF($B$113&gt;=$D$16,"Rvg &gt;= R,  O.K.  ","Rvg &lt; R, N.G.  ")</f>
        <v>Rvg &gt;= R,  O.K.  </v>
      </c>
      <c r="L113" s="32"/>
      <c r="M113" s="56" t="s">
        <v>813</v>
      </c>
      <c r="O113" s="33"/>
      <c r="V113" s="133"/>
      <c r="W113" s="132"/>
      <c r="X113" s="132"/>
      <c r="Y113" s="132"/>
      <c r="Z113" s="132"/>
      <c r="AA113" s="132"/>
      <c r="AB113" s="132"/>
      <c r="AC113" s="132"/>
      <c r="AD113" s="369"/>
      <c r="AF113" s="289" t="s">
        <v>561</v>
      </c>
      <c r="AG113" s="290">
        <v>34.4</v>
      </c>
      <c r="AH113" s="291">
        <v>24.3</v>
      </c>
      <c r="AI113" s="292">
        <v>0.55</v>
      </c>
      <c r="AJ113" s="291">
        <v>12.8</v>
      </c>
      <c r="AK113" s="292">
        <v>0.85</v>
      </c>
      <c r="AL113" s="294">
        <v>1.35</v>
      </c>
      <c r="AN113" s="49" t="s">
        <v>278</v>
      </c>
      <c r="AO113" s="98">
        <f>$D$16/$B$113</f>
        <v>0.32206119162640906</v>
      </c>
    </row>
    <row r="114" spans="1:38" ht="12.75">
      <c r="A114" s="18"/>
      <c r="B114" s="9"/>
      <c r="C114" s="9"/>
      <c r="D114" s="9"/>
      <c r="E114" s="9"/>
      <c r="F114" s="9"/>
      <c r="G114" s="9"/>
      <c r="H114" s="9"/>
      <c r="I114" s="251"/>
      <c r="L114" s="56"/>
      <c r="M114" s="49" t="s">
        <v>46</v>
      </c>
      <c r="N114" s="42" t="str">
        <f>IF(AND($D$34&gt;0,$D$35&gt;0,$D$36&gt;0),$N$111,"N.A.")</f>
        <v>N.A.</v>
      </c>
      <c r="O114" s="37" t="s">
        <v>210</v>
      </c>
      <c r="P114" s="37" t="s">
        <v>99</v>
      </c>
      <c r="V114" s="132"/>
      <c r="W114" s="132"/>
      <c r="X114" s="132"/>
      <c r="Y114" s="132"/>
      <c r="Z114" s="132"/>
      <c r="AA114" s="132"/>
      <c r="AB114" s="132"/>
      <c r="AC114" s="132"/>
      <c r="AD114" s="369"/>
      <c r="AF114" s="289" t="s">
        <v>562</v>
      </c>
      <c r="AG114" s="290">
        <v>30.6</v>
      </c>
      <c r="AH114" s="291">
        <v>24.1</v>
      </c>
      <c r="AI114" s="292">
        <v>0.5</v>
      </c>
      <c r="AJ114" s="291">
        <v>12.8</v>
      </c>
      <c r="AK114" s="292">
        <v>0.75</v>
      </c>
      <c r="AL114" s="294">
        <v>1.25</v>
      </c>
    </row>
    <row r="115" spans="1:41" ht="12.75">
      <c r="A115" s="326" t="s">
        <v>87</v>
      </c>
      <c r="B115" s="44"/>
      <c r="C115" s="115"/>
      <c r="D115" s="51"/>
      <c r="E115" s="44"/>
      <c r="F115" s="9"/>
      <c r="G115" s="9"/>
      <c r="H115" s="9"/>
      <c r="I115" s="251"/>
      <c r="L115" s="49"/>
      <c r="M115" s="49" t="s">
        <v>45</v>
      </c>
      <c r="N115" s="60" t="str">
        <f>IF(AND($D$34&gt;0,$D$35&gt;0,$D$36&gt;0),(0.6*$D$12*$N$114)*IF(1-($D$16/$N$112)^2&gt;0,(1-($D$16/$N$112)^2),0.0001),"N.A.")</f>
        <v>N.A.</v>
      </c>
      <c r="O115" s="37" t="s">
        <v>206</v>
      </c>
      <c r="P115" s="37" t="s">
        <v>812</v>
      </c>
      <c r="Q115" s="56"/>
      <c r="V115" s="132"/>
      <c r="W115" s="132"/>
      <c r="X115" s="132"/>
      <c r="Y115" s="132"/>
      <c r="Z115" s="132"/>
      <c r="AA115" s="132"/>
      <c r="AB115" s="132"/>
      <c r="AC115" s="132"/>
      <c r="AD115" s="369"/>
      <c r="AF115" s="289" t="s">
        <v>563</v>
      </c>
      <c r="AG115" s="290">
        <v>30.3</v>
      </c>
      <c r="AH115" s="291">
        <v>24.5</v>
      </c>
      <c r="AI115" s="292">
        <v>0.55</v>
      </c>
      <c r="AJ115" s="293">
        <v>9</v>
      </c>
      <c r="AK115" s="292">
        <v>0.98</v>
      </c>
      <c r="AL115" s="294">
        <v>1.48</v>
      </c>
      <c r="AN115" s="49"/>
      <c r="AO115" s="98"/>
    </row>
    <row r="116" spans="1:41" ht="12.75">
      <c r="A116" s="68" t="s">
        <v>222</v>
      </c>
      <c r="B116" s="173">
        <f>$N$59</f>
        <v>5.625</v>
      </c>
      <c r="C116" s="107" t="s">
        <v>210</v>
      </c>
      <c r="D116" s="51" t="str">
        <f>$P$59</f>
        <v>Avn = Avg-2*(Nr*(dh1+1/16)*tp)</v>
      </c>
      <c r="E116" s="44"/>
      <c r="F116" s="9"/>
      <c r="G116" s="9"/>
      <c r="H116" s="9"/>
      <c r="I116" s="251"/>
      <c r="L116" s="49"/>
      <c r="M116" s="56" t="s">
        <v>422</v>
      </c>
      <c r="O116" s="33"/>
      <c r="V116" s="133"/>
      <c r="W116" s="132"/>
      <c r="X116" s="132"/>
      <c r="Y116" s="132"/>
      <c r="Z116" s="132"/>
      <c r="AA116" s="132"/>
      <c r="AB116" s="132"/>
      <c r="AC116" s="132"/>
      <c r="AD116" s="369"/>
      <c r="AF116" s="289" t="s">
        <v>564</v>
      </c>
      <c r="AG116" s="290">
        <v>27.7</v>
      </c>
      <c r="AH116" s="291">
        <v>24.3</v>
      </c>
      <c r="AI116" s="292">
        <v>0.515</v>
      </c>
      <c r="AJ116" s="293">
        <v>9.07</v>
      </c>
      <c r="AK116" s="292">
        <v>0.875</v>
      </c>
      <c r="AL116" s="294">
        <v>1.38</v>
      </c>
      <c r="AN116" s="49"/>
      <c r="AO116" s="98"/>
    </row>
    <row r="117" spans="1:41" ht="12.75">
      <c r="A117" s="68" t="s">
        <v>223</v>
      </c>
      <c r="B117" s="172">
        <f>$N$60</f>
        <v>97.87499999999999</v>
      </c>
      <c r="C117" s="107" t="s">
        <v>206</v>
      </c>
      <c r="D117" s="51" t="str">
        <f>$P$60</f>
        <v>Rvn = (1/2)*0.60*Fup*Avn</v>
      </c>
      <c r="E117" s="44"/>
      <c r="F117" s="44"/>
      <c r="G117" s="44"/>
      <c r="H117" s="58"/>
      <c r="I117" s="251" t="str">
        <f>IF($B$117&gt;=$D$16,"Rvn &gt;= R,  O.K.  ","Rvn &lt; R, N.G.  ")</f>
        <v>Rvn &gt;= R,  O.K.  </v>
      </c>
      <c r="L117" s="56"/>
      <c r="M117" s="32" t="s">
        <v>128</v>
      </c>
      <c r="N117" s="42" t="str">
        <f>IF(AND($D$34&gt;0,$D$35&gt;0,$D$36&gt;0),$B$45-$D$35-$D$36,"N.A.")</f>
        <v>N.A.</v>
      </c>
      <c r="O117" s="30" t="s">
        <v>229</v>
      </c>
      <c r="P117" s="37" t="s">
        <v>420</v>
      </c>
      <c r="Q117" s="56"/>
      <c r="V117" s="132"/>
      <c r="W117" s="132"/>
      <c r="X117" s="132"/>
      <c r="Y117" s="132"/>
      <c r="Z117" s="132"/>
      <c r="AA117" s="132"/>
      <c r="AB117" s="132"/>
      <c r="AC117" s="132"/>
      <c r="AD117" s="369"/>
      <c r="AF117" s="289" t="s">
        <v>565</v>
      </c>
      <c r="AG117" s="290">
        <v>24.7</v>
      </c>
      <c r="AH117" s="291">
        <v>24.1</v>
      </c>
      <c r="AI117" s="292">
        <v>0.47</v>
      </c>
      <c r="AJ117" s="293">
        <v>9.02</v>
      </c>
      <c r="AK117" s="292">
        <v>0.77</v>
      </c>
      <c r="AL117" s="294">
        <v>1.27</v>
      </c>
      <c r="AN117" s="49" t="s">
        <v>278</v>
      </c>
      <c r="AO117" s="98">
        <f>$D$16/$B$117</f>
        <v>0.4086845466155812</v>
      </c>
    </row>
    <row r="118" spans="1:41" ht="12.75">
      <c r="A118" s="18"/>
      <c r="B118" s="9"/>
      <c r="C118" s="9"/>
      <c r="D118" s="9"/>
      <c r="E118" s="9"/>
      <c r="F118" s="9"/>
      <c r="G118" s="9"/>
      <c r="H118" s="9"/>
      <c r="I118" s="251"/>
      <c r="L118" s="32"/>
      <c r="M118" s="32" t="s">
        <v>251</v>
      </c>
      <c r="N118" s="42" t="str">
        <f>IF(AND($D$34&gt;0,$D$35&gt;0,$D$36&gt;0),$D$34+$D$21,"N.A.")</f>
        <v>N.A.</v>
      </c>
      <c r="O118" s="30" t="s">
        <v>229</v>
      </c>
      <c r="P118" s="37" t="s">
        <v>100</v>
      </c>
      <c r="Q118" s="56"/>
      <c r="V118" s="132"/>
      <c r="W118" s="138"/>
      <c r="X118" s="132"/>
      <c r="Y118" s="132"/>
      <c r="Z118" s="132"/>
      <c r="AA118" s="132"/>
      <c r="AB118" s="132"/>
      <c r="AC118" s="132"/>
      <c r="AD118" s="369"/>
      <c r="AF118" s="289" t="s">
        <v>566</v>
      </c>
      <c r="AG118" s="290">
        <v>22.4</v>
      </c>
      <c r="AH118" s="291">
        <v>23.9</v>
      </c>
      <c r="AI118" s="292">
        <v>0.44</v>
      </c>
      <c r="AJ118" s="293">
        <v>8.99</v>
      </c>
      <c r="AK118" s="292">
        <v>0.68</v>
      </c>
      <c r="AL118" s="294">
        <v>1.18</v>
      </c>
      <c r="AN118" s="49"/>
      <c r="AO118" s="98"/>
    </row>
    <row r="119" spans="1:41" ht="12.75">
      <c r="A119" s="72" t="s">
        <v>91</v>
      </c>
      <c r="B119" s="9"/>
      <c r="C119" s="9"/>
      <c r="D119" s="9"/>
      <c r="E119" s="9"/>
      <c r="F119" s="9"/>
      <c r="G119" s="9"/>
      <c r="H119" s="9"/>
      <c r="I119" s="251"/>
      <c r="L119" s="32"/>
      <c r="M119" s="32" t="s">
        <v>17</v>
      </c>
      <c r="N119" s="42" t="str">
        <f>IF(AND($D$34&gt;0,$D$35&gt;0,$D$36&gt;0),$N$117/2,"N.A.")</f>
        <v>N.A.</v>
      </c>
      <c r="O119" s="30" t="s">
        <v>229</v>
      </c>
      <c r="P119" s="71" t="s">
        <v>243</v>
      </c>
      <c r="Q119" s="56"/>
      <c r="V119" s="133"/>
      <c r="W119" s="138"/>
      <c r="X119" s="138"/>
      <c r="Y119" s="138"/>
      <c r="Z119" s="138"/>
      <c r="AA119" s="138"/>
      <c r="AB119" s="138"/>
      <c r="AC119" s="138"/>
      <c r="AD119" s="370"/>
      <c r="AF119" s="289" t="s">
        <v>567</v>
      </c>
      <c r="AG119" s="290">
        <v>20.1</v>
      </c>
      <c r="AH119" s="291">
        <v>23.7</v>
      </c>
      <c r="AI119" s="292">
        <v>0.415</v>
      </c>
      <c r="AJ119" s="293">
        <v>8.97</v>
      </c>
      <c r="AK119" s="292">
        <v>0.585</v>
      </c>
      <c r="AL119" s="294">
        <v>1.09</v>
      </c>
      <c r="AN119" s="49"/>
      <c r="AO119" s="98"/>
    </row>
    <row r="120" spans="1:41" ht="12.75">
      <c r="A120" s="68" t="s">
        <v>402</v>
      </c>
      <c r="B120" s="173">
        <f>$N$62</f>
        <v>5.0625</v>
      </c>
      <c r="C120" s="107" t="s">
        <v>210</v>
      </c>
      <c r="D120" s="51" t="str">
        <f>$P$62</f>
        <v>Anv = 2* { (ED+(Nr-1)*S)-[(Nr-1)*(dh1+1/16)+(dh1+1/16)/2] }*tp</v>
      </c>
      <c r="E120" s="9"/>
      <c r="F120" s="9"/>
      <c r="G120" s="9"/>
      <c r="H120" s="9"/>
      <c r="I120" s="251"/>
      <c r="L120" s="32"/>
      <c r="M120" s="32" t="s">
        <v>286</v>
      </c>
      <c r="N120" s="60" t="str">
        <f>IF(AND($D$34&gt;0,$D$35&gt;0,$D$36&gt;0),$B$46*$N$117^3/12,"N.A.")</f>
        <v>N.A.</v>
      </c>
      <c r="O120" s="30" t="s">
        <v>309</v>
      </c>
      <c r="P120" s="37" t="s">
        <v>244</v>
      </c>
      <c r="Q120" s="56"/>
      <c r="V120" s="133"/>
      <c r="W120" s="133"/>
      <c r="X120" s="133"/>
      <c r="Y120" s="133"/>
      <c r="Z120" s="133"/>
      <c r="AB120" s="133"/>
      <c r="AC120" s="345"/>
      <c r="AD120" s="36"/>
      <c r="AF120" s="289" t="s">
        <v>568</v>
      </c>
      <c r="AG120" s="290">
        <v>18.2</v>
      </c>
      <c r="AH120" s="291">
        <v>23.7</v>
      </c>
      <c r="AI120" s="292">
        <v>0.43</v>
      </c>
      <c r="AJ120" s="293">
        <v>7.04</v>
      </c>
      <c r="AK120" s="292">
        <v>0.59</v>
      </c>
      <c r="AL120" s="294">
        <v>1.09</v>
      </c>
      <c r="AN120" s="49"/>
      <c r="AO120" s="98"/>
    </row>
    <row r="121" spans="1:41" ht="12.75">
      <c r="A121" s="68" t="s">
        <v>403</v>
      </c>
      <c r="B121" s="163">
        <f>$N$63</f>
        <v>7.6875</v>
      </c>
      <c r="C121" s="107" t="s">
        <v>210</v>
      </c>
      <c r="D121" s="51" t="str">
        <f>$P$63</f>
        <v>Agv = 2*(ED+(Nr-1)*S))*tp</v>
      </c>
      <c r="E121" s="9"/>
      <c r="F121" s="9"/>
      <c r="G121" s="9"/>
      <c r="H121" s="9"/>
      <c r="I121" s="251"/>
      <c r="L121" s="32"/>
      <c r="M121" s="32" t="s">
        <v>187</v>
      </c>
      <c r="N121" s="60" t="str">
        <f>IF(AND($D$34&gt;0,$D$35&gt;0,$D$36&gt;0),$N$120/($N$117-$N$119),"N.A.")</f>
        <v>N.A.</v>
      </c>
      <c r="O121" s="30" t="s">
        <v>308</v>
      </c>
      <c r="P121" s="56" t="s">
        <v>245</v>
      </c>
      <c r="Q121" s="56"/>
      <c r="V121" s="133"/>
      <c r="W121" s="133"/>
      <c r="X121" s="133"/>
      <c r="Y121" s="133"/>
      <c r="Z121" s="133"/>
      <c r="AA121" s="36"/>
      <c r="AB121" s="133"/>
      <c r="AC121" s="124"/>
      <c r="AD121" s="367"/>
      <c r="AF121" s="289" t="s">
        <v>569</v>
      </c>
      <c r="AG121" s="290">
        <v>16.2</v>
      </c>
      <c r="AH121" s="291">
        <v>23.6</v>
      </c>
      <c r="AI121" s="292">
        <v>0.395</v>
      </c>
      <c r="AJ121" s="293">
        <v>7.01</v>
      </c>
      <c r="AK121" s="292">
        <v>0.505</v>
      </c>
      <c r="AL121" s="294">
        <v>1.01</v>
      </c>
      <c r="AN121" s="49"/>
      <c r="AO121" s="98"/>
    </row>
    <row r="122" spans="1:41" ht="12.75">
      <c r="A122" s="68" t="s">
        <v>404</v>
      </c>
      <c r="B122" s="163">
        <f>$N$64</f>
        <v>0.5625</v>
      </c>
      <c r="C122" s="107" t="s">
        <v>210</v>
      </c>
      <c r="D122" s="51" t="str">
        <f>$P$64</f>
        <v>Ant = 2*{ (Lc-g)/2-(dh1+1/16)/2 }*tp</v>
      </c>
      <c r="E122" s="9"/>
      <c r="F122" s="9"/>
      <c r="G122" s="9"/>
      <c r="H122" s="9"/>
      <c r="I122" s="251"/>
      <c r="L122" s="32"/>
      <c r="M122" s="32" t="s">
        <v>129</v>
      </c>
      <c r="N122" s="60" t="str">
        <f>IF(AND($D$34&gt;0,$D$35&gt;0,$D$36&gt;0),(1/2)*$N$9*IF(1-$D$17/(0.6*$D$12*$N$111)&gt;0,(1-$D$17/(0.6*$D$12*$N$111)),0.0001),"N.A.")</f>
        <v>N.A.</v>
      </c>
      <c r="O122" s="37" t="s">
        <v>212</v>
      </c>
      <c r="P122" s="37" t="s">
        <v>914</v>
      </c>
      <c r="V122" s="133"/>
      <c r="W122" s="133"/>
      <c r="X122" s="133"/>
      <c r="Y122" s="133"/>
      <c r="Z122" s="133"/>
      <c r="AA122" s="36"/>
      <c r="AB122" s="133"/>
      <c r="AC122" s="369"/>
      <c r="AD122" s="369"/>
      <c r="AF122" s="289" t="s">
        <v>570</v>
      </c>
      <c r="AG122" s="290">
        <v>59.2</v>
      </c>
      <c r="AH122" s="291">
        <v>23</v>
      </c>
      <c r="AI122" s="292">
        <v>0.91</v>
      </c>
      <c r="AJ122" s="291">
        <v>12.6</v>
      </c>
      <c r="AK122" s="293">
        <v>1.63</v>
      </c>
      <c r="AL122" s="294">
        <v>2.13</v>
      </c>
      <c r="AN122" s="49"/>
      <c r="AO122" s="98"/>
    </row>
    <row r="123" spans="1:41" ht="12.75">
      <c r="A123" s="68" t="s">
        <v>193</v>
      </c>
      <c r="B123" s="172">
        <f>$N$65</f>
        <v>99.33749999999999</v>
      </c>
      <c r="C123" s="107" t="s">
        <v>206</v>
      </c>
      <c r="D123" s="51" t="str">
        <f>$P$65</f>
        <v>Rbs = min(0.30*Fup*Anv+0.50*Fup*Ant, 0.30*Fyp*Agv+0.50*Fup*Ant)</v>
      </c>
      <c r="E123" s="9"/>
      <c r="F123" s="9"/>
      <c r="G123" s="9"/>
      <c r="H123" s="58"/>
      <c r="I123" s="251"/>
      <c r="L123" s="32"/>
      <c r="M123" s="32" t="s">
        <v>120</v>
      </c>
      <c r="N123" s="60" t="str">
        <f>IF(AND($D$34&gt;0,$D$35&gt;0,$D$36&gt;0),$N$122*$N$121/$N$118,"N.A.")</f>
        <v>N.A.</v>
      </c>
      <c r="O123" s="30" t="s">
        <v>206</v>
      </c>
      <c r="P123" s="37" t="s">
        <v>311</v>
      </c>
      <c r="V123" s="133"/>
      <c r="W123" s="36"/>
      <c r="X123" s="36"/>
      <c r="Y123" s="36"/>
      <c r="Z123" s="36"/>
      <c r="AA123" s="36"/>
      <c r="AB123" s="36"/>
      <c r="AC123" s="36"/>
      <c r="AD123" s="36"/>
      <c r="AF123" s="289" t="s">
        <v>571</v>
      </c>
      <c r="AG123" s="290">
        <v>53.6</v>
      </c>
      <c r="AH123" s="291">
        <v>22.7</v>
      </c>
      <c r="AI123" s="292">
        <v>0.83</v>
      </c>
      <c r="AJ123" s="291">
        <v>12.5</v>
      </c>
      <c r="AK123" s="293">
        <v>1.48</v>
      </c>
      <c r="AL123" s="294">
        <v>1.98</v>
      </c>
      <c r="AN123" s="49"/>
      <c r="AO123" s="98"/>
    </row>
    <row r="124" spans="1:41" ht="12.75">
      <c r="A124" s="18"/>
      <c r="B124" s="9"/>
      <c r="C124" s="9"/>
      <c r="D124" s="9"/>
      <c r="E124" s="9"/>
      <c r="F124" s="9"/>
      <c r="G124" s="9"/>
      <c r="H124" s="9"/>
      <c r="I124" s="251" t="str">
        <f>IF($B$123&gt;=$D$16,"Rbs &gt;= R,  O.K.  ","Rbs &lt; R, N.G.  ")</f>
        <v>Rbs &gt;= R,  O.K.  </v>
      </c>
      <c r="L124" s="32"/>
      <c r="M124" s="56" t="s">
        <v>423</v>
      </c>
      <c r="O124" s="33"/>
      <c r="V124" s="133"/>
      <c r="W124" s="112"/>
      <c r="X124" s="112"/>
      <c r="Y124" s="112"/>
      <c r="Z124" s="112"/>
      <c r="AA124" s="112"/>
      <c r="AB124" s="112"/>
      <c r="AC124" s="112"/>
      <c r="AD124" s="36"/>
      <c r="AF124" s="289" t="s">
        <v>572</v>
      </c>
      <c r="AG124" s="290">
        <v>48.8</v>
      </c>
      <c r="AH124" s="291">
        <v>22.5</v>
      </c>
      <c r="AI124" s="292">
        <v>0.75</v>
      </c>
      <c r="AJ124" s="291">
        <v>12.4</v>
      </c>
      <c r="AK124" s="293">
        <v>1.36</v>
      </c>
      <c r="AL124" s="294">
        <v>1.86</v>
      </c>
      <c r="AN124" s="49" t="s">
        <v>278</v>
      </c>
      <c r="AO124" s="98">
        <f>$D$16/$B$123</f>
        <v>0.40266767333585</v>
      </c>
    </row>
    <row r="125" spans="1:38" ht="12.75">
      <c r="A125" s="84" t="s">
        <v>110</v>
      </c>
      <c r="B125" s="9"/>
      <c r="C125" s="9"/>
      <c r="D125" s="9"/>
      <c r="E125" s="9"/>
      <c r="F125" s="9"/>
      <c r="G125" s="9"/>
      <c r="H125" s="9"/>
      <c r="I125" s="251"/>
      <c r="L125" s="56"/>
      <c r="M125" s="49" t="s">
        <v>424</v>
      </c>
      <c r="N125" s="42" t="str">
        <f>IF(AND($D$34&gt;0,$D$35&gt;0,$D$36&gt;0),IF(AND($D$35&lt;=0.2*$B$45,$D$35=$D$36),3.5-7.5*$D$35/$B$45,"N.A."),"N.A.")</f>
        <v>N.A.</v>
      </c>
      <c r="O125" s="33"/>
      <c r="P125" s="37" t="s">
        <v>425</v>
      </c>
      <c r="V125" s="133"/>
      <c r="W125" s="112"/>
      <c r="X125" s="112"/>
      <c r="Y125" s="362"/>
      <c r="Z125" s="112"/>
      <c r="AA125" s="112"/>
      <c r="AB125" s="362"/>
      <c r="AC125" s="112"/>
      <c r="AD125" s="36"/>
      <c r="AF125" s="289" t="s">
        <v>573</v>
      </c>
      <c r="AG125" s="290">
        <v>43.2</v>
      </c>
      <c r="AH125" s="291">
        <v>22.1</v>
      </c>
      <c r="AI125" s="292">
        <v>0.72</v>
      </c>
      <c r="AJ125" s="291">
        <v>12.5</v>
      </c>
      <c r="AK125" s="293">
        <v>1.15</v>
      </c>
      <c r="AL125" s="294">
        <v>1.65</v>
      </c>
    </row>
    <row r="126" spans="1:41" ht="12.75">
      <c r="A126" s="329" t="s">
        <v>282</v>
      </c>
      <c r="B126" s="162">
        <f>N67</f>
        <v>11</v>
      </c>
      <c r="C126" s="107" t="s">
        <v>229</v>
      </c>
      <c r="D126" s="328" t="s">
        <v>102</v>
      </c>
      <c r="E126" s="9"/>
      <c r="F126" s="9"/>
      <c r="G126" s="9"/>
      <c r="H126" s="9"/>
      <c r="I126" s="251"/>
      <c r="L126" s="49"/>
      <c r="M126" s="49" t="s">
        <v>426</v>
      </c>
      <c r="N126" s="42" t="str">
        <f>IF(AND($D$34&gt;0,$D$35&gt;0,$D$36&gt;0),IF($D$35&gt;0.2*$B$45,($N$117*SQRT($D$12))/(10*$B$46*sqrt*(475+280*($N$117/$D$34)^2)),"N.A."),"N.A.")</f>
        <v>N.A.</v>
      </c>
      <c r="O126" s="33"/>
      <c r="P126" s="28" t="s">
        <v>427</v>
      </c>
      <c r="V126" s="132"/>
      <c r="W126" s="139"/>
      <c r="X126" s="139"/>
      <c r="Y126" s="139"/>
      <c r="Z126" s="139"/>
      <c r="AA126" s="139"/>
      <c r="AB126" s="139"/>
      <c r="AC126" s="139"/>
      <c r="AD126" s="36"/>
      <c r="AF126" s="289" t="s">
        <v>574</v>
      </c>
      <c r="AG126" s="290">
        <v>38.8</v>
      </c>
      <c r="AH126" s="291">
        <v>21.8</v>
      </c>
      <c r="AI126" s="292">
        <v>0.65</v>
      </c>
      <c r="AJ126" s="291">
        <v>12.4</v>
      </c>
      <c r="AK126" s="293">
        <v>1.04</v>
      </c>
      <c r="AL126" s="294">
        <v>1.54</v>
      </c>
      <c r="AN126" s="49"/>
      <c r="AO126" s="98"/>
    </row>
    <row r="127" spans="1:41" ht="12.75">
      <c r="A127" s="76" t="s">
        <v>42</v>
      </c>
      <c r="B127" s="168">
        <f>N68</f>
        <v>40</v>
      </c>
      <c r="C127" s="107" t="s">
        <v>206</v>
      </c>
      <c r="D127" s="328" t="str">
        <f>$P$68</f>
        <v>Pr = SQRT(R^2+P^2)  (total resultant load taken by 2 welds)</v>
      </c>
      <c r="E127" s="54"/>
      <c r="F127" s="9"/>
      <c r="G127" s="9"/>
      <c r="H127" s="9"/>
      <c r="I127" s="251"/>
      <c r="L127" s="49"/>
      <c r="M127" s="49" t="s">
        <v>428</v>
      </c>
      <c r="N127" s="42" t="str">
        <f>IF(AND($D$34&gt;0,$D$35&gt;0,$D$36&gt;0),IF($N$126="N.A.","N.A.",IF($N$126&lt;=0.7,1,IF($N$126&gt;1.41,1.3/($N$126^2),1.34-0.486*$N$126))),"N.A.")</f>
        <v>N.A.</v>
      </c>
      <c r="O127" s="33"/>
      <c r="P127" s="28" t="s">
        <v>429</v>
      </c>
      <c r="V127" s="132"/>
      <c r="W127" s="133"/>
      <c r="X127" s="132"/>
      <c r="Y127" s="133"/>
      <c r="Z127" s="133"/>
      <c r="AA127" s="133"/>
      <c r="AB127" s="133"/>
      <c r="AC127" s="133"/>
      <c r="AD127" s="36"/>
      <c r="AF127" s="289" t="s">
        <v>575</v>
      </c>
      <c r="AG127" s="290">
        <v>35.9</v>
      </c>
      <c r="AH127" s="291">
        <v>21.7</v>
      </c>
      <c r="AI127" s="292">
        <v>0.6</v>
      </c>
      <c r="AJ127" s="291">
        <v>12.4</v>
      </c>
      <c r="AK127" s="292">
        <v>0.96</v>
      </c>
      <c r="AL127" s="294">
        <v>1.46</v>
      </c>
      <c r="AN127" s="49"/>
      <c r="AO127" s="98"/>
    </row>
    <row r="128" spans="1:41" ht="12.75">
      <c r="A128" s="80" t="s">
        <v>60</v>
      </c>
      <c r="B128" s="168">
        <f>$N$69</f>
        <v>0</v>
      </c>
      <c r="C128" s="107" t="s">
        <v>230</v>
      </c>
      <c r="D128" s="94" t="s">
        <v>266</v>
      </c>
      <c r="E128" s="54"/>
      <c r="F128" s="9"/>
      <c r="G128" s="9"/>
      <c r="H128" s="9"/>
      <c r="I128" s="251"/>
      <c r="L128" s="49"/>
      <c r="M128" s="49" t="s">
        <v>430</v>
      </c>
      <c r="N128" s="60" t="str">
        <f>IF(AND($D$34&gt;0,$D$35&gt;0,$D$36&gt;0),IF($N$126="N.A.",(1/1.67)*IF(1-$D$17/(0.6*$D$12*$N$111)&gt;0,(1-$D$17/(0.6*$D$12*$N$111)),0.0001)*MIN($D$12,(0.62*PI()*29000*($B$46^2)*$N$125)/($N$117*$D$34)),(1/1.67)*$N$127*$D$12*IF(1-$D$17/(0.6*$D$12*$N$111)&gt;0,(1-$D$17/(0.6*$D$12*$N$111)),0.0001)),"N.A.")</f>
        <v>N.A.</v>
      </c>
      <c r="O128" s="37" t="s">
        <v>212</v>
      </c>
      <c r="P128" s="28" t="str">
        <f>IF($N$126="N.A.","Fbc = (1/1.67)*(1-P/(0.60*Fy*Atn))*min{ [0.62*pi*29000*tw^2*fd] / (c*ho), Fy}","(1/1.67)*Fy*Q*(1-P/(0.60*Fy*Atn))")</f>
        <v>Fbc = (1/1.67)*(1-P/(0.60*Fy*Atn))*min{ [0.62*pi*29000*tw^2*fd] / (c*ho), Fy}</v>
      </c>
      <c r="V128" s="133"/>
      <c r="W128" s="133"/>
      <c r="X128" s="133"/>
      <c r="Y128" s="133"/>
      <c r="Z128" s="133"/>
      <c r="AA128" s="133"/>
      <c r="AB128" s="133"/>
      <c r="AC128" s="133"/>
      <c r="AD128" s="36"/>
      <c r="AF128" s="289" t="s">
        <v>576</v>
      </c>
      <c r="AG128" s="290">
        <v>32.7</v>
      </c>
      <c r="AH128" s="291">
        <v>21.5</v>
      </c>
      <c r="AI128" s="292">
        <v>0.55</v>
      </c>
      <c r="AJ128" s="291">
        <v>12.3</v>
      </c>
      <c r="AK128" s="292">
        <v>0.875</v>
      </c>
      <c r="AL128" s="294">
        <v>1.38</v>
      </c>
      <c r="AN128" s="49"/>
      <c r="AO128" s="98"/>
    </row>
    <row r="129" spans="1:41" ht="12.75">
      <c r="A129" s="329" t="s">
        <v>815</v>
      </c>
      <c r="B129" s="163">
        <f>$N$70</f>
        <v>1</v>
      </c>
      <c r="C129" s="9"/>
      <c r="D129" s="328" t="s">
        <v>818</v>
      </c>
      <c r="E129" s="9"/>
      <c r="F129" s="9"/>
      <c r="G129" s="9"/>
      <c r="H129" s="9"/>
      <c r="I129" s="251"/>
      <c r="L129" s="49"/>
      <c r="M129" s="32" t="s">
        <v>120</v>
      </c>
      <c r="N129" s="60" t="str">
        <f>IF(AND($D$34&gt;0,$D$35&gt;0,$D$36&gt;0),$N$128*$N$121/$N$118,"N.A.")</f>
        <v>N.A.</v>
      </c>
      <c r="O129" s="30" t="s">
        <v>206</v>
      </c>
      <c r="P129" s="37" t="s">
        <v>311</v>
      </c>
      <c r="V129" s="133"/>
      <c r="W129" s="132"/>
      <c r="X129" s="133"/>
      <c r="Y129" s="133"/>
      <c r="Z129" s="133"/>
      <c r="AA129" s="133"/>
      <c r="AB129" s="133"/>
      <c r="AC129" s="133"/>
      <c r="AD129" s="36"/>
      <c r="AF129" s="289" t="s">
        <v>577</v>
      </c>
      <c r="AG129" s="290">
        <v>29.8</v>
      </c>
      <c r="AH129" s="291">
        <v>21.4</v>
      </c>
      <c r="AI129" s="292">
        <v>0.5</v>
      </c>
      <c r="AJ129" s="291">
        <v>12.3</v>
      </c>
      <c r="AK129" s="292">
        <v>0.8</v>
      </c>
      <c r="AL129" s="294">
        <v>1.3</v>
      </c>
      <c r="AN129" s="49"/>
      <c r="AO129" s="98"/>
    </row>
    <row r="130" spans="1:41" ht="12.75">
      <c r="A130" s="80" t="s">
        <v>265</v>
      </c>
      <c r="B130" s="164">
        <f>$N$71</f>
        <v>0.12246122571440816</v>
      </c>
      <c r="C130" s="107" t="s">
        <v>280</v>
      </c>
      <c r="D130" s="81" t="s">
        <v>265</v>
      </c>
      <c r="E130" s="51" t="s">
        <v>295</v>
      </c>
      <c r="F130" s="9"/>
      <c r="G130" s="9"/>
      <c r="H130" s="9"/>
      <c r="I130" s="251"/>
      <c r="L130" s="32"/>
      <c r="M130" s="148" t="s">
        <v>158</v>
      </c>
      <c r="V130" s="133"/>
      <c r="W130" s="133"/>
      <c r="X130" s="133"/>
      <c r="Y130" s="133"/>
      <c r="Z130" s="133"/>
      <c r="AA130" s="133"/>
      <c r="AB130" s="133"/>
      <c r="AC130" s="365"/>
      <c r="AD130" s="36"/>
      <c r="AF130" s="289" t="s">
        <v>578</v>
      </c>
      <c r="AG130" s="290">
        <v>27.3</v>
      </c>
      <c r="AH130" s="291">
        <v>21.6</v>
      </c>
      <c r="AI130" s="292">
        <v>0.58</v>
      </c>
      <c r="AJ130" s="293">
        <v>8.42</v>
      </c>
      <c r="AK130" s="292">
        <v>0.93</v>
      </c>
      <c r="AL130" s="294">
        <v>1.43</v>
      </c>
      <c r="AN130" s="49"/>
      <c r="AO130" s="98"/>
    </row>
    <row r="131" spans="1:41" ht="12.75">
      <c r="A131" s="80" t="s">
        <v>36</v>
      </c>
      <c r="B131" s="322">
        <f>$N$72</f>
        <v>0.1875</v>
      </c>
      <c r="C131" s="107" t="s">
        <v>229</v>
      </c>
      <c r="D131" s="372" t="s">
        <v>834</v>
      </c>
      <c r="E131" s="9"/>
      <c r="F131" s="9"/>
      <c r="G131" s="9"/>
      <c r="H131" s="9"/>
      <c r="I131" s="251"/>
      <c r="M131" s="37" t="s">
        <v>152</v>
      </c>
      <c r="N131" s="56"/>
      <c r="O131" s="56"/>
      <c r="P131" s="37"/>
      <c r="Q131" s="56"/>
      <c r="V131" s="138"/>
      <c r="W131" s="133"/>
      <c r="X131" s="133"/>
      <c r="Y131" s="133"/>
      <c r="Z131" s="133"/>
      <c r="AA131" s="133"/>
      <c r="AB131" s="133"/>
      <c r="AC131" s="133"/>
      <c r="AD131" s="36"/>
      <c r="AF131" s="289" t="s">
        <v>579</v>
      </c>
      <c r="AG131" s="290">
        <v>24.3</v>
      </c>
      <c r="AH131" s="291">
        <v>21.4</v>
      </c>
      <c r="AI131" s="292">
        <v>0.515</v>
      </c>
      <c r="AJ131" s="293">
        <v>8.36</v>
      </c>
      <c r="AK131" s="292">
        <v>0.835</v>
      </c>
      <c r="AL131" s="294">
        <v>1.34</v>
      </c>
      <c r="AN131" s="49"/>
      <c r="AO131" s="98"/>
    </row>
    <row r="132" spans="1:41" ht="12.75">
      <c r="A132" s="80" t="s">
        <v>225</v>
      </c>
      <c r="B132" s="322">
        <f>$N$73</f>
        <v>0.3125</v>
      </c>
      <c r="C132" s="107" t="s">
        <v>229</v>
      </c>
      <c r="D132" s="372" t="s">
        <v>103</v>
      </c>
      <c r="E132" s="9"/>
      <c r="F132" s="9"/>
      <c r="G132" s="9"/>
      <c r="H132" s="9"/>
      <c r="I132" s="251"/>
      <c r="M132" s="32" t="s">
        <v>146</v>
      </c>
      <c r="N132" s="70">
        <f>IF($D$16&gt;0,$D$46+$D$37*($D$38/$D$13),"N.A.")</f>
        <v>0.4</v>
      </c>
      <c r="O132" s="30" t="s">
        <v>229</v>
      </c>
      <c r="P132" s="30" t="s">
        <v>148</v>
      </c>
      <c r="V132" s="36"/>
      <c r="W132" s="133"/>
      <c r="X132" s="133"/>
      <c r="Y132" s="133"/>
      <c r="Z132" s="132"/>
      <c r="AA132" s="132"/>
      <c r="AB132" s="365"/>
      <c r="AC132" s="365"/>
      <c r="AD132" s="36"/>
      <c r="AF132" s="289" t="s">
        <v>580</v>
      </c>
      <c r="AG132" s="290">
        <v>21.5</v>
      </c>
      <c r="AH132" s="291">
        <v>21.2</v>
      </c>
      <c r="AI132" s="292">
        <v>0.455</v>
      </c>
      <c r="AJ132" s="293">
        <v>8.3</v>
      </c>
      <c r="AK132" s="292">
        <v>0.74</v>
      </c>
      <c r="AL132" s="294">
        <v>1.24</v>
      </c>
      <c r="AN132" s="49"/>
      <c r="AO132" s="98"/>
    </row>
    <row r="133" spans="1:41" ht="12.75">
      <c r="A133" s="76" t="s">
        <v>288</v>
      </c>
      <c r="B133" s="168">
        <f>$N$74</f>
        <v>81.6585</v>
      </c>
      <c r="C133" s="107" t="s">
        <v>206</v>
      </c>
      <c r="D133" s="339" t="s">
        <v>819</v>
      </c>
      <c r="E133" s="54"/>
      <c r="F133" s="9"/>
      <c r="G133" s="9"/>
      <c r="H133" s="9"/>
      <c r="I133" s="251"/>
      <c r="M133" s="49" t="s">
        <v>434</v>
      </c>
      <c r="N133" s="60">
        <f>IF($D$16&gt;0,(1/2)*2.4*$N$10*$N$132*$D$24*$N$13,"N.A.")</f>
        <v>218.40000000000003</v>
      </c>
      <c r="O133" s="37" t="s">
        <v>206</v>
      </c>
      <c r="P133" s="37" t="s">
        <v>814</v>
      </c>
      <c r="Q133" s="56"/>
      <c r="V133" s="112"/>
      <c r="W133" s="133"/>
      <c r="X133" s="133"/>
      <c r="Y133" s="132"/>
      <c r="Z133" s="133"/>
      <c r="AA133" s="133"/>
      <c r="AB133" s="133"/>
      <c r="AC133" s="133"/>
      <c r="AD133" s="36"/>
      <c r="AF133" s="289" t="s">
        <v>581</v>
      </c>
      <c r="AG133" s="290">
        <v>20</v>
      </c>
      <c r="AH133" s="291">
        <v>21.1</v>
      </c>
      <c r="AI133" s="292">
        <v>0.43</v>
      </c>
      <c r="AJ133" s="293">
        <v>8.27</v>
      </c>
      <c r="AK133" s="292">
        <v>0.685</v>
      </c>
      <c r="AL133" s="294">
        <v>1.19</v>
      </c>
      <c r="AN133" s="49"/>
      <c r="AO133" s="98"/>
    </row>
    <row r="134" spans="1:41" ht="12.75">
      <c r="A134" s="329" t="s">
        <v>406</v>
      </c>
      <c r="B134" s="320">
        <f>$N$75</f>
        <v>0.3809230769230769</v>
      </c>
      <c r="C134" s="107" t="s">
        <v>229</v>
      </c>
      <c r="D134" s="341" t="s">
        <v>821</v>
      </c>
      <c r="E134" s="9"/>
      <c r="F134" s="9"/>
      <c r="G134" s="58"/>
      <c r="H134" s="9"/>
      <c r="I134" s="251"/>
      <c r="M134" s="28" t="s">
        <v>153</v>
      </c>
      <c r="P134" s="47" t="s">
        <v>352</v>
      </c>
      <c r="V134" s="112"/>
      <c r="W134" s="132"/>
      <c r="X134" s="133"/>
      <c r="Y134" s="133"/>
      <c r="Z134" s="133"/>
      <c r="AA134" s="133"/>
      <c r="AB134" s="132"/>
      <c r="AC134" s="133"/>
      <c r="AD134" s="36"/>
      <c r="AF134" s="289" t="s">
        <v>582</v>
      </c>
      <c r="AG134" s="290">
        <v>18.3</v>
      </c>
      <c r="AH134" s="291">
        <v>21</v>
      </c>
      <c r="AI134" s="292">
        <v>0.4</v>
      </c>
      <c r="AJ134" s="293">
        <v>8.24</v>
      </c>
      <c r="AK134" s="292">
        <v>0.615</v>
      </c>
      <c r="AL134" s="294">
        <v>1.12</v>
      </c>
      <c r="AN134" s="49"/>
      <c r="AO134" s="98"/>
    </row>
    <row r="135" spans="1:41" ht="12.75">
      <c r="A135" s="329" t="s">
        <v>810</v>
      </c>
      <c r="B135" s="168" t="str">
        <f>$N$76</f>
        <v>Yes</v>
      </c>
      <c r="C135" s="9"/>
      <c r="D135" s="328" t="str">
        <f>P76</f>
        <v>Is tmin &gt; twb?  If so, Rwr' = Rwr* twb / tmin.  If not, Rwr' = Rwr</v>
      </c>
      <c r="E135" s="9"/>
      <c r="F135" s="9"/>
      <c r="G135" s="9"/>
      <c r="H135" s="9"/>
      <c r="I135" s="13"/>
      <c r="M135" s="32" t="s">
        <v>146</v>
      </c>
      <c r="N135" s="70" t="str">
        <f>IF($D$17&gt;0,IF($D$39="Yes",$D$46+$D$37*($D$38/$D$13),"N.A."),"N.A.")</f>
        <v>N.A.</v>
      </c>
      <c r="O135" s="30" t="s">
        <v>229</v>
      </c>
      <c r="P135" s="30" t="s">
        <v>148</v>
      </c>
      <c r="S135" s="56"/>
      <c r="V135" s="139"/>
      <c r="W135" s="133"/>
      <c r="X135" s="133"/>
      <c r="Y135" s="133"/>
      <c r="Z135" s="133"/>
      <c r="AA135" s="133"/>
      <c r="AB135" s="133"/>
      <c r="AC135" s="133"/>
      <c r="AD135" s="36"/>
      <c r="AF135" s="289" t="s">
        <v>583</v>
      </c>
      <c r="AG135" s="290">
        <v>16.2</v>
      </c>
      <c r="AH135" s="291">
        <v>20.8</v>
      </c>
      <c r="AI135" s="292">
        <v>0.375</v>
      </c>
      <c r="AJ135" s="293">
        <v>8.22</v>
      </c>
      <c r="AK135" s="292">
        <v>0.522</v>
      </c>
      <c r="AL135" s="294">
        <v>1.02</v>
      </c>
      <c r="AN135" s="49"/>
      <c r="AO135" s="98"/>
    </row>
    <row r="136" spans="1:41" ht="12.75">
      <c r="A136" s="329" t="s">
        <v>405</v>
      </c>
      <c r="B136" s="172">
        <f>$N$77</f>
        <v>76.10136863893376</v>
      </c>
      <c r="C136" s="107" t="s">
        <v>206</v>
      </c>
      <c r="D136" s="328" t="str">
        <f>$P$77</f>
        <v>Rwr' = Rwr*twb/tmin</v>
      </c>
      <c r="E136" s="9"/>
      <c r="F136" s="9"/>
      <c r="G136" s="9"/>
      <c r="H136" s="9"/>
      <c r="I136" s="251" t="str">
        <f>IF($B$136&gt;=$B$127,"Rwr' &gt;= Pr,  O.K.  ","Rwr' &lt; Pr, N.G.  ")</f>
        <v>Rwr' &gt;= Pr,  O.K.  </v>
      </c>
      <c r="M136" s="32" t="s">
        <v>334</v>
      </c>
      <c r="N136" s="70" t="str">
        <f>IF($D$17&gt;0,IF($D$39="Yes",0.25*$D$13*$N$135^2,"N.A."),"N.A.")</f>
        <v>N.A.</v>
      </c>
      <c r="O136" s="30" t="s">
        <v>206</v>
      </c>
      <c r="P136" s="28" t="s">
        <v>336</v>
      </c>
      <c r="R136" s="56"/>
      <c r="S136" s="56"/>
      <c r="V136" s="133"/>
      <c r="W136" s="133"/>
      <c r="X136" s="133"/>
      <c r="Y136" s="133"/>
      <c r="Z136" s="133"/>
      <c r="AA136" s="133"/>
      <c r="AB136" s="133"/>
      <c r="AC136" s="133"/>
      <c r="AD136" s="36"/>
      <c r="AF136" s="289" t="s">
        <v>584</v>
      </c>
      <c r="AG136" s="290">
        <v>14.1</v>
      </c>
      <c r="AH136" s="291">
        <v>20.6</v>
      </c>
      <c r="AI136" s="292">
        <v>0.35</v>
      </c>
      <c r="AJ136" s="293">
        <v>8.14</v>
      </c>
      <c r="AK136" s="292">
        <v>0.43</v>
      </c>
      <c r="AL136" s="296">
        <v>0.93</v>
      </c>
      <c r="AN136" s="49" t="s">
        <v>278</v>
      </c>
      <c r="AO136" s="98">
        <f>$B$127/$B$136</f>
        <v>0.5256147256665216</v>
      </c>
    </row>
    <row r="137" spans="1:41" ht="12.75">
      <c r="A137" s="18"/>
      <c r="B137" s="9"/>
      <c r="C137" s="9"/>
      <c r="D137" s="9"/>
      <c r="E137" s="9"/>
      <c r="F137" s="9"/>
      <c r="G137" s="9"/>
      <c r="H137" s="9"/>
      <c r="I137" s="251" t="str">
        <f>IF($D$23&gt;=$B$130,"Weld(used) &gt;= weld(req'd), O.K.  ","Weld(used) &lt; weld(req'd), N.G.  ")</f>
        <v>Weld(used) &gt;= weld(req'd), O.K.  </v>
      </c>
      <c r="M137" s="32" t="s">
        <v>337</v>
      </c>
      <c r="N137" s="70" t="str">
        <f>IF($D$17&gt;0,IF($D$39="Yes",$D$45-2*$D$49,"N.A."),"N.A.")</f>
        <v>N.A.</v>
      </c>
      <c r="O137" s="30" t="s">
        <v>229</v>
      </c>
      <c r="P137" s="28" t="s">
        <v>363</v>
      </c>
      <c r="Q137" s="56"/>
      <c r="R137" s="56"/>
      <c r="S137" s="56"/>
      <c r="V137" s="133"/>
      <c r="W137" s="133"/>
      <c r="X137" s="133"/>
      <c r="Y137" s="133"/>
      <c r="Z137" s="133"/>
      <c r="AA137" s="133"/>
      <c r="AB137" s="133"/>
      <c r="AC137" s="132"/>
      <c r="AD137" s="36"/>
      <c r="AF137" s="289" t="s">
        <v>585</v>
      </c>
      <c r="AG137" s="290">
        <v>16.7</v>
      </c>
      <c r="AH137" s="291">
        <v>21.1</v>
      </c>
      <c r="AI137" s="292">
        <v>0.405</v>
      </c>
      <c r="AJ137" s="293">
        <v>6.56</v>
      </c>
      <c r="AK137" s="292">
        <v>0.65</v>
      </c>
      <c r="AL137" s="294">
        <v>1.15</v>
      </c>
      <c r="AN137" s="49" t="s">
        <v>278</v>
      </c>
      <c r="AO137" s="98">
        <f>$B$130/$D$23</f>
        <v>0.48984490285763266</v>
      </c>
    </row>
    <row r="138" spans="1:41" ht="12.75">
      <c r="A138" s="18"/>
      <c r="B138" s="9"/>
      <c r="C138" s="9"/>
      <c r="D138" s="9"/>
      <c r="E138" s="9"/>
      <c r="F138" s="9"/>
      <c r="G138" s="9"/>
      <c r="H138" s="9"/>
      <c r="I138" s="251" t="str">
        <f>IF($D$23&lt;=$B$132,"Weld(used) &lt;= weld(max), O.K.  ","Weld(used) &gt; weld(max), N.G.  ")</f>
        <v>Weld(used) &lt;= weld(max), O.K.  </v>
      </c>
      <c r="M138" s="32" t="s">
        <v>782</v>
      </c>
      <c r="N138" s="70" t="str">
        <f>IF($D$17&gt;0,IF($D$39="Yes",($N$137-$N$140)/2,"N.A."),"N.A.")</f>
        <v>N.A.</v>
      </c>
      <c r="O138" s="30" t="s">
        <v>229</v>
      </c>
      <c r="P138" s="28" t="s">
        <v>362</v>
      </c>
      <c r="V138" s="133"/>
      <c r="W138" s="133"/>
      <c r="X138" s="133"/>
      <c r="Y138" s="133"/>
      <c r="Z138" s="133"/>
      <c r="AA138" s="132"/>
      <c r="AB138" s="133"/>
      <c r="AC138" s="132"/>
      <c r="AD138" s="36"/>
      <c r="AF138" s="289" t="s">
        <v>586</v>
      </c>
      <c r="AG138" s="290">
        <v>14.7</v>
      </c>
      <c r="AH138" s="291">
        <v>20.8</v>
      </c>
      <c r="AI138" s="292">
        <v>0.38</v>
      </c>
      <c r="AJ138" s="293">
        <v>6.53</v>
      </c>
      <c r="AK138" s="292">
        <v>0.535</v>
      </c>
      <c r="AL138" s="294">
        <v>1.04</v>
      </c>
      <c r="AN138" s="49" t="s">
        <v>278</v>
      </c>
      <c r="AO138" s="98">
        <f>$D$23/$B$132</f>
        <v>0.8</v>
      </c>
    </row>
    <row r="139" spans="1:38" ht="12.75">
      <c r="A139" s="18"/>
      <c r="B139" s="9"/>
      <c r="C139" s="9"/>
      <c r="D139" s="9"/>
      <c r="E139" s="9"/>
      <c r="F139" s="9"/>
      <c r="G139" s="9"/>
      <c r="H139" s="9"/>
      <c r="I139" s="13"/>
      <c r="M139" s="32" t="s">
        <v>780</v>
      </c>
      <c r="N139" s="70" t="str">
        <f>IF($D$17&gt;0,IF($D$39="Yes",$N$138,"N.A."),"N.A.")</f>
        <v>N.A.</v>
      </c>
      <c r="O139" s="30" t="s">
        <v>229</v>
      </c>
      <c r="P139" s="28" t="s">
        <v>361</v>
      </c>
      <c r="V139" s="133"/>
      <c r="W139" s="133"/>
      <c r="X139" s="133"/>
      <c r="Y139" s="133"/>
      <c r="Z139" s="133"/>
      <c r="AA139" s="133"/>
      <c r="AB139" s="133"/>
      <c r="AC139" s="133"/>
      <c r="AD139" s="36"/>
      <c r="AF139" s="289" t="s">
        <v>587</v>
      </c>
      <c r="AG139" s="290">
        <v>13</v>
      </c>
      <c r="AH139" s="291">
        <v>20.7</v>
      </c>
      <c r="AI139" s="292">
        <v>0.35</v>
      </c>
      <c r="AJ139" s="293">
        <v>6.5</v>
      </c>
      <c r="AK139" s="292">
        <v>0.45</v>
      </c>
      <c r="AL139" s="296">
        <v>0.95</v>
      </c>
    </row>
    <row r="140" spans="1:38" ht="12.75">
      <c r="A140" s="129" t="str">
        <f>IF(AND($D$34=0,$D$35=0,$D$36=0),$M$78,IF(AND($D$34&gt;0,$D$35&gt;0,$D$36=0),$M$87,IF(AND($D$34&gt;0,$D$35&gt;0,$D$36&gt;0),$M$109)))</f>
        <v>Beam Checks for Uncoped Flanges:</v>
      </c>
      <c r="B140" s="9"/>
      <c r="C140" s="9"/>
      <c r="D140" s="9"/>
      <c r="E140" s="9"/>
      <c r="F140" s="9"/>
      <c r="G140" s="9"/>
      <c r="H140" s="9"/>
      <c r="I140" s="13"/>
      <c r="M140" s="32" t="s">
        <v>348</v>
      </c>
      <c r="N140" s="70" t="str">
        <f>IF($D$17&gt;0,IF($D$39="Yes",$D$33,"N.A."),"N.A.")</f>
        <v>N.A.</v>
      </c>
      <c r="O140" s="30" t="s">
        <v>229</v>
      </c>
      <c r="P140" s="28" t="s">
        <v>359</v>
      </c>
      <c r="V140" s="133"/>
      <c r="W140" s="133"/>
      <c r="X140" s="133"/>
      <c r="Y140" s="133"/>
      <c r="Z140" s="133"/>
      <c r="AA140" s="133"/>
      <c r="AB140" s="133"/>
      <c r="AC140" s="133"/>
      <c r="AD140" s="36"/>
      <c r="AF140" s="289" t="s">
        <v>6</v>
      </c>
      <c r="AG140" s="290">
        <v>91.6</v>
      </c>
      <c r="AH140" s="291">
        <v>22.3</v>
      </c>
      <c r="AI140" s="293">
        <v>1.52</v>
      </c>
      <c r="AJ140" s="291">
        <v>12</v>
      </c>
      <c r="AK140" s="293">
        <v>2.74</v>
      </c>
      <c r="AL140" s="294">
        <v>3.24</v>
      </c>
    </row>
    <row r="141" spans="1:41" ht="12.75">
      <c r="A141" s="72" t="str">
        <f>IF(AND($D$34=0,$D$35=0,$D$36=0),$M$79,IF(AND($D$34&gt;0,$D$35&gt;0,$D$36=0),$M$88,IF(AND($D$34&gt;0,$D$35&gt;0,$D$36&gt;0),$M$110)))</f>
        <v>  Shear Rupture Capacity of Beam Web:</v>
      </c>
      <c r="B141" s="9"/>
      <c r="C141" s="9"/>
      <c r="D141" s="9"/>
      <c r="E141" s="9"/>
      <c r="F141" s="9"/>
      <c r="G141" s="9"/>
      <c r="H141" s="9"/>
      <c r="I141" s="251"/>
      <c r="M141" s="49" t="s">
        <v>282</v>
      </c>
      <c r="N141" s="70" t="str">
        <f>IF($D$17&gt;0,IF($D$39="Yes",($D$29-1)*$D$31,"N.A."),"N.A.")</f>
        <v>N.A.</v>
      </c>
      <c r="O141" s="30" t="s">
        <v>229</v>
      </c>
      <c r="P141" s="30" t="s">
        <v>335</v>
      </c>
      <c r="Q141" s="56"/>
      <c r="R141" s="56"/>
      <c r="S141" s="56"/>
      <c r="V141" s="133"/>
      <c r="W141" s="133"/>
      <c r="X141" s="133"/>
      <c r="Y141" s="133"/>
      <c r="Z141" s="133"/>
      <c r="AA141" s="133"/>
      <c r="AB141" s="132"/>
      <c r="AC141" s="133"/>
      <c r="AD141" s="36"/>
      <c r="AF141" s="289" t="s">
        <v>5</v>
      </c>
      <c r="AG141" s="290">
        <v>83.3</v>
      </c>
      <c r="AH141" s="291">
        <v>21.9</v>
      </c>
      <c r="AI141" s="293">
        <v>1.4</v>
      </c>
      <c r="AJ141" s="291">
        <v>11.9</v>
      </c>
      <c r="AK141" s="293">
        <v>2.5</v>
      </c>
      <c r="AL141" s="294">
        <v>3</v>
      </c>
      <c r="AN141" s="49"/>
      <c r="AO141" s="98"/>
    </row>
    <row r="142" spans="1:41" ht="12.75">
      <c r="A142" s="68" t="s">
        <v>222</v>
      </c>
      <c r="B142" s="173" t="str">
        <f>IF(AND($D$34=0,$D$35=0,$D$36=0),$N$80,IF(AND($D$34&gt;0,$D$35&gt;0,$D$35&lt;=0.5*$B$45,$D$36=0),$N$89,IF(AND($D$34&gt;0,$D$35&gt;0,$D$35&lt;=0.5*$B$45,$D$36&gt;0),$N$111)))</f>
        <v>N.A.</v>
      </c>
      <c r="C142" s="107" t="s">
        <v>210</v>
      </c>
      <c r="D142" s="327" t="str">
        <f>IF(AND($D$34=0,$D$35=0,$D$36=0),$P$80,IF(AND($D$34&gt;0,$D$35&gt;0,$D$35&lt;=0.5*$B$45,$D$36=0),$P$89,IF(AND($D$34&gt;0,$D$35&gt;0,$D$35&lt;=0.5*$B$45,$D$36&gt;0),$P$111)))</f>
        <v>Avn = not applicable for uncoped beam</v>
      </c>
      <c r="E142" s="9"/>
      <c r="F142" s="9"/>
      <c r="G142" s="9"/>
      <c r="H142" s="9"/>
      <c r="I142" s="251"/>
      <c r="M142" s="73" t="s">
        <v>343</v>
      </c>
      <c r="N142" s="40" t="str">
        <f>IF($D$17&gt;0,IF($D$39="Yes",0.9,"N.A."),"N.A.")</f>
        <v>N.A.</v>
      </c>
      <c r="O142" s="30"/>
      <c r="P142" s="74" t="s">
        <v>344</v>
      </c>
      <c r="Q142" s="56"/>
      <c r="R142" s="74"/>
      <c r="S142" s="56"/>
      <c r="V142" s="132"/>
      <c r="W142" s="133"/>
      <c r="X142" s="133"/>
      <c r="Y142" s="133"/>
      <c r="Z142" s="133"/>
      <c r="AA142" s="133"/>
      <c r="AB142" s="133"/>
      <c r="AC142" s="133"/>
      <c r="AD142" s="36"/>
      <c r="AF142" s="289" t="s">
        <v>4</v>
      </c>
      <c r="AG142" s="290">
        <v>75.9</v>
      </c>
      <c r="AH142" s="291">
        <v>21.5</v>
      </c>
      <c r="AI142" s="293">
        <v>1.28</v>
      </c>
      <c r="AJ142" s="291">
        <v>11.8</v>
      </c>
      <c r="AK142" s="293">
        <v>2.3</v>
      </c>
      <c r="AL142" s="294">
        <v>2.7</v>
      </c>
      <c r="AN142" s="49"/>
      <c r="AO142" s="98"/>
    </row>
    <row r="143" spans="1:41" ht="12.75">
      <c r="A143" s="68" t="s">
        <v>223</v>
      </c>
      <c r="B143" s="172" t="str">
        <f>IF(AND($D$34=0,$D$35=0,$D$36=0),$N$81,IF(AND($D$34&gt;0,$D$35&gt;0,$D$35&lt;=0.5*$B$45,$D$36=0),$N$90,IF(AND($D$34&gt;0,$D$35&gt;0,$D$35&lt;=0.5*$B$45,$D$36&gt;0),$N$112)))</f>
        <v>N.A.</v>
      </c>
      <c r="C143" s="107" t="s">
        <v>206</v>
      </c>
      <c r="D143" s="328" t="str">
        <f>IF(AND($D$34=0,$D$35=0,$D$36=0),$P$81,IF(AND($D$34&gt;0,$D$35&gt;0,$D$35&lt;=0.5*$B$45,$D$36=0),$P$90,IF(AND($D$34&gt;0,$D$35&gt;0,$D$35&lt;=0.5*$B$45,$D$36&gt;0),$P$112)))</f>
        <v>Rvn = not applicable for uncoped beam</v>
      </c>
      <c r="E143" s="9"/>
      <c r="F143" s="9"/>
      <c r="G143" s="9"/>
      <c r="H143" s="9"/>
      <c r="I143" s="251">
        <f>IF($B$143="N.A.","",IF($B$143&gt;=$D$16,"Rvn &gt;= R,  O.K.  ","Rvn &lt; R, N.G.  "))</f>
      </c>
      <c r="M143" s="73" t="s">
        <v>345</v>
      </c>
      <c r="N143" s="40" t="str">
        <f>IF($D$17&gt;0,IF($D$39="Yes",$N$142*2*$N$136*(((2*SQRT(2*$N$137*$N$138*$N$139/($N$138+$N$139))+$N$141/2)*($N$138+$N$139))/($N$138*$N$139)),"N.A."),"N.A.")</f>
        <v>N.A.</v>
      </c>
      <c r="O143" s="30" t="s">
        <v>206</v>
      </c>
      <c r="P143" s="74" t="s">
        <v>360</v>
      </c>
      <c r="Q143" s="56"/>
      <c r="R143" s="56"/>
      <c r="S143" s="56"/>
      <c r="V143" s="132"/>
      <c r="W143" s="133"/>
      <c r="X143" s="133"/>
      <c r="Y143" s="133"/>
      <c r="Z143" s="133"/>
      <c r="AA143" s="133"/>
      <c r="AB143" s="133"/>
      <c r="AC143" s="132"/>
      <c r="AD143" s="36"/>
      <c r="AF143" s="289" t="s">
        <v>15</v>
      </c>
      <c r="AG143" s="290">
        <v>68.8</v>
      </c>
      <c r="AH143" s="291">
        <v>21.1</v>
      </c>
      <c r="AI143" s="293">
        <v>1.16</v>
      </c>
      <c r="AJ143" s="291">
        <v>11.7</v>
      </c>
      <c r="AK143" s="293">
        <v>2.11</v>
      </c>
      <c r="AL143" s="294">
        <v>2.51</v>
      </c>
      <c r="AN143" s="49" t="str">
        <f>IF(AO143="","N.A.","SR =")</f>
        <v>N.A.</v>
      </c>
      <c r="AO143" s="98">
        <f>IF($B$143="N.A.","",$D$16/$B$143)</f>
      </c>
    </row>
    <row r="144" spans="1:41" ht="12.75">
      <c r="A144" s="18"/>
      <c r="B144" s="9"/>
      <c r="C144" s="9"/>
      <c r="D144" s="9"/>
      <c r="E144" s="9"/>
      <c r="F144" s="9"/>
      <c r="G144" s="9"/>
      <c r="H144" s="9"/>
      <c r="I144" s="251"/>
      <c r="M144" s="49" t="s">
        <v>338</v>
      </c>
      <c r="N144" s="60" t="str">
        <f>IF($D$17&gt;0,IF($D$39="Yes",$N$143/1.5,"N.A."),"N.A.")</f>
        <v>N.A.</v>
      </c>
      <c r="O144" s="30" t="s">
        <v>206</v>
      </c>
      <c r="P144" s="37" t="s">
        <v>347</v>
      </c>
      <c r="Q144" s="56"/>
      <c r="R144" s="56"/>
      <c r="S144" s="56"/>
      <c r="V144" s="133"/>
      <c r="W144" s="133"/>
      <c r="X144" s="133"/>
      <c r="Y144" s="133"/>
      <c r="Z144" s="133"/>
      <c r="AA144" s="133"/>
      <c r="AB144" s="133"/>
      <c r="AC144" s="133"/>
      <c r="AD144" s="36"/>
      <c r="AF144" s="289" t="s">
        <v>14</v>
      </c>
      <c r="AG144" s="290">
        <v>62.1</v>
      </c>
      <c r="AH144" s="291">
        <v>20.7</v>
      </c>
      <c r="AI144" s="293">
        <v>1.06</v>
      </c>
      <c r="AJ144" s="291">
        <v>11.6</v>
      </c>
      <c r="AK144" s="293">
        <v>1.91</v>
      </c>
      <c r="AL144" s="294">
        <v>2.31</v>
      </c>
      <c r="AN144" s="49"/>
      <c r="AO144" s="98"/>
    </row>
    <row r="145" spans="1:38" ht="12.75">
      <c r="A145" s="72" t="str">
        <f>IF(AND($D$34=0,$D$35=0,$D$36=0),$M$82,IF(AND($D$34&gt;0,$D$35&gt;0,$D$36=0),$M$91,IF(AND($D$34&gt;0,$D$35&gt;0,$D$36&gt;0),$M$113)))</f>
        <v>  Net Tension Capacity of Beam:</v>
      </c>
      <c r="B145" s="9"/>
      <c r="C145" s="9"/>
      <c r="D145" s="9"/>
      <c r="E145" s="9"/>
      <c r="F145" s="9"/>
      <c r="G145" s="9"/>
      <c r="H145" s="9"/>
      <c r="I145" s="251"/>
      <c r="M145" s="56" t="s">
        <v>156</v>
      </c>
      <c r="N145" s="56"/>
      <c r="O145" s="56"/>
      <c r="P145" s="37"/>
      <c r="V145" s="132"/>
      <c r="W145" s="133"/>
      <c r="X145" s="132"/>
      <c r="Y145" s="133"/>
      <c r="Z145" s="133"/>
      <c r="AA145" s="133"/>
      <c r="AB145" s="133"/>
      <c r="AC145" s="133"/>
      <c r="AD145" s="36"/>
      <c r="AF145" s="289" t="s">
        <v>13</v>
      </c>
      <c r="AG145" s="290">
        <v>56.4</v>
      </c>
      <c r="AH145" s="291">
        <v>20.4</v>
      </c>
      <c r="AI145" s="292">
        <v>0.96</v>
      </c>
      <c r="AJ145" s="291">
        <v>11.5</v>
      </c>
      <c r="AK145" s="293">
        <v>1.75</v>
      </c>
      <c r="AL145" s="294">
        <v>2.15</v>
      </c>
    </row>
    <row r="146" spans="1:38" ht="12.75">
      <c r="A146" s="50" t="s">
        <v>46</v>
      </c>
      <c r="B146" s="173">
        <f>IF(AND($D$34=0,$D$35=0,$D$36=0),$N$83,IF(AND($D$34&gt;0,$D$35&gt;0,$D$35&lt;=0.5*$B$45,$D$36=0),$N$92,IF(AND($D$34&gt;0,$D$35&gt;0,$D$35&lt;=0.5*$B$45,$D$36&gt;0),$N$114)))</f>
        <v>3.905</v>
      </c>
      <c r="C146" s="9"/>
      <c r="D146" s="327" t="str">
        <f>IF(AND($D$34=0,$D$35=0,$D$36=0),$P$83,IF(AND($D$34&gt;0,$D$35&gt;0,$D$35&lt;=0.5*$B$45,$D$36=0),$P$92,IF(AND($D$34&gt;0,$D$35&gt;0,$D$35&lt;=0.5*$B$45,$D$36&gt;0),$P$114)))</f>
        <v>Atn = Avn = L*tw</v>
      </c>
      <c r="E146" s="9"/>
      <c r="F146" s="9"/>
      <c r="G146" s="9"/>
      <c r="H146" s="9"/>
      <c r="I146" s="251"/>
      <c r="M146" s="32" t="s">
        <v>146</v>
      </c>
      <c r="N146" s="70" t="str">
        <f>IF($D$17&gt;0,IF(D$39="Yes",$D$46+$D$37*($D$38/$D$13),"N.A."),"N.A.")</f>
        <v>N.A.</v>
      </c>
      <c r="O146" s="30" t="s">
        <v>229</v>
      </c>
      <c r="P146" s="30" t="s">
        <v>148</v>
      </c>
      <c r="V146" s="132"/>
      <c r="W146" s="133"/>
      <c r="X146" s="133"/>
      <c r="Y146" s="132"/>
      <c r="Z146" s="133"/>
      <c r="AA146" s="133"/>
      <c r="AB146" s="133"/>
      <c r="AC146" s="133"/>
      <c r="AD146" s="36"/>
      <c r="AF146" s="289" t="s">
        <v>588</v>
      </c>
      <c r="AG146" s="290">
        <v>51.3</v>
      </c>
      <c r="AH146" s="291">
        <v>20</v>
      </c>
      <c r="AI146" s="292">
        <v>0.89</v>
      </c>
      <c r="AJ146" s="291">
        <v>11.4</v>
      </c>
      <c r="AK146" s="293">
        <v>1.59</v>
      </c>
      <c r="AL146" s="294">
        <v>1.99</v>
      </c>
    </row>
    <row r="147" spans="1:41" ht="12.75">
      <c r="A147" s="50" t="s">
        <v>47</v>
      </c>
      <c r="B147" s="172">
        <f>IF(AND($D$34=0,$D$35=0,$D$36=0),$N$84,IF(AND($D$34&gt;0,$D$35&gt;0,$D$35&lt;=0.5*$B$45,$D$36=0),$N$93,IF(AND($D$34&gt;0,$D$35&gt;0,$D$35&lt;=0.5*$B$45,$D$36&gt;0),$N$115)))</f>
        <v>117.14999999999999</v>
      </c>
      <c r="C147" s="9"/>
      <c r="D147" s="328" t="str">
        <f>IF(AND($D$34=0,$D$35=0,$D$36=0),$P$84,IF(AND($D$34&gt;0,$D$35&gt;0,$D$35&lt;=0.5*$B$45,$D$36=0),$P$93,IF(AND($D$34&gt;0,$D$35&gt;0,$D$35&lt;=0.5*$B$45,$D$36&gt;0),$P$115)))</f>
        <v>Rtn = (0.60*Fyb*Atg)</v>
      </c>
      <c r="E147" s="9"/>
      <c r="F147" s="9"/>
      <c r="G147" s="9"/>
      <c r="H147" s="9"/>
      <c r="I147" s="251">
        <f>IF($D$17&gt;0,IF($B$147&gt;=$D$17,"Rtn &gt;= P,  O.K.  ","Rtn &lt; P, N.G.  "),"")</f>
      </c>
      <c r="M147" s="49" t="s">
        <v>201</v>
      </c>
      <c r="N147" s="60" t="str">
        <f>IF($D$17&gt;0,IF(D$39="Yes",($D$17/$N$13)/($N$146*($D$31-$N$6)),"N.A."),"N.A.")</f>
        <v>N.A.</v>
      </c>
      <c r="O147" s="37" t="s">
        <v>212</v>
      </c>
      <c r="P147" s="37" t="s">
        <v>130</v>
      </c>
      <c r="V147" s="133"/>
      <c r="W147" s="133"/>
      <c r="X147" s="133"/>
      <c r="Y147" s="133"/>
      <c r="Z147" s="132"/>
      <c r="AA147" s="133"/>
      <c r="AB147" s="133"/>
      <c r="AC147" s="133"/>
      <c r="AD147" s="36"/>
      <c r="AF147" s="289" t="s">
        <v>589</v>
      </c>
      <c r="AG147" s="290">
        <v>46.3</v>
      </c>
      <c r="AH147" s="291">
        <v>19.7</v>
      </c>
      <c r="AI147" s="292">
        <v>0.81</v>
      </c>
      <c r="AJ147" s="291">
        <v>11.3</v>
      </c>
      <c r="AK147" s="293">
        <v>1.44</v>
      </c>
      <c r="AL147" s="294">
        <v>1.84</v>
      </c>
      <c r="AN147" s="49" t="str">
        <f>IF(AO147="","N.A.","SR =")</f>
        <v>N.A.</v>
      </c>
      <c r="AO147" s="98">
        <f>IF($D$17&gt;0,$D$17/$B$147,"")</f>
      </c>
    </row>
    <row r="148" spans="1:41" ht="12.75">
      <c r="A148" s="18"/>
      <c r="B148" s="9"/>
      <c r="C148" s="9"/>
      <c r="D148" s="9"/>
      <c r="E148" s="9"/>
      <c r="F148" s="9"/>
      <c r="G148" s="9"/>
      <c r="H148" s="9"/>
      <c r="I148" s="13"/>
      <c r="M148" s="49" t="s">
        <v>214</v>
      </c>
      <c r="N148" s="60" t="str">
        <f>IF($D$17&gt;0,IF(D$39="Yes",0.4*$D$13,"N.A."),"N.A.")</f>
        <v>N.A.</v>
      </c>
      <c r="O148" s="37" t="s">
        <v>212</v>
      </c>
      <c r="P148" s="37" t="s">
        <v>412</v>
      </c>
      <c r="V148" s="133"/>
      <c r="W148" s="133"/>
      <c r="X148" s="133"/>
      <c r="Y148" s="133"/>
      <c r="Z148" s="133"/>
      <c r="AA148" s="132"/>
      <c r="AB148" s="133"/>
      <c r="AC148" s="133"/>
      <c r="AD148" s="36"/>
      <c r="AF148" s="289" t="s">
        <v>590</v>
      </c>
      <c r="AG148" s="290">
        <v>42.1</v>
      </c>
      <c r="AH148" s="291">
        <v>19.5</v>
      </c>
      <c r="AI148" s="292">
        <v>0.73</v>
      </c>
      <c r="AJ148" s="291">
        <v>11.2</v>
      </c>
      <c r="AK148" s="293">
        <v>1.32</v>
      </c>
      <c r="AL148" s="294">
        <v>1.72</v>
      </c>
      <c r="AN148" s="49"/>
      <c r="AO148" s="98"/>
    </row>
    <row r="149" spans="1:41" ht="12.75">
      <c r="A149" s="18"/>
      <c r="B149" s="9"/>
      <c r="C149" s="9"/>
      <c r="D149" s="9"/>
      <c r="E149" s="9"/>
      <c r="F149" s="9"/>
      <c r="G149" s="9"/>
      <c r="H149" s="9"/>
      <c r="I149" s="13"/>
      <c r="M149" s="28" t="s">
        <v>149</v>
      </c>
      <c r="O149" s="56"/>
      <c r="P149" s="30"/>
      <c r="V149" s="133"/>
      <c r="W149" s="133"/>
      <c r="X149" s="133"/>
      <c r="Y149" s="133"/>
      <c r="Z149" s="133"/>
      <c r="AA149" s="133"/>
      <c r="AB149" s="133"/>
      <c r="AC149" s="133"/>
      <c r="AD149" s="36"/>
      <c r="AF149" s="289" t="s">
        <v>591</v>
      </c>
      <c r="AG149" s="290">
        <v>38.2</v>
      </c>
      <c r="AH149" s="291">
        <v>19.3</v>
      </c>
      <c r="AI149" s="292">
        <v>0.67</v>
      </c>
      <c r="AJ149" s="291">
        <v>11.2</v>
      </c>
      <c r="AK149" s="293">
        <v>1.2</v>
      </c>
      <c r="AL149" s="294">
        <v>1.6</v>
      </c>
      <c r="AN149" s="49"/>
      <c r="AO149" s="98"/>
    </row>
    <row r="150" spans="1:41" ht="12.75">
      <c r="A150" s="19"/>
      <c r="B150" s="20"/>
      <c r="C150" s="119"/>
      <c r="D150" s="20"/>
      <c r="E150" s="20"/>
      <c r="F150" s="20"/>
      <c r="G150" s="20"/>
      <c r="H150" s="20"/>
      <c r="I150" s="122" t="s">
        <v>122</v>
      </c>
      <c r="M150" s="32" t="s">
        <v>150</v>
      </c>
      <c r="N150" s="60" t="str">
        <f>IF($D$17&gt;0,IF(D$39="Yes",IF($D$37&gt;0,2*(($D$29-1)*$D$31+2*$D$32),"N.A."),"N.A."),"N.A.")</f>
        <v>N.A.</v>
      </c>
      <c r="O150" s="37" t="s">
        <v>229</v>
      </c>
      <c r="P150" s="37" t="s">
        <v>26</v>
      </c>
      <c r="V150" s="133"/>
      <c r="W150" s="138"/>
      <c r="X150" s="138"/>
      <c r="Y150" s="138"/>
      <c r="Z150" s="138"/>
      <c r="AA150" s="138"/>
      <c r="AB150" s="138"/>
      <c r="AC150" s="138"/>
      <c r="AD150" s="36"/>
      <c r="AF150" s="289" t="s">
        <v>592</v>
      </c>
      <c r="AG150" s="290">
        <v>35.1</v>
      </c>
      <c r="AH150" s="291">
        <v>19</v>
      </c>
      <c r="AI150" s="292">
        <v>0.655</v>
      </c>
      <c r="AJ150" s="291">
        <v>11.3</v>
      </c>
      <c r="AK150" s="293">
        <v>1.06</v>
      </c>
      <c r="AL150" s="294">
        <v>1.46</v>
      </c>
      <c r="AN150" s="49"/>
      <c r="AO150" s="98"/>
    </row>
    <row r="151" spans="1:41" ht="12.75">
      <c r="A151" s="16"/>
      <c r="B151" s="17"/>
      <c r="C151" s="17"/>
      <c r="D151" s="17"/>
      <c r="E151" s="17"/>
      <c r="F151" s="17"/>
      <c r="G151" s="17"/>
      <c r="H151" s="17"/>
      <c r="I151" s="348"/>
      <c r="M151" s="32" t="s">
        <v>139</v>
      </c>
      <c r="N151" s="42" t="str">
        <f>IF($D$17&gt;0,IF(D$39="Yes",IF($D$37&gt;0,$D$17/$N$150,"N.A."),"N.A."),"N.A.")</f>
        <v>N.A.</v>
      </c>
      <c r="O151" s="37" t="s">
        <v>140</v>
      </c>
      <c r="P151" s="37" t="s">
        <v>159</v>
      </c>
      <c r="V151" s="133"/>
      <c r="W151" s="36"/>
      <c r="X151" s="36"/>
      <c r="Y151" s="36"/>
      <c r="Z151" s="36"/>
      <c r="AA151" s="36"/>
      <c r="AB151" s="36"/>
      <c r="AC151" s="36"/>
      <c r="AD151" s="36"/>
      <c r="AF151" s="289" t="s">
        <v>593</v>
      </c>
      <c r="AG151" s="290">
        <v>31.1</v>
      </c>
      <c r="AH151" s="291">
        <v>18.7</v>
      </c>
      <c r="AI151" s="292">
        <v>0.59</v>
      </c>
      <c r="AJ151" s="291">
        <v>11.2</v>
      </c>
      <c r="AK151" s="292">
        <v>0.94</v>
      </c>
      <c r="AL151" s="294">
        <v>1.34</v>
      </c>
      <c r="AN151" s="49"/>
      <c r="AO151" s="98"/>
    </row>
    <row r="152" spans="1:41" ht="12.75">
      <c r="A152" s="129" t="str">
        <f>IF(AND($D$34=0,$D$35=0,$D$36=0),$R$78,IF(AND($D$34&gt;0,$D$35&gt;0,$D$36=0),$R$87,IF(AND($D$34&gt;0,$D$35&gt;0,$D$36&gt;0),$R$109)))</f>
        <v>Beam Checks for Uncoped Flanges (continued):</v>
      </c>
      <c r="B152" s="44"/>
      <c r="C152" s="123"/>
      <c r="D152" s="44"/>
      <c r="E152" s="9"/>
      <c r="F152" s="36"/>
      <c r="G152" s="36"/>
      <c r="H152" s="9"/>
      <c r="I152" s="251"/>
      <c r="M152" s="73" t="s">
        <v>48</v>
      </c>
      <c r="N152" s="42" t="str">
        <f>IF($D$17&gt;0,IF(D$39="Yes",IF($D$37&gt;0,$N$151/((SQRT(2)/2)*0.3*70),"N.A."),"N.A."),"N.A.")</f>
        <v>N.A.</v>
      </c>
      <c r="O152" s="37" t="s">
        <v>280</v>
      </c>
      <c r="P152" s="74" t="s">
        <v>49</v>
      </c>
      <c r="V152" s="133"/>
      <c r="W152" s="112"/>
      <c r="X152" s="112"/>
      <c r="Y152" s="112"/>
      <c r="Z152" s="112"/>
      <c r="AA152" s="112"/>
      <c r="AB152" s="112"/>
      <c r="AC152" s="112"/>
      <c r="AD152" s="36"/>
      <c r="AF152" s="289" t="s">
        <v>594</v>
      </c>
      <c r="AG152" s="290">
        <v>28.5</v>
      </c>
      <c r="AH152" s="291">
        <v>18.6</v>
      </c>
      <c r="AI152" s="292">
        <v>0.535</v>
      </c>
      <c r="AJ152" s="291">
        <v>11.1</v>
      </c>
      <c r="AK152" s="292">
        <v>0.87</v>
      </c>
      <c r="AL152" s="294">
        <v>1.27</v>
      </c>
      <c r="AN152" s="49"/>
      <c r="AO152" s="98"/>
    </row>
    <row r="153" spans="1:41" ht="12.75">
      <c r="A153" s="18"/>
      <c r="B153" s="9"/>
      <c r="C153" s="9"/>
      <c r="D153" s="9"/>
      <c r="E153" s="9"/>
      <c r="F153" s="9"/>
      <c r="G153" s="9"/>
      <c r="H153" s="9"/>
      <c r="I153" s="13"/>
      <c r="M153" s="73" t="s">
        <v>224</v>
      </c>
      <c r="N153" s="42" t="str">
        <f>IF($D$17&gt;0,IF(D$39="Yes",IF($D$37&gt;0,MIN(0.4*$D$38*$D$37/((SQRT(2)/2)*0.3*70),0.4*$D$13*$D$48/((SQRT(2)/2)*0.3*70)),"N.A."),"N.A."),"N.A.")</f>
        <v>N.A.</v>
      </c>
      <c r="O153" s="37" t="s">
        <v>280</v>
      </c>
      <c r="P153" s="74" t="s">
        <v>224</v>
      </c>
      <c r="Q153" s="37" t="str">
        <f>IF(0.4*$D$38*$D$37/((SQRT(2)/2)*0.3*70)&lt;=0.4*$D$13*$D$48/((SQRT(2)/2)*0.3*70),"0.40*Fyd*td/((SQRT(2)/2)*0.30*70)","0.40*Fyc*tfc/((SQRT(2)/2)*0.30*70)")</f>
        <v>0.40*Fyd*td/((SQRT(2)/2)*0.30*70)</v>
      </c>
      <c r="V153" s="133"/>
      <c r="W153" s="112"/>
      <c r="X153" s="112"/>
      <c r="Y153" s="362"/>
      <c r="Z153" s="112"/>
      <c r="AA153" s="112"/>
      <c r="AB153" s="362"/>
      <c r="AC153" s="112"/>
      <c r="AD153" s="36"/>
      <c r="AF153" s="289" t="s">
        <v>595</v>
      </c>
      <c r="AG153" s="290">
        <v>25.3</v>
      </c>
      <c r="AH153" s="291">
        <v>18.4</v>
      </c>
      <c r="AI153" s="292">
        <v>0.48</v>
      </c>
      <c r="AJ153" s="291">
        <v>11.1</v>
      </c>
      <c r="AK153" s="292">
        <v>0.77</v>
      </c>
      <c r="AL153" s="294">
        <v>1.17</v>
      </c>
      <c r="AN153" s="49"/>
      <c r="AO153" s="98"/>
    </row>
    <row r="154" spans="1:41" ht="12.75">
      <c r="A154" s="66" t="str">
        <f>IF(AND($D$34=0,$D$35=0,$D$36=0),$M$85,IF(AND($D$34&gt;0,$D$35&gt;0,$D$35&lt;=0.5*$B$45,$D$36=0),$M$94,IF(AND($D$34&gt;0,$D$35&gt;0,$D$35&lt;=0.5*$B$45,$D$36&gt;0),$M$116)))</f>
        <v>  Web Buckling (Flexural Rupture) Capacity for Uncoped Flanges:</v>
      </c>
      <c r="B154" s="9"/>
      <c r="C154" s="9"/>
      <c r="D154" s="9"/>
      <c r="E154" s="9"/>
      <c r="F154" s="9"/>
      <c r="G154" s="9"/>
      <c r="H154" s="9"/>
      <c r="I154" s="251"/>
      <c r="V154" s="132"/>
      <c r="W154" s="139"/>
      <c r="X154" s="139"/>
      <c r="Y154" s="139"/>
      <c r="Z154" s="139"/>
      <c r="AA154" s="139"/>
      <c r="AB154" s="139"/>
      <c r="AC154" s="139"/>
      <c r="AD154" s="36"/>
      <c r="AF154" s="289" t="s">
        <v>596</v>
      </c>
      <c r="AG154" s="290">
        <v>22.3</v>
      </c>
      <c r="AH154" s="291">
        <v>18.2</v>
      </c>
      <c r="AI154" s="292">
        <v>0.425</v>
      </c>
      <c r="AJ154" s="291">
        <v>11</v>
      </c>
      <c r="AK154" s="292">
        <v>0.68</v>
      </c>
      <c r="AL154" s="294">
        <v>1.08</v>
      </c>
      <c r="AN154" s="49"/>
      <c r="AO154" s="98"/>
    </row>
    <row r="155" spans="1:41" ht="12.75">
      <c r="A155" s="329" t="s">
        <v>128</v>
      </c>
      <c r="B155" s="173" t="str">
        <f>IF(AND($D$34=0,$D$35=0,$D$36=0),"N.A.",IF(AND($D$34&gt;0,$D$35&gt;0,$D$35&lt;=0.5*$B$45,$D$36=0),$N$95,IF(AND($D$34&gt;0,$D$35&gt;0,$D$35&lt;=0.5*$B$45,$D$36&gt;0),$N$117)))</f>
        <v>N.A.</v>
      </c>
      <c r="C155" s="107" t="s">
        <v>229</v>
      </c>
      <c r="D155" s="327" t="str">
        <f>IF(AND($D$34=0,$D$35=0,$D$36=0),"ho = not applicable for uncoped beam",IF(AND($D$34&gt;0,$D$35&gt;0,$D$35&lt;=0.5*$B$45,$D$36=0),$P$95,IF(AND($D$34&gt;0,$D$35&gt;0,$D$35&lt;=0.5*$B$45,$D$36&gt;0),$P$117)))</f>
        <v>ho = not applicable for uncoped beam</v>
      </c>
      <c r="E155" s="24"/>
      <c r="F155" s="5"/>
      <c r="G155" s="9"/>
      <c r="H155" s="9"/>
      <c r="I155" s="251"/>
      <c r="V155" s="132"/>
      <c r="W155" s="133"/>
      <c r="X155" s="132"/>
      <c r="Y155" s="133"/>
      <c r="Z155" s="133"/>
      <c r="AA155" s="133"/>
      <c r="AB155" s="133"/>
      <c r="AC155" s="133"/>
      <c r="AD155" s="36"/>
      <c r="AF155" s="289" t="s">
        <v>597</v>
      </c>
      <c r="AG155" s="290">
        <v>20.8</v>
      </c>
      <c r="AH155" s="291">
        <v>18.5</v>
      </c>
      <c r="AI155" s="292">
        <v>0.495</v>
      </c>
      <c r="AJ155" s="293">
        <v>7.64</v>
      </c>
      <c r="AK155" s="292">
        <v>0.81</v>
      </c>
      <c r="AL155" s="294">
        <v>1.21</v>
      </c>
      <c r="AN155" s="49"/>
      <c r="AO155" s="98"/>
    </row>
    <row r="156" spans="1:41" ht="12.75">
      <c r="A156" s="329" t="s">
        <v>251</v>
      </c>
      <c r="B156" s="163" t="str">
        <f>IF(AND($D$34=0,$D$35=0,$D$36=0),"N.A.",IF(AND($D$34&gt;0,$D$35&gt;0,$D$35&lt;=0.5*$B$45,$D$36=0),$N$96,IF(AND($D$34&gt;0,$D$35&gt;0,$D$35&lt;=0.5*$B$45,$D$36&gt;0),$N$118)))</f>
        <v>N.A.</v>
      </c>
      <c r="C156" s="107" t="s">
        <v>229</v>
      </c>
      <c r="D156" s="327" t="str">
        <f>IF(AND($D$34=0,$D$35=0,$D$36=0),"ho = not applicable for uncoped beam",IF(AND($D$34&gt;0,$D$35&gt;0,$D$35&lt;=0.5*$B$45,$D$36=0),$P$96,IF(AND($D$34&gt;0,$D$35&gt;0,$D$35&lt;=0.5*$B$45,$D$36&gt;0),$P$118)))</f>
        <v>ho = not applicable for uncoped beam</v>
      </c>
      <c r="E156" s="24"/>
      <c r="F156" s="5"/>
      <c r="G156" s="9"/>
      <c r="H156" s="9"/>
      <c r="I156" s="251"/>
      <c r="V156" s="133"/>
      <c r="W156" s="133"/>
      <c r="X156" s="133"/>
      <c r="Y156" s="133"/>
      <c r="Z156" s="133"/>
      <c r="AA156" s="133"/>
      <c r="AB156" s="133"/>
      <c r="AC156" s="133"/>
      <c r="AD156" s="36"/>
      <c r="AF156" s="289" t="s">
        <v>598</v>
      </c>
      <c r="AG156" s="290">
        <v>19.1</v>
      </c>
      <c r="AH156" s="291">
        <v>18.4</v>
      </c>
      <c r="AI156" s="292">
        <v>0.45</v>
      </c>
      <c r="AJ156" s="293">
        <v>7.59</v>
      </c>
      <c r="AK156" s="292">
        <v>0.75</v>
      </c>
      <c r="AL156" s="294">
        <v>1.15</v>
      </c>
      <c r="AN156" s="49"/>
      <c r="AO156" s="98"/>
    </row>
    <row r="157" spans="1:41" ht="12.75">
      <c r="A157" s="329" t="s">
        <v>17</v>
      </c>
      <c r="B157" s="163" t="str">
        <f>IF(AND($D$34=0,$D$35=0,$D$36=0),"N.A.",IF(AND($D$34&gt;0,$D$35&gt;0,$D$35&lt;=0.5*$B$45,$D$36=0),$N$97,IF(AND($D$34&gt;0,$D$35&gt;0,$D$35&lt;=0.5*$B$45,$D$36&gt;0),$N$119)))</f>
        <v>N.A.</v>
      </c>
      <c r="C157" s="107" t="s">
        <v>229</v>
      </c>
      <c r="D157" s="327" t="str">
        <f>IF(AND($D$34=0,$D$35=0,$D$36=0),"ho = not applicable for uncoped beam",IF(AND($D$34&gt;0,$D$35&gt;0,$D$35&lt;=0.5*$B$45,$D$36=0),$P$97,IF(AND($D$34&gt;0,$D$35&gt;0,$D$35&lt;=0.5*$B$45,$D$36&gt;0),$P$119)))</f>
        <v>ho = not applicable for uncoped beam</v>
      </c>
      <c r="E157" s="24"/>
      <c r="F157" s="5"/>
      <c r="G157" s="9"/>
      <c r="H157" s="9"/>
      <c r="I157" s="251"/>
      <c r="V157" s="133"/>
      <c r="W157" s="132"/>
      <c r="X157" s="133"/>
      <c r="Y157" s="133"/>
      <c r="Z157" s="133"/>
      <c r="AA157" s="133"/>
      <c r="AB157" s="133"/>
      <c r="AC157" s="133"/>
      <c r="AD157" s="36"/>
      <c r="AF157" s="289" t="s">
        <v>599</v>
      </c>
      <c r="AG157" s="290">
        <v>17.6</v>
      </c>
      <c r="AH157" s="291">
        <v>18.2</v>
      </c>
      <c r="AI157" s="292">
        <v>0.415</v>
      </c>
      <c r="AJ157" s="293">
        <v>7.56</v>
      </c>
      <c r="AK157" s="292">
        <v>0.695</v>
      </c>
      <c r="AL157" s="294">
        <v>1.1</v>
      </c>
      <c r="AN157" s="49"/>
      <c r="AO157" s="98"/>
    </row>
    <row r="158" spans="1:41" ht="12.75">
      <c r="A158" s="329" t="s">
        <v>286</v>
      </c>
      <c r="B158" s="168" t="str">
        <f>IF(AND($D$34=0,$D$35=0,$D$36=0),"N.A.",IF(AND($D$34&gt;0,$D$35&gt;0,$D$35&lt;=0.5*$B$45,$D$36=0),$N$98,IF(AND($D$34&gt;0,$D$35&gt;0,$D$35&lt;=0.5*$B$45,$D$36&gt;0),$N$120)))</f>
        <v>N.A.</v>
      </c>
      <c r="C158" s="107" t="s">
        <v>309</v>
      </c>
      <c r="D158" s="327" t="str">
        <f>IF(AND($D$34=0,$D$35=0,$D$36=0),"ho = not applicable for uncoped beam",IF(AND($D$34&gt;0,$D$35&gt;0,$D$35&lt;=0.5*$B$45,$D$36=0),$P$98,IF(AND($D$34&gt;0,$D$35&gt;0,$D$35&lt;=0.5*$B$45,$D$36&gt;0),$P$120)))</f>
        <v>ho = not applicable for uncoped beam</v>
      </c>
      <c r="E158" s="24"/>
      <c r="F158" s="2"/>
      <c r="G158" s="9"/>
      <c r="H158" s="79"/>
      <c r="I158" s="251"/>
      <c r="V158" s="133"/>
      <c r="W158" s="133"/>
      <c r="X158" s="133"/>
      <c r="Y158" s="133"/>
      <c r="Z158" s="133"/>
      <c r="AA158" s="133"/>
      <c r="AB158" s="133"/>
      <c r="AC158" s="365"/>
      <c r="AD158" s="36"/>
      <c r="AF158" s="289" t="s">
        <v>600</v>
      </c>
      <c r="AG158" s="290">
        <v>16.2</v>
      </c>
      <c r="AH158" s="291">
        <v>18.1</v>
      </c>
      <c r="AI158" s="292">
        <v>0.39</v>
      </c>
      <c r="AJ158" s="293">
        <v>7.53</v>
      </c>
      <c r="AK158" s="292">
        <v>0.63</v>
      </c>
      <c r="AL158" s="294">
        <v>1.03</v>
      </c>
      <c r="AN158" s="49"/>
      <c r="AO158" s="98"/>
    </row>
    <row r="159" spans="1:41" ht="12.75">
      <c r="A159" s="329" t="s">
        <v>187</v>
      </c>
      <c r="B159" s="168" t="str">
        <f>IF(AND($D$34=0,$D$35=0,$D$36=0),"N.A.",IF(AND($D$34&gt;0,$D$35&gt;0,$D$35&lt;=0.5*$B$45,$D$36=0),$N$99,IF(AND($D$34&gt;0,$D$35&gt;0,$D$35&lt;=0.5*$B$45,$D$36&gt;0),$N$121)))</f>
        <v>N.A.</v>
      </c>
      <c r="C159" s="107" t="s">
        <v>308</v>
      </c>
      <c r="D159" s="327" t="str">
        <f>IF(AND($D$34=0,$D$35=0,$D$36=0),"ho = not applicable for uncoped beam",IF(AND($D$34&gt;0,$D$35&gt;0,$D$35&lt;=0.5*$B$45,$D$36=0),$P$99,IF(AND($D$34&gt;0,$D$35&gt;0,$D$35&lt;=0.5*$B$45,$D$36&gt;0),$P$121)))</f>
        <v>ho = not applicable for uncoped beam</v>
      </c>
      <c r="E159" s="24"/>
      <c r="F159" s="2"/>
      <c r="G159" s="9"/>
      <c r="H159" s="9"/>
      <c r="I159" s="251"/>
      <c r="V159" s="138"/>
      <c r="W159" s="133"/>
      <c r="X159" s="133"/>
      <c r="Y159" s="133"/>
      <c r="Z159" s="133"/>
      <c r="AA159" s="133"/>
      <c r="AB159" s="133"/>
      <c r="AC159" s="133"/>
      <c r="AD159" s="36"/>
      <c r="AF159" s="289" t="s">
        <v>601</v>
      </c>
      <c r="AG159" s="290">
        <v>14.7</v>
      </c>
      <c r="AH159" s="291">
        <v>18</v>
      </c>
      <c r="AI159" s="292">
        <v>0.355</v>
      </c>
      <c r="AJ159" s="293">
        <v>7.5</v>
      </c>
      <c r="AK159" s="292">
        <v>0.57</v>
      </c>
      <c r="AL159" s="296">
        <v>0.972</v>
      </c>
      <c r="AN159" s="49"/>
      <c r="AO159" s="98"/>
    </row>
    <row r="160" spans="1:41" ht="12.75">
      <c r="A160" s="329" t="s">
        <v>129</v>
      </c>
      <c r="B160" s="168" t="str">
        <f>IF(AND($D$34=0,$D$35=0,$D$36=0),"N.A.",IF(AND($D$34&gt;0,$D$35&gt;0,$D$35&lt;=0.5*$B$45,$D$36=0),$N$100,IF(AND($D$34&gt;0,$D$35&gt;0,$D$35&lt;=0.5*$B$45,$D$36&gt;0),$N$122)))</f>
        <v>N.A.</v>
      </c>
      <c r="C160" s="105" t="s">
        <v>212</v>
      </c>
      <c r="D160" s="327" t="str">
        <f>IF(AND($D$34=0,$D$35=0,$D$36=0),"ho = not applicable for uncoped beam",IF(AND($D$34&gt;0,$D$35&gt;0,$D$35&lt;=0.5*$B$45,$D$36=0),$P$100,IF(AND($D$34&gt;0,$D$35&gt;0,$D$35&lt;=0.5*$B$45,$D$36&gt;0),$P$122)))</f>
        <v>ho = not applicable for uncoped beam</v>
      </c>
      <c r="E160" s="24"/>
      <c r="F160" s="2"/>
      <c r="G160" s="97"/>
      <c r="H160" s="9"/>
      <c r="I160" s="251"/>
      <c r="V160" s="36"/>
      <c r="W160" s="133"/>
      <c r="X160" s="133"/>
      <c r="Y160" s="133"/>
      <c r="Z160" s="132"/>
      <c r="AA160" s="132"/>
      <c r="AB160" s="365"/>
      <c r="AC160" s="365"/>
      <c r="AD160" s="36"/>
      <c r="AF160" s="289" t="s">
        <v>602</v>
      </c>
      <c r="AG160" s="290">
        <v>13.5</v>
      </c>
      <c r="AH160" s="291">
        <v>18.1</v>
      </c>
      <c r="AI160" s="292">
        <v>0.36</v>
      </c>
      <c r="AJ160" s="293">
        <v>6.06</v>
      </c>
      <c r="AK160" s="292">
        <v>0.605</v>
      </c>
      <c r="AL160" s="294">
        <v>1.01</v>
      </c>
      <c r="AN160" s="49"/>
      <c r="AO160" s="98"/>
    </row>
    <row r="161" spans="1:41" ht="12.75">
      <c r="A161" s="329" t="s">
        <v>120</v>
      </c>
      <c r="B161" s="172" t="str">
        <f>IF(AND($D$34=0,$D$35=0,$D$36=0),"N.A.",IF(AND($D$34&gt;0,$D$35&gt;0,$D$35&lt;=0.5*$B$45,$D$36=0),$N$101,IF(AND($D$34&gt;0,$D$35&gt;0,$D$35&lt;=0.5*$B$45,$D$36&gt;0),$N$123)))</f>
        <v>N.A.</v>
      </c>
      <c r="C161" s="107" t="s">
        <v>206</v>
      </c>
      <c r="D161" s="327" t="str">
        <f>IF(AND($D$34=0,$D$35=0,$D$36=0),"ho = not applicable for uncoped beam",IF(AND($D$34&gt;0,$D$35&gt;0,$D$35&lt;=0.5*$B$45,$D$36=0),$P$101,IF(AND($D$34&gt;0,$D$35&gt;0,$D$35&lt;=0.5*$B$45,$D$36&gt;0),$P$123)))</f>
        <v>ho = not applicable for uncoped beam</v>
      </c>
      <c r="E161" s="24"/>
      <c r="F161" s="2"/>
      <c r="G161" s="44"/>
      <c r="H161" s="9"/>
      <c r="I161" s="251">
        <f>IF(AND($D$34=0,$D$35=0,$D$36=0),"",IF($B$161&gt;=$D$16,"Rwb &gt;= R,  O.K.  ","Rwb &lt; R, N.G.  "))</f>
      </c>
      <c r="V161" s="112"/>
      <c r="W161" s="133"/>
      <c r="X161" s="133"/>
      <c r="Y161" s="132"/>
      <c r="Z161" s="133"/>
      <c r="AA161" s="133"/>
      <c r="AB161" s="133"/>
      <c r="AC161" s="133"/>
      <c r="AD161" s="36"/>
      <c r="AF161" s="289" t="s">
        <v>603</v>
      </c>
      <c r="AG161" s="290">
        <v>11.8</v>
      </c>
      <c r="AH161" s="291">
        <v>17.9</v>
      </c>
      <c r="AI161" s="292">
        <v>0.315</v>
      </c>
      <c r="AJ161" s="293">
        <v>6.02</v>
      </c>
      <c r="AK161" s="292">
        <v>0.525</v>
      </c>
      <c r="AL161" s="296">
        <v>0.927</v>
      </c>
      <c r="AN161" s="49" t="str">
        <f>IF(AO161="","N.A.","SR =")</f>
        <v>N.A.</v>
      </c>
      <c r="AO161" s="98">
        <f>IF(AND($D$34=0,$D$35=0,$D$36=0),"",$D$16/$B$161)</f>
      </c>
    </row>
    <row r="162" spans="1:41" ht="12.75">
      <c r="A162" s="18"/>
      <c r="B162" s="9"/>
      <c r="C162" s="9"/>
      <c r="D162" s="9"/>
      <c r="E162" s="9"/>
      <c r="F162" s="9"/>
      <c r="G162" s="9"/>
      <c r="H162" s="9"/>
      <c r="I162" s="13"/>
      <c r="V162" s="112"/>
      <c r="W162" s="132"/>
      <c r="X162" s="133"/>
      <c r="Y162" s="133"/>
      <c r="Z162" s="133"/>
      <c r="AA162" s="133"/>
      <c r="AB162" s="132"/>
      <c r="AC162" s="133"/>
      <c r="AD162" s="36"/>
      <c r="AF162" s="289" t="s">
        <v>604</v>
      </c>
      <c r="AG162" s="290">
        <v>10.3</v>
      </c>
      <c r="AH162" s="291">
        <v>17.7</v>
      </c>
      <c r="AI162" s="292">
        <v>0.3</v>
      </c>
      <c r="AJ162" s="293">
        <v>6</v>
      </c>
      <c r="AK162" s="292">
        <v>0.425</v>
      </c>
      <c r="AL162" s="296">
        <v>0.827</v>
      </c>
      <c r="AN162" s="49"/>
      <c r="AO162" s="98"/>
    </row>
    <row r="163" spans="1:41" ht="12.75">
      <c r="A163" s="66" t="str">
        <f>IF(AND($D$34=0,$D$35=0,$D$36=0),$M$86,IF(AND($D$34&gt;0,$D$35&gt;0,$D$35&lt;=0.5*$B$45,$D$36=0),$M$102,IF(AND($D$34&gt;0,$D$35&gt;0,$D$35&lt;=0.5*$B$45,$D$36&gt;0),$M$124)))</f>
        <v>  Web Buckling (Flexural Local Buckling) Capacity for Uncoped Flanges:</v>
      </c>
      <c r="B163" s="330"/>
      <c r="C163" s="67"/>
      <c r="D163" s="67"/>
      <c r="E163" s="67"/>
      <c r="F163" s="9"/>
      <c r="G163" s="44"/>
      <c r="H163" s="9"/>
      <c r="I163" s="251"/>
      <c r="V163" s="139"/>
      <c r="W163" s="133"/>
      <c r="X163" s="133"/>
      <c r="Y163" s="133"/>
      <c r="Z163" s="133"/>
      <c r="AA163" s="133"/>
      <c r="AB163" s="133"/>
      <c r="AC163" s="133"/>
      <c r="AD163" s="36"/>
      <c r="AF163" s="289" t="s">
        <v>605</v>
      </c>
      <c r="AG163" s="290">
        <v>29.5</v>
      </c>
      <c r="AH163" s="291">
        <v>17</v>
      </c>
      <c r="AI163" s="292">
        <v>0.585</v>
      </c>
      <c r="AJ163" s="291">
        <v>10.4</v>
      </c>
      <c r="AK163" s="292">
        <v>0.985</v>
      </c>
      <c r="AL163" s="294">
        <v>1.39</v>
      </c>
      <c r="AN163" s="49"/>
      <c r="AO163" s="98"/>
    </row>
    <row r="164" spans="1:41" ht="12.75">
      <c r="A164" s="329" t="s">
        <v>30</v>
      </c>
      <c r="B164" s="173" t="str">
        <f>IF(AND($D$34=0,$D$35=0,$D$36=0),"N.A.",IF(AND($D$34&gt;0,$D$35&gt;0,$D$35&lt;=0.5*$B$45,$D$36=0),$N$103,IF(AND($D$34&gt;0,$D$35&gt;0,$D$35&lt;=0.5*$B$45,$D$36&gt;0),"N.A.")))</f>
        <v>N.A.</v>
      </c>
      <c r="C164" s="9"/>
      <c r="D164" s="327" t="str">
        <f>IF(AND($D$34=0,$D$35=0,$D$36=0),"c/d = not applicable for uncoped beam",IF(AND($D$34&gt;0,$D$35&gt;0,$D$35&lt;=0.5*$B$45,$D$36=0),$P$103,IF(AND($D$34&gt;0,$D$35&gt;0,$D$35&lt;=0.5*$B$45,$D$36&gt;0),"c/d = not applicable for double coped beam")))</f>
        <v>c/d = not applicable for uncoped beam</v>
      </c>
      <c r="E164" s="9"/>
      <c r="F164" s="9"/>
      <c r="G164" s="44"/>
      <c r="H164" s="9"/>
      <c r="I164" s="251"/>
      <c r="V164" s="133"/>
      <c r="W164" s="133"/>
      <c r="X164" s="133"/>
      <c r="Y164" s="133"/>
      <c r="Z164" s="133"/>
      <c r="AA164" s="133"/>
      <c r="AB164" s="133"/>
      <c r="AC164" s="133"/>
      <c r="AD164" s="36"/>
      <c r="AF164" s="289" t="s">
        <v>606</v>
      </c>
      <c r="AG164" s="290">
        <v>26.2</v>
      </c>
      <c r="AH164" s="291">
        <v>16.8</v>
      </c>
      <c r="AI164" s="292">
        <v>0.525</v>
      </c>
      <c r="AJ164" s="291">
        <v>10.4</v>
      </c>
      <c r="AK164" s="292">
        <v>0.875</v>
      </c>
      <c r="AL164" s="294">
        <v>1.28</v>
      </c>
      <c r="AN164" s="49"/>
      <c r="AO164" s="98"/>
    </row>
    <row r="165" spans="1:38" ht="12.75">
      <c r="A165" s="329" t="s">
        <v>262</v>
      </c>
      <c r="B165" s="163" t="str">
        <f>IF(AND($D$34=0,$D$35=0,$D$36=0),"N.A.",IF(AND($D$34&gt;0,$D$35&gt;0,$D$35&lt;=0.5*$B$45,$D$36=0),$N$104,IF(AND($D$34&gt;0,$D$35&gt;0,$D$35&lt;=0.5*$B$45,$D$36&gt;0),"N.A.")))</f>
        <v>N.A.</v>
      </c>
      <c r="C165" s="9"/>
      <c r="D165" s="327" t="str">
        <f>IF(AND($D$34=0,$D$35=0,$D$36=0),"f = not applicable for uncoped beam",IF(AND($D$34&gt;0,$D$35&gt;0,$D$35&lt;=0.5*$B$45,$D$36=0),$P$104,IF(AND($D$34&gt;0,$D$35&gt;0,$D$35&lt;=0.5*$B$45,$D$36&gt;0),"f = not applicable for double coped beam")))</f>
        <v>f = not applicable for uncoped beam</v>
      </c>
      <c r="E165" s="9"/>
      <c r="F165" s="9"/>
      <c r="G165" s="44"/>
      <c r="H165" s="9"/>
      <c r="I165" s="251"/>
      <c r="V165" s="133"/>
      <c r="W165" s="133"/>
      <c r="X165" s="133"/>
      <c r="Y165" s="133"/>
      <c r="Z165" s="133"/>
      <c r="AA165" s="133"/>
      <c r="AB165" s="133"/>
      <c r="AC165" s="132"/>
      <c r="AD165" s="36"/>
      <c r="AF165" s="289" t="s">
        <v>607</v>
      </c>
      <c r="AG165" s="290">
        <v>22.6</v>
      </c>
      <c r="AH165" s="291">
        <v>16.5</v>
      </c>
      <c r="AI165" s="292">
        <v>0.455</v>
      </c>
      <c r="AJ165" s="291">
        <v>10.3</v>
      </c>
      <c r="AK165" s="292">
        <v>0.76</v>
      </c>
      <c r="AL165" s="294">
        <v>1.16</v>
      </c>
    </row>
    <row r="166" spans="1:41" ht="12.75">
      <c r="A166" s="329" t="s">
        <v>29</v>
      </c>
      <c r="B166" s="163" t="str">
        <f>IF(AND($D$34=0,$D$35=0,$D$36=0),"N.A.",IF(AND($D$34&gt;0,$D$35&gt;0,$D$35&lt;=0.5*$B$45,$D$36=0),$N$105,IF(AND($D$34&gt;0,$D$35&gt;0,$D$35&lt;=0.5*$B$45,$D$36&gt;0),"N.A.")))</f>
        <v>N.A.</v>
      </c>
      <c r="C166" s="9"/>
      <c r="D166" s="327" t="str">
        <f>IF(AND($D$34=0,$D$35=0,$D$36=0),"c/ho = not applicable for uncoped beam",IF(AND($D$34&gt;0,$D$35&gt;0,$D$35&lt;=0.5*$B$45,$D$36=0),$P$105,IF(AND($D$34&gt;0,$D$35&gt;0,$D$35&lt;=0.5*$B$45,$D$36&gt;0),"c/ho = not applicable for double coped beam")))</f>
        <v>c/ho = not applicable for uncoped beam</v>
      </c>
      <c r="E166" s="9"/>
      <c r="F166" s="9"/>
      <c r="G166" s="44"/>
      <c r="H166" s="9"/>
      <c r="I166" s="251"/>
      <c r="V166" s="133"/>
      <c r="W166" s="133"/>
      <c r="X166" s="133"/>
      <c r="Y166" s="133"/>
      <c r="Z166" s="133"/>
      <c r="AA166" s="132"/>
      <c r="AB166" s="133"/>
      <c r="AC166" s="132"/>
      <c r="AD166" s="36"/>
      <c r="AF166" s="289" t="s">
        <v>608</v>
      </c>
      <c r="AG166" s="290">
        <v>19.7</v>
      </c>
      <c r="AH166" s="291">
        <v>16.3</v>
      </c>
      <c r="AI166" s="292">
        <v>0.395</v>
      </c>
      <c r="AJ166" s="291">
        <v>10.2</v>
      </c>
      <c r="AK166" s="292">
        <v>0.665</v>
      </c>
      <c r="AL166" s="294">
        <v>1.07</v>
      </c>
      <c r="AN166" s="49"/>
      <c r="AO166" s="98"/>
    </row>
    <row r="167" spans="1:41" ht="12.75">
      <c r="A167" s="329" t="s">
        <v>292</v>
      </c>
      <c r="B167" s="168" t="str">
        <f>IF(AND($D$34=0,$D$35=0,$D$36=0),"N.A.",IF(AND($D$34&gt;0,$D$35&gt;0,$D$35&lt;=0.5*$B$45,$D$36=0),$N$106,IF(AND($D$34&gt;0,$D$35&gt;0,$D$35&lt;=0.5*$B$45,$D$36&gt;0),"N.A.")))</f>
        <v>N.A.</v>
      </c>
      <c r="C167" s="9"/>
      <c r="D167" s="327" t="str">
        <f>IF(AND($D$34=0,$D$35=0,$D$36=0),"k = not applicable for uncoped beam",IF(AND($D$34&gt;0,$D$35&gt;0,$D$35&lt;=0.5*$B$45,$D$36=0),$P$106,IF(AND($D$34&gt;0,$D$35&gt;0,$D$35&lt;=0.5*$B$45,$D$36&gt;0),"k = not applicable for double coped beam")))</f>
        <v>k = not applicable for uncoped beam</v>
      </c>
      <c r="E167" s="9"/>
      <c r="F167" s="9"/>
      <c r="G167" s="44"/>
      <c r="H167" s="44"/>
      <c r="I167" s="251"/>
      <c r="V167" s="133"/>
      <c r="W167" s="133"/>
      <c r="X167" s="133"/>
      <c r="Y167" s="133"/>
      <c r="Z167" s="133"/>
      <c r="AA167" s="133"/>
      <c r="AB167" s="133"/>
      <c r="AC167" s="133"/>
      <c r="AD167" s="36"/>
      <c r="AF167" s="289" t="s">
        <v>609</v>
      </c>
      <c r="AG167" s="290">
        <v>16.8</v>
      </c>
      <c r="AH167" s="291">
        <v>16.4</v>
      </c>
      <c r="AI167" s="292">
        <v>0.43</v>
      </c>
      <c r="AJ167" s="293">
        <v>7.12</v>
      </c>
      <c r="AK167" s="292">
        <v>0.715</v>
      </c>
      <c r="AL167" s="294">
        <v>1.12</v>
      </c>
      <c r="AN167" s="49"/>
      <c r="AO167" s="98"/>
    </row>
    <row r="168" spans="1:41" ht="12.75">
      <c r="A168" s="50" t="s">
        <v>408</v>
      </c>
      <c r="B168" s="168" t="str">
        <f>IF(AND($D$34=0,$D$35=0,$D$36=0),"N.A.",IF(AND($D$34&gt;0,$D$35&gt;0,$D$35&lt;=0.5*$B$45,$D$36=0),"N.A.",IF(AND($D$34&gt;0,$D$35&gt;0,$D$35&lt;=0.5*$B$45,$D$36&gt;0),$N$125)))</f>
        <v>N.A.</v>
      </c>
      <c r="C168" s="9"/>
      <c r="D168" s="327" t="str">
        <f>IF(AND($D$34=0,$D$35=0,$D$36=0),"fd = not applicable for uncoped beam",IF(AND($D$34&gt;0,$D$35&gt;0,$D$35&lt;=0.5*$B$45,$D$36=0),"fd = not applicable for single coped beam",IF(AND($D$34&gt;0,$D$35&gt;0,$D$35&lt;=0.5*$B$45,$D$36&gt;0),$P$125)))</f>
        <v>fd = not applicable for uncoped beam</v>
      </c>
      <c r="E168" s="9"/>
      <c r="F168" s="9"/>
      <c r="G168" s="24"/>
      <c r="H168" s="44"/>
      <c r="I168" s="251"/>
      <c r="V168" s="133"/>
      <c r="W168" s="133"/>
      <c r="X168" s="133"/>
      <c r="Y168" s="133"/>
      <c r="Z168" s="133"/>
      <c r="AA168" s="133"/>
      <c r="AB168" s="133"/>
      <c r="AC168" s="133"/>
      <c r="AD168" s="36"/>
      <c r="AF168" s="289" t="s">
        <v>610</v>
      </c>
      <c r="AG168" s="290">
        <v>14.7</v>
      </c>
      <c r="AH168" s="291">
        <v>16.3</v>
      </c>
      <c r="AI168" s="292">
        <v>0.38</v>
      </c>
      <c r="AJ168" s="293">
        <v>7.07</v>
      </c>
      <c r="AK168" s="292">
        <v>0.63</v>
      </c>
      <c r="AL168" s="294">
        <v>1.03</v>
      </c>
      <c r="AN168" s="49"/>
      <c r="AO168" s="98"/>
    </row>
    <row r="169" spans="1:41" ht="12.75">
      <c r="A169" s="50" t="s">
        <v>409</v>
      </c>
      <c r="B169" s="168" t="str">
        <f>IF(AND($D$34=0,$D$35=0,$D$36=0),"N.A.",IF(AND($D$34&gt;0,$D$35&gt;0,$D$35&lt;=0.5*$B$45,$D$36=0),"N.A.",IF(AND($D$34&gt;0,$D$35&gt;0,$D$35&lt;=0.5*$B$45,$D$36&gt;0),$N$126)))</f>
        <v>N.A.</v>
      </c>
      <c r="C169" s="9"/>
      <c r="D169" s="327" t="str">
        <f>IF(AND($D$34=0,$D$35=0,$D$36=0),"lambda = not applicable for uncoped beam",IF(AND($D$34&gt;0,$D$35&gt;0,$D$35&lt;=0.5*$B$45,$D$36=0),"lambda = not applicable for single coped beam",IF(AND($D$34&gt;0,$D$35&gt;0,$D$35&lt;=0.5*$B$45,$D$36&gt;0),$P$126)))</f>
        <v>lambda = not applicable for uncoped beam</v>
      </c>
      <c r="E169" s="9"/>
      <c r="F169" s="9"/>
      <c r="G169" s="24"/>
      <c r="H169" s="44"/>
      <c r="I169" s="251"/>
      <c r="V169" s="133"/>
      <c r="W169" s="133"/>
      <c r="X169" s="133"/>
      <c r="Y169" s="133"/>
      <c r="Z169" s="133"/>
      <c r="AA169" s="133"/>
      <c r="AB169" s="132"/>
      <c r="AC169" s="133"/>
      <c r="AD169" s="36"/>
      <c r="AF169" s="289" t="s">
        <v>611</v>
      </c>
      <c r="AG169" s="290">
        <v>13.3</v>
      </c>
      <c r="AH169" s="291">
        <v>16.1</v>
      </c>
      <c r="AI169" s="292">
        <v>0.345</v>
      </c>
      <c r="AJ169" s="293">
        <v>7.04</v>
      </c>
      <c r="AK169" s="292">
        <v>0.565</v>
      </c>
      <c r="AL169" s="296">
        <v>0.967</v>
      </c>
      <c r="AN169" s="49"/>
      <c r="AO169" s="98"/>
    </row>
    <row r="170" spans="1:41" ht="12.75">
      <c r="A170" s="50" t="s">
        <v>410</v>
      </c>
      <c r="B170" s="168" t="str">
        <f>IF(AND($D$34=0,$D$35=0,$D$36=0),"N.A.",IF(AND($D$34&gt;0,$D$35&gt;0,$D$35&lt;=0.5*$B$45,$D$36=0),"N.A.",IF(AND($D$34&gt;0,$D$35&gt;0,$D$35&lt;=0.5*$B$45,$D$36&gt;0),$N$127)))</f>
        <v>N.A.</v>
      </c>
      <c r="C170" s="9"/>
      <c r="D170" s="350" t="str">
        <f>IF(AND($D$34=0,$D$35=0,$D$36=0),"Q = not applicable for uncoped beam",IF(AND($D$34&gt;0,$D$35&gt;0,$D$35&lt;=0.5*$B$45,$D$36=0),"Q = not applicable for single coped beam",IF(AND($D$34&gt;0,$D$35&gt;0,$D$35&lt;=0.5*$B$45,$D$36&gt;0),$P$127)))</f>
        <v>Q = not applicable for uncoped beam</v>
      </c>
      <c r="E170" s="9"/>
      <c r="F170" s="9"/>
      <c r="G170" s="24"/>
      <c r="H170" s="44"/>
      <c r="I170" s="251"/>
      <c r="V170" s="132"/>
      <c r="W170" s="133"/>
      <c r="X170" s="133"/>
      <c r="Y170" s="133"/>
      <c r="Z170" s="133"/>
      <c r="AA170" s="133"/>
      <c r="AB170" s="133"/>
      <c r="AC170" s="133"/>
      <c r="AD170" s="36"/>
      <c r="AF170" s="289" t="s">
        <v>612</v>
      </c>
      <c r="AG170" s="290">
        <v>11.8</v>
      </c>
      <c r="AH170" s="291">
        <v>16</v>
      </c>
      <c r="AI170" s="292">
        <v>0.305</v>
      </c>
      <c r="AJ170" s="293">
        <v>7</v>
      </c>
      <c r="AK170" s="292">
        <v>0.505</v>
      </c>
      <c r="AL170" s="296">
        <v>0.907</v>
      </c>
      <c r="AN170" s="49"/>
      <c r="AO170" s="98"/>
    </row>
    <row r="171" spans="1:41" ht="12.75">
      <c r="A171" s="329" t="s">
        <v>129</v>
      </c>
      <c r="B171" s="168" t="str">
        <f>IF(AND($D$34=0,$D$35=0,$D$36=0),"N.A.",IF(AND($D$34&gt;0,$D$35&gt;0,$D$35&lt;=0.5*$B$45,$D$36=0),$N$107,IF(AND($D$34&gt;0,$D$35&gt;0,$D$35&lt;=0.5*$B$45,$D$36&gt;0),$N$128)))</f>
        <v>N.A.</v>
      </c>
      <c r="C171" s="105" t="s">
        <v>212</v>
      </c>
      <c r="D171" s="328" t="str">
        <f>IF(AND($D$34=0,$D$35=0,$D$36=0),"Fbc = not applicable for uncoped beam",IF(AND($D$34&gt;0,$D$35&gt;0,$D$35&lt;=0.5*$B$45,$D$36=0),$P$107,IF(AND($D$34&gt;0,$D$35&gt;0,$D$35&lt;=0.5*$B$45,$D$36&gt;0),$P$128)))</f>
        <v>Fbc = not applicable for uncoped beam</v>
      </c>
      <c r="E171" s="9"/>
      <c r="F171" s="59"/>
      <c r="G171" s="24"/>
      <c r="H171" s="79"/>
      <c r="I171" s="251"/>
      <c r="V171" s="132"/>
      <c r="W171" s="133"/>
      <c r="X171" s="133"/>
      <c r="Y171" s="133"/>
      <c r="Z171" s="133"/>
      <c r="AA171" s="133"/>
      <c r="AB171" s="133"/>
      <c r="AC171" s="132"/>
      <c r="AD171" s="36"/>
      <c r="AF171" s="289" t="s">
        <v>613</v>
      </c>
      <c r="AG171" s="290">
        <v>10.6</v>
      </c>
      <c r="AH171" s="291">
        <v>15.9</v>
      </c>
      <c r="AI171" s="292">
        <v>0.295</v>
      </c>
      <c r="AJ171" s="293">
        <v>6.99</v>
      </c>
      <c r="AK171" s="292">
        <v>0.43</v>
      </c>
      <c r="AL171" s="296">
        <v>0.832</v>
      </c>
      <c r="AN171" s="49"/>
      <c r="AO171" s="98"/>
    </row>
    <row r="172" spans="1:41" ht="12.75">
      <c r="A172" s="329" t="s">
        <v>120</v>
      </c>
      <c r="B172" s="172" t="str">
        <f>IF(AND($D$34=0,$D$35=0,$D$36=0),"N.A.",IF(AND($D$34&gt;0,$D$35&gt;0,$D$35&lt;=0.5*$B$45,$D$36=0),$N$108,IF(AND($D$34&gt;0,$D$35&gt;0,$D$35&lt;=0.5*$B$45,$D$36&gt;0),$N$129)))</f>
        <v>N.A.</v>
      </c>
      <c r="C172" s="105" t="s">
        <v>206</v>
      </c>
      <c r="D172" s="328" t="str">
        <f>IF(AND($D$34=0,$D$35=0,$D$36=0),"Rwb = not applicable for uncoped beam",IF(AND($D$34&gt;0,$D$35&gt;0,$D$35&lt;=0.5*$B$45,$D$36=0),$P$108,IF(AND($D$34&gt;0,$D$35&gt;0,$D$35&lt;=0.5*$B$45,$D$36&gt;0),$P$129)))</f>
        <v>Rwb = not applicable for uncoped beam</v>
      </c>
      <c r="E172" s="9"/>
      <c r="F172" s="331"/>
      <c r="G172" s="9"/>
      <c r="H172" s="9"/>
      <c r="I172" s="251">
        <f>IF(AND($D$34=0,$D$35=0,$D$36=0),"",IF($B$172&gt;=$D$16,"Rwb &gt;= R,  O.K.  ","Rwb &lt; R, N.G.  "))</f>
      </c>
      <c r="V172" s="133"/>
      <c r="W172" s="133"/>
      <c r="X172" s="133"/>
      <c r="Y172" s="133"/>
      <c r="Z172" s="133"/>
      <c r="AA172" s="133"/>
      <c r="AB172" s="133"/>
      <c r="AC172" s="133"/>
      <c r="AD172" s="36"/>
      <c r="AF172" s="289" t="s">
        <v>614</v>
      </c>
      <c r="AG172" s="297">
        <v>9.13</v>
      </c>
      <c r="AH172" s="291">
        <v>15.9</v>
      </c>
      <c r="AI172" s="292">
        <v>0.275</v>
      </c>
      <c r="AJ172" s="293">
        <v>5.53</v>
      </c>
      <c r="AK172" s="292">
        <v>0.44</v>
      </c>
      <c r="AL172" s="296">
        <v>0.842</v>
      </c>
      <c r="AN172" s="49" t="str">
        <f>IF(AO172="","N.A.","SR =")</f>
        <v>N.A.</v>
      </c>
      <c r="AO172" s="98">
        <f>IF(AND($D$34=0,$D$35=0,$D$36=0),"",$D$16/$B$172)</f>
      </c>
    </row>
    <row r="173" spans="1:41" ht="12.75">
      <c r="A173" s="18"/>
      <c r="B173" s="9"/>
      <c r="C173" s="9"/>
      <c r="D173" s="9"/>
      <c r="E173" s="9"/>
      <c r="F173" s="9"/>
      <c r="G173" s="9"/>
      <c r="H173" s="9"/>
      <c r="I173" s="251"/>
      <c r="V173" s="132"/>
      <c r="W173" s="133"/>
      <c r="X173" s="132"/>
      <c r="Y173" s="133"/>
      <c r="Z173" s="133"/>
      <c r="AA173" s="133"/>
      <c r="AB173" s="133"/>
      <c r="AC173" s="133"/>
      <c r="AD173" s="36"/>
      <c r="AF173" s="289" t="s">
        <v>615</v>
      </c>
      <c r="AG173" s="297">
        <v>7.68</v>
      </c>
      <c r="AH173" s="291">
        <v>15.7</v>
      </c>
      <c r="AI173" s="292">
        <v>0.25</v>
      </c>
      <c r="AJ173" s="293">
        <v>5.5</v>
      </c>
      <c r="AK173" s="292">
        <v>0.345</v>
      </c>
      <c r="AL173" s="296">
        <v>0.747</v>
      </c>
      <c r="AN173" s="49"/>
      <c r="AO173" s="98"/>
    </row>
    <row r="174" spans="1:38" ht="12.75">
      <c r="A174" s="63" t="s">
        <v>158</v>
      </c>
      <c r="B174" s="44"/>
      <c r="C174" s="115"/>
      <c r="D174" s="44"/>
      <c r="E174" s="44"/>
      <c r="F174" s="44"/>
      <c r="G174" s="44"/>
      <c r="H174" s="44"/>
      <c r="I174" s="251"/>
      <c r="V174" s="132"/>
      <c r="W174" s="133"/>
      <c r="X174" s="133"/>
      <c r="Y174" s="132"/>
      <c r="Z174" s="133"/>
      <c r="AA174" s="133"/>
      <c r="AB174" s="133"/>
      <c r="AC174" s="133"/>
      <c r="AD174" s="36"/>
      <c r="AF174" s="289" t="s">
        <v>616</v>
      </c>
      <c r="AG174" s="295">
        <v>215</v>
      </c>
      <c r="AH174" s="291">
        <v>22.4</v>
      </c>
      <c r="AI174" s="293">
        <v>3.07</v>
      </c>
      <c r="AJ174" s="291">
        <v>17.9</v>
      </c>
      <c r="AK174" s="293">
        <v>4.91</v>
      </c>
      <c r="AL174" s="294">
        <v>5.51</v>
      </c>
    </row>
    <row r="175" spans="1:38" ht="12.75">
      <c r="A175" s="66" t="s">
        <v>152</v>
      </c>
      <c r="B175" s="44"/>
      <c r="C175" s="115"/>
      <c r="D175" s="62"/>
      <c r="E175" s="54"/>
      <c r="F175" s="44"/>
      <c r="G175" s="44"/>
      <c r="H175" s="44"/>
      <c r="I175" s="251"/>
      <c r="V175" s="133"/>
      <c r="W175" s="133"/>
      <c r="X175" s="133"/>
      <c r="Y175" s="133"/>
      <c r="Z175" s="132"/>
      <c r="AA175" s="133"/>
      <c r="AB175" s="133"/>
      <c r="AC175" s="133"/>
      <c r="AD175" s="36"/>
      <c r="AF175" s="289" t="s">
        <v>617</v>
      </c>
      <c r="AG175" s="295">
        <v>196</v>
      </c>
      <c r="AH175" s="291">
        <v>21.6</v>
      </c>
      <c r="AI175" s="293">
        <v>2.83</v>
      </c>
      <c r="AJ175" s="291">
        <v>17.7</v>
      </c>
      <c r="AK175" s="293">
        <v>4.52</v>
      </c>
      <c r="AL175" s="294">
        <v>5.12</v>
      </c>
    </row>
    <row r="176" spans="1:41" ht="12.75">
      <c r="A176" s="68" t="s">
        <v>146</v>
      </c>
      <c r="B176" s="173">
        <f>$N$132</f>
        <v>0.4</v>
      </c>
      <c r="C176" s="107" t="s">
        <v>229</v>
      </c>
      <c r="D176" s="51" t="str">
        <f>$P$132</f>
        <v>twc = tw+td*(Fyd/Fyc)</v>
      </c>
      <c r="E176" s="54"/>
      <c r="F176" s="44"/>
      <c r="G176" s="44"/>
      <c r="H176" s="44"/>
      <c r="I176" s="251"/>
      <c r="V176" s="133"/>
      <c r="W176" s="133"/>
      <c r="X176" s="133"/>
      <c r="Y176" s="133"/>
      <c r="Z176" s="133"/>
      <c r="AA176" s="132"/>
      <c r="AB176" s="133"/>
      <c r="AC176" s="133"/>
      <c r="AD176" s="36"/>
      <c r="AF176" s="289" t="s">
        <v>618</v>
      </c>
      <c r="AG176" s="295">
        <v>178</v>
      </c>
      <c r="AH176" s="291">
        <v>20.9</v>
      </c>
      <c r="AI176" s="293">
        <v>2.6</v>
      </c>
      <c r="AJ176" s="291">
        <v>17.4</v>
      </c>
      <c r="AK176" s="293">
        <v>4.16</v>
      </c>
      <c r="AL176" s="294">
        <v>4.76</v>
      </c>
      <c r="AN176" s="49"/>
      <c r="AO176" s="98"/>
    </row>
    <row r="177" spans="1:41" ht="12.75">
      <c r="A177" s="68" t="s">
        <v>434</v>
      </c>
      <c r="B177" s="172">
        <f>$N$133</f>
        <v>218.40000000000003</v>
      </c>
      <c r="C177" s="107" t="s">
        <v>206</v>
      </c>
      <c r="D177" s="51" t="str">
        <f>$P$133</f>
        <v>Rpc = (1/2)*(2.4*Fuc*twc*db*Nb)</v>
      </c>
      <c r="E177" s="54"/>
      <c r="F177" s="44"/>
      <c r="G177" s="44"/>
      <c r="H177" s="58"/>
      <c r="I177" s="251" t="str">
        <f>IF($D$16&gt;0,IF($B$177&gt;=$D$16,"Rpc &gt;= R,  O.K.  ","Rpc &lt; R, N.G.  "),"")</f>
        <v>Rpc &gt;= R,  O.K.  </v>
      </c>
      <c r="V177" s="133"/>
      <c r="W177" s="133"/>
      <c r="X177" s="133"/>
      <c r="Y177" s="133"/>
      <c r="Z177" s="133"/>
      <c r="AA177" s="133"/>
      <c r="AB177" s="133"/>
      <c r="AC177" s="133"/>
      <c r="AD177" s="36"/>
      <c r="AF177" s="289" t="s">
        <v>619</v>
      </c>
      <c r="AG177" s="295">
        <v>162</v>
      </c>
      <c r="AH177" s="291">
        <v>20.2</v>
      </c>
      <c r="AI177" s="293">
        <v>2.38</v>
      </c>
      <c r="AJ177" s="291">
        <v>17.2</v>
      </c>
      <c r="AK177" s="293">
        <v>3.82</v>
      </c>
      <c r="AL177" s="294">
        <v>4.42</v>
      </c>
      <c r="AN177" s="49" t="str">
        <f>IF(AO177="","N.A.","SR =")</f>
        <v>SR =</v>
      </c>
      <c r="AO177" s="98">
        <f>IF($D$16&gt;0,$D$16/$B$177,"")</f>
        <v>0.1831501831501831</v>
      </c>
    </row>
    <row r="178" spans="1:38" ht="12.75">
      <c r="A178" s="72"/>
      <c r="B178" s="44"/>
      <c r="C178" s="115"/>
      <c r="D178" s="44"/>
      <c r="E178" s="44"/>
      <c r="F178" s="44"/>
      <c r="G178" s="44"/>
      <c r="H178" s="44"/>
      <c r="I178" s="251"/>
      <c r="V178" s="133"/>
      <c r="W178" s="138"/>
      <c r="X178" s="138"/>
      <c r="Y178" s="138"/>
      <c r="Z178" s="138"/>
      <c r="AA178" s="138"/>
      <c r="AB178" s="138"/>
      <c r="AC178" s="138"/>
      <c r="AD178" s="36"/>
      <c r="AF178" s="289" t="s">
        <v>620</v>
      </c>
      <c r="AG178" s="295">
        <v>147</v>
      </c>
      <c r="AH178" s="291">
        <v>19.6</v>
      </c>
      <c r="AI178" s="293">
        <v>2.19</v>
      </c>
      <c r="AJ178" s="291">
        <v>17</v>
      </c>
      <c r="AK178" s="293">
        <v>3.5</v>
      </c>
      <c r="AL178" s="294">
        <v>4.1</v>
      </c>
    </row>
    <row r="179" spans="1:41" ht="12.75">
      <c r="A179" s="72" t="s">
        <v>153</v>
      </c>
      <c r="B179" s="44"/>
      <c r="C179" s="115"/>
      <c r="D179" s="51" t="str">
        <f>$P$134</f>
        <v>(assume LRFD "yield line" theory and convert results back to ASD)</v>
      </c>
      <c r="E179" s="54"/>
      <c r="F179" s="9"/>
      <c r="G179" s="54"/>
      <c r="H179" s="87"/>
      <c r="I179" s="251"/>
      <c r="V179" s="133"/>
      <c r="W179" s="36"/>
      <c r="X179" s="36"/>
      <c r="Y179" s="36"/>
      <c r="Z179" s="36"/>
      <c r="AA179" s="36"/>
      <c r="AB179" s="36"/>
      <c r="AC179" s="36"/>
      <c r="AD179" s="36"/>
      <c r="AF179" s="289" t="s">
        <v>621</v>
      </c>
      <c r="AG179" s="295">
        <v>134</v>
      </c>
      <c r="AH179" s="291">
        <v>19</v>
      </c>
      <c r="AI179" s="293">
        <v>2.02</v>
      </c>
      <c r="AJ179" s="291">
        <v>16.8</v>
      </c>
      <c r="AK179" s="293">
        <v>3.21</v>
      </c>
      <c r="AL179" s="294">
        <v>3.81</v>
      </c>
      <c r="AN179" s="49"/>
      <c r="AO179" s="98"/>
    </row>
    <row r="180" spans="1:41" ht="12.75">
      <c r="A180" s="68" t="s">
        <v>146</v>
      </c>
      <c r="B180" s="223" t="str">
        <f>$N$135</f>
        <v>N.A.</v>
      </c>
      <c r="C180" s="107" t="s">
        <v>229</v>
      </c>
      <c r="D180" s="9" t="str">
        <f>$P$135</f>
        <v>twc = tw+td*(Fyd/Fyc)</v>
      </c>
      <c r="E180" s="9"/>
      <c r="F180" s="9"/>
      <c r="G180" s="9"/>
      <c r="H180" s="9"/>
      <c r="I180" s="251"/>
      <c r="W180" s="112"/>
      <c r="X180" s="112"/>
      <c r="Y180" s="112"/>
      <c r="Z180" s="112"/>
      <c r="AA180" s="112"/>
      <c r="AB180" s="112"/>
      <c r="AC180" s="112"/>
      <c r="AD180" s="36"/>
      <c r="AF180" s="289" t="s">
        <v>622</v>
      </c>
      <c r="AG180" s="295">
        <v>125</v>
      </c>
      <c r="AH180" s="291">
        <v>18.7</v>
      </c>
      <c r="AI180" s="293">
        <v>1.88</v>
      </c>
      <c r="AJ180" s="291">
        <v>16.7</v>
      </c>
      <c r="AK180" s="293">
        <v>3.04</v>
      </c>
      <c r="AL180" s="294">
        <v>3.63</v>
      </c>
      <c r="AN180" s="49"/>
      <c r="AO180" s="98"/>
    </row>
    <row r="181" spans="1:41" ht="12.75">
      <c r="A181" s="76" t="s">
        <v>334</v>
      </c>
      <c r="B181" s="168" t="str">
        <f>$N$136</f>
        <v>N.A.</v>
      </c>
      <c r="C181" s="107" t="s">
        <v>206</v>
      </c>
      <c r="D181" s="51" t="str">
        <f>$P$136</f>
        <v>mp = 0.25*Fyc*twc^2</v>
      </c>
      <c r="E181" s="9"/>
      <c r="F181" s="54"/>
      <c r="G181" s="54"/>
      <c r="H181" s="58"/>
      <c r="I181" s="251"/>
      <c r="W181" s="112"/>
      <c r="X181" s="112"/>
      <c r="Y181" s="362"/>
      <c r="Z181" s="112"/>
      <c r="AA181" s="112"/>
      <c r="AB181" s="362"/>
      <c r="AC181" s="112"/>
      <c r="AD181" s="36"/>
      <c r="AF181" s="289" t="s">
        <v>623</v>
      </c>
      <c r="AG181" s="295">
        <v>117</v>
      </c>
      <c r="AH181" s="291">
        <v>18.3</v>
      </c>
      <c r="AI181" s="293">
        <v>1.77</v>
      </c>
      <c r="AJ181" s="291">
        <v>16.6</v>
      </c>
      <c r="AK181" s="293">
        <v>2.85</v>
      </c>
      <c r="AL181" s="294">
        <v>3.44</v>
      </c>
      <c r="AN181" s="49"/>
      <c r="AO181" s="98"/>
    </row>
    <row r="182" spans="1:41" ht="12.75">
      <c r="A182" s="76" t="s">
        <v>337</v>
      </c>
      <c r="B182" s="164" t="str">
        <f>$N$137</f>
        <v>N.A.</v>
      </c>
      <c r="C182" s="107" t="s">
        <v>229</v>
      </c>
      <c r="D182" s="51" t="str">
        <f>$P$137</f>
        <v>Tc = dc-2*kc</v>
      </c>
      <c r="E182" s="44"/>
      <c r="F182" s="54"/>
      <c r="G182" s="54"/>
      <c r="H182" s="9"/>
      <c r="I182" s="251"/>
      <c r="W182" s="139"/>
      <c r="X182" s="139"/>
      <c r="Y182" s="139"/>
      <c r="Z182" s="139"/>
      <c r="AA182" s="139"/>
      <c r="AB182" s="139"/>
      <c r="AC182" s="139"/>
      <c r="AD182" s="36"/>
      <c r="AF182" s="289" t="s">
        <v>624</v>
      </c>
      <c r="AG182" s="295">
        <v>109</v>
      </c>
      <c r="AH182" s="291">
        <v>17.9</v>
      </c>
      <c r="AI182" s="293">
        <v>1.66</v>
      </c>
      <c r="AJ182" s="291">
        <v>16.5</v>
      </c>
      <c r="AK182" s="293">
        <v>2.66</v>
      </c>
      <c r="AL182" s="294">
        <v>3.26</v>
      </c>
      <c r="AN182" s="49"/>
      <c r="AO182" s="98"/>
    </row>
    <row r="183" spans="1:41" ht="12.75">
      <c r="A183" s="234" t="s">
        <v>782</v>
      </c>
      <c r="B183" s="164" t="str">
        <f>$N$138</f>
        <v>N.A.</v>
      </c>
      <c r="C183" s="107" t="s">
        <v>229</v>
      </c>
      <c r="D183" s="51" t="str">
        <f>$P$138</f>
        <v>a = (Tc-c)/2</v>
      </c>
      <c r="E183" s="9"/>
      <c r="F183" s="9"/>
      <c r="G183" s="9"/>
      <c r="H183" s="9"/>
      <c r="I183" s="251"/>
      <c r="W183" s="133"/>
      <c r="X183" s="132"/>
      <c r="Y183" s="133"/>
      <c r="Z183" s="133"/>
      <c r="AA183" s="133"/>
      <c r="AB183" s="133"/>
      <c r="AC183" s="133"/>
      <c r="AD183" s="36"/>
      <c r="AF183" s="289" t="s">
        <v>625</v>
      </c>
      <c r="AG183" s="295">
        <v>101</v>
      </c>
      <c r="AH183" s="291">
        <v>17.5</v>
      </c>
      <c r="AI183" s="293">
        <v>1.54</v>
      </c>
      <c r="AJ183" s="291">
        <v>16.4</v>
      </c>
      <c r="AK183" s="293">
        <v>2.47</v>
      </c>
      <c r="AL183" s="294">
        <v>3.07</v>
      </c>
      <c r="AN183" s="49"/>
      <c r="AO183" s="98"/>
    </row>
    <row r="184" spans="1:41" ht="12.75">
      <c r="A184" s="234" t="s">
        <v>780</v>
      </c>
      <c r="B184" s="164" t="str">
        <f>$N$139</f>
        <v>N.A.</v>
      </c>
      <c r="C184" s="107" t="s">
        <v>229</v>
      </c>
      <c r="D184" s="51" t="str">
        <f>$P$139</f>
        <v>b = a = (Tc-c)/2</v>
      </c>
      <c r="E184" s="9"/>
      <c r="F184" s="9"/>
      <c r="G184" s="9"/>
      <c r="H184" s="9"/>
      <c r="I184" s="251"/>
      <c r="W184" s="133"/>
      <c r="X184" s="133"/>
      <c r="Y184" s="133"/>
      <c r="Z184" s="133"/>
      <c r="AA184" s="133"/>
      <c r="AB184" s="133"/>
      <c r="AC184" s="133"/>
      <c r="AD184" s="36"/>
      <c r="AF184" s="289" t="s">
        <v>626</v>
      </c>
      <c r="AG184" s="290">
        <v>91.4</v>
      </c>
      <c r="AH184" s="291">
        <v>17.1</v>
      </c>
      <c r="AI184" s="293">
        <v>1.41</v>
      </c>
      <c r="AJ184" s="291">
        <v>16.2</v>
      </c>
      <c r="AK184" s="293">
        <v>2.26</v>
      </c>
      <c r="AL184" s="294">
        <v>2.86</v>
      </c>
      <c r="AN184" s="49"/>
      <c r="AO184" s="98"/>
    </row>
    <row r="185" spans="1:41" ht="12.75">
      <c r="A185" s="234" t="s">
        <v>348</v>
      </c>
      <c r="B185" s="164" t="str">
        <f>$N$140</f>
        <v>N.A.</v>
      </c>
      <c r="C185" s="107" t="s">
        <v>229</v>
      </c>
      <c r="D185" s="51" t="str">
        <f>$P$140</f>
        <v>c = g</v>
      </c>
      <c r="E185" s="9"/>
      <c r="F185" s="9"/>
      <c r="G185" s="9"/>
      <c r="H185" s="9"/>
      <c r="I185" s="251"/>
      <c r="W185" s="132"/>
      <c r="X185" s="133"/>
      <c r="Y185" s="133"/>
      <c r="Z185" s="133"/>
      <c r="AA185" s="133"/>
      <c r="AB185" s="133"/>
      <c r="AC185" s="133"/>
      <c r="AD185" s="36"/>
      <c r="AF185" s="289" t="s">
        <v>627</v>
      </c>
      <c r="AG185" s="290">
        <v>83.3</v>
      </c>
      <c r="AH185" s="291">
        <v>16.7</v>
      </c>
      <c r="AI185" s="293">
        <v>1.29</v>
      </c>
      <c r="AJ185" s="291">
        <v>16.1</v>
      </c>
      <c r="AK185" s="293">
        <v>2.07</v>
      </c>
      <c r="AL185" s="294">
        <v>2.67</v>
      </c>
      <c r="AN185" s="49"/>
      <c r="AO185" s="98"/>
    </row>
    <row r="186" spans="1:41" ht="12.75">
      <c r="A186" s="68" t="s">
        <v>282</v>
      </c>
      <c r="B186" s="164" t="str">
        <f>$N$141</f>
        <v>N.A.</v>
      </c>
      <c r="C186" s="107" t="s">
        <v>229</v>
      </c>
      <c r="D186" s="51" t="str">
        <f>$P$141</f>
        <v>L = (Nr-1)*S</v>
      </c>
      <c r="E186" s="44"/>
      <c r="F186" s="54"/>
      <c r="G186" s="44"/>
      <c r="H186" s="9"/>
      <c r="I186" s="251"/>
      <c r="W186" s="133"/>
      <c r="X186" s="133"/>
      <c r="Y186" s="133"/>
      <c r="Z186" s="133"/>
      <c r="AA186" s="133"/>
      <c r="AB186" s="133"/>
      <c r="AC186" s="365"/>
      <c r="AD186" s="36"/>
      <c r="AF186" s="289" t="s">
        <v>628</v>
      </c>
      <c r="AG186" s="290">
        <v>75.6</v>
      </c>
      <c r="AH186" s="291">
        <v>16.4</v>
      </c>
      <c r="AI186" s="293">
        <v>1.18</v>
      </c>
      <c r="AJ186" s="291">
        <v>16</v>
      </c>
      <c r="AK186" s="293">
        <v>1.89</v>
      </c>
      <c r="AL186" s="294">
        <v>2.49</v>
      </c>
      <c r="AN186" s="49"/>
      <c r="AO186" s="98"/>
    </row>
    <row r="187" spans="1:41" ht="12.75">
      <c r="A187" s="80" t="s">
        <v>339</v>
      </c>
      <c r="B187" s="168" t="str">
        <f>$N$142</f>
        <v>N.A.</v>
      </c>
      <c r="C187" s="107"/>
      <c r="D187" s="81" t="s">
        <v>341</v>
      </c>
      <c r="E187" s="44"/>
      <c r="F187" s="54"/>
      <c r="G187" s="97"/>
      <c r="H187" s="9"/>
      <c r="I187" s="251"/>
      <c r="W187" s="133"/>
      <c r="X187" s="133"/>
      <c r="Y187" s="133"/>
      <c r="Z187" s="133"/>
      <c r="AA187" s="133"/>
      <c r="AB187" s="133"/>
      <c r="AC187" s="133"/>
      <c r="AD187" s="36"/>
      <c r="AF187" s="289" t="s">
        <v>629</v>
      </c>
      <c r="AG187" s="290">
        <v>68.5</v>
      </c>
      <c r="AH187" s="291">
        <v>16</v>
      </c>
      <c r="AI187" s="293">
        <v>1.07</v>
      </c>
      <c r="AJ187" s="291">
        <v>15.9</v>
      </c>
      <c r="AK187" s="293">
        <v>1.72</v>
      </c>
      <c r="AL187" s="294">
        <v>2.32</v>
      </c>
      <c r="AN187" s="49"/>
      <c r="AO187" s="98"/>
    </row>
    <row r="188" spans="1:41" ht="12.75">
      <c r="A188" s="80" t="s">
        <v>340</v>
      </c>
      <c r="B188" s="168" t="str">
        <f>$N$143</f>
        <v>N.A.</v>
      </c>
      <c r="C188" s="107" t="s">
        <v>206</v>
      </c>
      <c r="D188" s="81" t="s">
        <v>342</v>
      </c>
      <c r="E188" s="54"/>
      <c r="F188" s="44"/>
      <c r="G188" s="44"/>
      <c r="H188" s="44"/>
      <c r="I188" s="251"/>
      <c r="W188" s="133"/>
      <c r="X188" s="133"/>
      <c r="Y188" s="133"/>
      <c r="Z188" s="132"/>
      <c r="AA188" s="132"/>
      <c r="AB188" s="365"/>
      <c r="AC188" s="365"/>
      <c r="AD188" s="36"/>
      <c r="AF188" s="289" t="s">
        <v>630</v>
      </c>
      <c r="AG188" s="290">
        <v>62</v>
      </c>
      <c r="AH188" s="291">
        <v>15.7</v>
      </c>
      <c r="AI188" s="292">
        <v>0.98</v>
      </c>
      <c r="AJ188" s="291">
        <v>15.8</v>
      </c>
      <c r="AK188" s="293">
        <v>1.56</v>
      </c>
      <c r="AL188" s="294">
        <v>2.16</v>
      </c>
      <c r="AN188" s="49"/>
      <c r="AO188" s="98"/>
    </row>
    <row r="189" spans="1:41" ht="12.75">
      <c r="A189" s="68" t="s">
        <v>338</v>
      </c>
      <c r="B189" s="170" t="str">
        <f>$N$144</f>
        <v>N.A.</v>
      </c>
      <c r="C189" s="222" t="s">
        <v>206</v>
      </c>
      <c r="D189" s="51" t="s">
        <v>346</v>
      </c>
      <c r="E189" s="9"/>
      <c r="F189" s="9"/>
      <c r="G189" s="9"/>
      <c r="H189" s="9"/>
      <c r="I189" s="251"/>
      <c r="W189" s="133"/>
      <c r="X189" s="133"/>
      <c r="Y189" s="132"/>
      <c r="Z189" s="133"/>
      <c r="AA189" s="133"/>
      <c r="AB189" s="133"/>
      <c r="AC189" s="133"/>
      <c r="AD189" s="36"/>
      <c r="AF189" s="289" t="s">
        <v>631</v>
      </c>
      <c r="AG189" s="290">
        <v>56.8</v>
      </c>
      <c r="AH189" s="291">
        <v>15.5</v>
      </c>
      <c r="AI189" s="292">
        <v>0.89</v>
      </c>
      <c r="AJ189" s="291">
        <v>15.7</v>
      </c>
      <c r="AK189" s="293">
        <v>1.44</v>
      </c>
      <c r="AL189" s="294">
        <v>2.04</v>
      </c>
      <c r="AN189" s="49"/>
      <c r="AO189" s="98"/>
    </row>
    <row r="190" spans="1:41" ht="12.75">
      <c r="A190" s="18"/>
      <c r="B190" s="9"/>
      <c r="C190" s="9"/>
      <c r="D190" s="9"/>
      <c r="E190" s="9"/>
      <c r="F190" s="9"/>
      <c r="G190" s="9"/>
      <c r="H190" s="79"/>
      <c r="I190" s="251">
        <f>IF($D$17&gt;0,IF($D$39="Yes",IF($B$189&gt;=$D$17,"Pa &gt;= P,  O.K.  ","Pa &lt; P, N.G.  "),""),"")</f>
      </c>
      <c r="W190" s="132"/>
      <c r="X190" s="133"/>
      <c r="Y190" s="133"/>
      <c r="Z190" s="133"/>
      <c r="AA190" s="133"/>
      <c r="AB190" s="132"/>
      <c r="AC190" s="133"/>
      <c r="AD190" s="36"/>
      <c r="AF190" s="289" t="s">
        <v>632</v>
      </c>
      <c r="AG190" s="290">
        <v>51.8</v>
      </c>
      <c r="AH190" s="291">
        <v>15.2</v>
      </c>
      <c r="AI190" s="292">
        <v>0.83</v>
      </c>
      <c r="AJ190" s="291">
        <v>15.7</v>
      </c>
      <c r="AK190" s="293">
        <v>1.31</v>
      </c>
      <c r="AL190" s="294">
        <v>1.91</v>
      </c>
      <c r="AN190" s="49" t="str">
        <f>IF(AO190="","N.A.","SR =")</f>
        <v>N.A.</v>
      </c>
      <c r="AO190" s="98">
        <f>IF($D$17&gt;0,IF($D$39="Yes",$D$17/$B$189,""),"")</f>
      </c>
    </row>
    <row r="191" spans="1:41" ht="12.75">
      <c r="A191" s="18"/>
      <c r="B191" s="9"/>
      <c r="C191" s="9"/>
      <c r="D191" s="9"/>
      <c r="E191" s="9"/>
      <c r="F191" s="9"/>
      <c r="G191" s="9"/>
      <c r="H191" s="9"/>
      <c r="I191" s="251"/>
      <c r="W191" s="133"/>
      <c r="X191" s="133"/>
      <c r="Y191" s="133"/>
      <c r="Z191" s="133"/>
      <c r="AA191" s="133"/>
      <c r="AB191" s="133"/>
      <c r="AC191" s="133"/>
      <c r="AD191" s="36"/>
      <c r="AF191" s="289" t="s">
        <v>633</v>
      </c>
      <c r="AG191" s="290">
        <v>46.7</v>
      </c>
      <c r="AH191" s="291">
        <v>15</v>
      </c>
      <c r="AI191" s="292">
        <v>0.745</v>
      </c>
      <c r="AJ191" s="291">
        <v>15.6</v>
      </c>
      <c r="AK191" s="293">
        <v>1.19</v>
      </c>
      <c r="AL191" s="294">
        <v>1.79</v>
      </c>
      <c r="AN191" s="49"/>
      <c r="AO191" s="98"/>
    </row>
    <row r="192" spans="1:41" ht="12.75">
      <c r="A192" s="72" t="s">
        <v>156</v>
      </c>
      <c r="B192" s="44"/>
      <c r="C192" s="115"/>
      <c r="D192" s="51"/>
      <c r="E192" s="54"/>
      <c r="F192" s="54"/>
      <c r="G192" s="44"/>
      <c r="H192" s="44"/>
      <c r="I192" s="251"/>
      <c r="W192" s="133"/>
      <c r="X192" s="133"/>
      <c r="Y192" s="133"/>
      <c r="Z192" s="133"/>
      <c r="AA192" s="133"/>
      <c r="AB192" s="133"/>
      <c r="AC192" s="133"/>
      <c r="AD192" s="36"/>
      <c r="AF192" s="289" t="s">
        <v>634</v>
      </c>
      <c r="AG192" s="290">
        <v>42.7</v>
      </c>
      <c r="AH192" s="291">
        <v>14.8</v>
      </c>
      <c r="AI192" s="292">
        <v>0.68</v>
      </c>
      <c r="AJ192" s="291">
        <v>15.5</v>
      </c>
      <c r="AK192" s="293">
        <v>1.09</v>
      </c>
      <c r="AL192" s="294">
        <v>1.69</v>
      </c>
      <c r="AN192" s="49"/>
      <c r="AO192" s="98"/>
    </row>
    <row r="193" spans="1:41" ht="12.75">
      <c r="A193" s="68" t="s">
        <v>146</v>
      </c>
      <c r="B193" s="173" t="str">
        <f>$N$146</f>
        <v>N.A.</v>
      </c>
      <c r="C193" s="107" t="s">
        <v>229</v>
      </c>
      <c r="D193" s="51" t="str">
        <f>$P$146</f>
        <v>twc = tw+td*(Fyd/Fyc)</v>
      </c>
      <c r="E193" s="9"/>
      <c r="F193" s="54"/>
      <c r="G193" s="9"/>
      <c r="H193" s="9"/>
      <c r="I193" s="251"/>
      <c r="W193" s="133"/>
      <c r="X193" s="133"/>
      <c r="Y193" s="133"/>
      <c r="Z193" s="133"/>
      <c r="AA193" s="133"/>
      <c r="AB193" s="133"/>
      <c r="AC193" s="132"/>
      <c r="AD193" s="36"/>
      <c r="AF193" s="289" t="s">
        <v>635</v>
      </c>
      <c r="AG193" s="290">
        <v>38.8</v>
      </c>
      <c r="AH193" s="291">
        <v>14.7</v>
      </c>
      <c r="AI193" s="292">
        <v>0.645</v>
      </c>
      <c r="AJ193" s="291">
        <v>14.7</v>
      </c>
      <c r="AK193" s="293">
        <v>1.03</v>
      </c>
      <c r="AL193" s="294">
        <v>1.63</v>
      </c>
      <c r="AN193" s="49"/>
      <c r="AO193" s="98"/>
    </row>
    <row r="194" spans="1:41" ht="12.75">
      <c r="A194" s="68" t="s">
        <v>201</v>
      </c>
      <c r="B194" s="168" t="str">
        <f>$N$147</f>
        <v>N.A.</v>
      </c>
      <c r="C194" s="107" t="s">
        <v>212</v>
      </c>
      <c r="D194" s="51" t="str">
        <f>$P$147</f>
        <v>fv = (P/Nb)/(twc*(S-dhc))</v>
      </c>
      <c r="E194" s="54"/>
      <c r="F194" s="9"/>
      <c r="G194" s="44"/>
      <c r="H194" s="9"/>
      <c r="I194" s="251"/>
      <c r="W194" s="133"/>
      <c r="X194" s="133"/>
      <c r="Y194" s="133"/>
      <c r="Z194" s="133"/>
      <c r="AA194" s="132"/>
      <c r="AB194" s="133"/>
      <c r="AC194" s="132"/>
      <c r="AD194" s="36"/>
      <c r="AF194" s="289" t="s">
        <v>636</v>
      </c>
      <c r="AG194" s="290">
        <v>35.3</v>
      </c>
      <c r="AH194" s="291">
        <v>14.5</v>
      </c>
      <c r="AI194" s="292">
        <v>0.59</v>
      </c>
      <c r="AJ194" s="291">
        <v>14.7</v>
      </c>
      <c r="AK194" s="292">
        <v>0.94</v>
      </c>
      <c r="AL194" s="294">
        <v>1.54</v>
      </c>
      <c r="AN194" s="49"/>
      <c r="AO194" s="98"/>
    </row>
    <row r="195" spans="1:41" ht="12.75">
      <c r="A195" s="68" t="s">
        <v>214</v>
      </c>
      <c r="B195" s="172" t="str">
        <f>$N$148</f>
        <v>N.A.</v>
      </c>
      <c r="C195" s="107" t="s">
        <v>212</v>
      </c>
      <c r="D195" s="51" t="str">
        <f>$P$148</f>
        <v>Fv = (1/1.5)*0.6*Fyc</v>
      </c>
      <c r="E195" s="54"/>
      <c r="F195" s="54"/>
      <c r="G195" s="44"/>
      <c r="H195" s="79"/>
      <c r="I195" s="251">
        <f>IF($D$17&gt;0,IF($D$39="Yes",IF($B$195&gt;=$B$194,"Fv &gt;= fv,  O.K.  ","Fv &lt; fv, N.G.  "),""),"")</f>
      </c>
      <c r="W195" s="133"/>
      <c r="X195" s="133"/>
      <c r="Y195" s="133"/>
      <c r="Z195" s="133"/>
      <c r="AA195" s="133"/>
      <c r="AB195" s="133"/>
      <c r="AC195" s="133"/>
      <c r="AD195" s="36"/>
      <c r="AF195" s="289" t="s">
        <v>637</v>
      </c>
      <c r="AG195" s="290">
        <v>32</v>
      </c>
      <c r="AH195" s="291">
        <v>14.3</v>
      </c>
      <c r="AI195" s="292">
        <v>0.525</v>
      </c>
      <c r="AJ195" s="291">
        <v>14.6</v>
      </c>
      <c r="AK195" s="292">
        <v>0.86</v>
      </c>
      <c r="AL195" s="294">
        <v>1.46</v>
      </c>
      <c r="AN195" s="49" t="str">
        <f>IF(AO195="","N.A.","SR =")</f>
        <v>N.A.</v>
      </c>
      <c r="AO195" s="98">
        <f>IF($D$17&gt;0,IF($D$39="Yes",$B$194/$B$195,""),"")</f>
      </c>
    </row>
    <row r="196" spans="1:40" ht="12.75">
      <c r="A196" s="18"/>
      <c r="B196" s="9"/>
      <c r="C196" s="106"/>
      <c r="D196" s="9"/>
      <c r="E196" s="9"/>
      <c r="F196" s="54"/>
      <c r="G196" s="44"/>
      <c r="H196" s="44"/>
      <c r="I196" s="251"/>
      <c r="W196" s="133"/>
      <c r="X196" s="133"/>
      <c r="Y196" s="133"/>
      <c r="Z196" s="133"/>
      <c r="AA196" s="133"/>
      <c r="AB196" s="133"/>
      <c r="AC196" s="133"/>
      <c r="AD196" s="36"/>
      <c r="AF196" s="289" t="s">
        <v>638</v>
      </c>
      <c r="AG196" s="290">
        <v>29.1</v>
      </c>
      <c r="AH196" s="291">
        <v>14.2</v>
      </c>
      <c r="AI196" s="292">
        <v>0.485</v>
      </c>
      <c r="AJ196" s="291">
        <v>14.6</v>
      </c>
      <c r="AK196" s="292">
        <v>0.78</v>
      </c>
      <c r="AL196" s="294">
        <v>1.38</v>
      </c>
      <c r="AN196" s="49"/>
    </row>
    <row r="197" spans="1:41" ht="12.75">
      <c r="A197" s="78" t="s">
        <v>149</v>
      </c>
      <c r="B197" s="54"/>
      <c r="C197" s="115"/>
      <c r="D197" s="62"/>
      <c r="E197" s="54"/>
      <c r="F197" s="54"/>
      <c r="G197" s="44"/>
      <c r="H197" s="44"/>
      <c r="I197" s="251"/>
      <c r="W197" s="133"/>
      <c r="X197" s="133"/>
      <c r="Y197" s="133"/>
      <c r="Z197" s="133"/>
      <c r="AA197" s="133"/>
      <c r="AB197" s="132"/>
      <c r="AC197" s="133"/>
      <c r="AD197" s="36"/>
      <c r="AF197" s="289" t="s">
        <v>639</v>
      </c>
      <c r="AG197" s="290">
        <v>26.5</v>
      </c>
      <c r="AH197" s="291">
        <v>14</v>
      </c>
      <c r="AI197" s="292">
        <v>0.44</v>
      </c>
      <c r="AJ197" s="291">
        <v>14.5</v>
      </c>
      <c r="AK197" s="292">
        <v>0.71</v>
      </c>
      <c r="AL197" s="294">
        <v>1.31</v>
      </c>
      <c r="AN197" s="49"/>
      <c r="AO197" s="98"/>
    </row>
    <row r="198" spans="1:41" ht="12.75">
      <c r="A198" s="76" t="s">
        <v>150</v>
      </c>
      <c r="B198" s="162" t="str">
        <f>$N$150</f>
        <v>N.A.</v>
      </c>
      <c r="C198" s="107" t="s">
        <v>229</v>
      </c>
      <c r="D198" s="51" t="str">
        <f>$P$150</f>
        <v>Ldw = 2*((Nr-1)*S+2*ED)</v>
      </c>
      <c r="E198" s="54"/>
      <c r="F198" s="54"/>
      <c r="G198" s="44"/>
      <c r="H198" s="97"/>
      <c r="I198" s="251"/>
      <c r="W198" s="133"/>
      <c r="X198" s="133"/>
      <c r="Y198" s="133"/>
      <c r="Z198" s="133"/>
      <c r="AA198" s="133"/>
      <c r="AB198" s="133"/>
      <c r="AC198" s="133"/>
      <c r="AD198" s="36"/>
      <c r="AF198" s="289" t="s">
        <v>640</v>
      </c>
      <c r="AG198" s="290">
        <v>24</v>
      </c>
      <c r="AH198" s="291">
        <v>14.3</v>
      </c>
      <c r="AI198" s="292">
        <v>0.51</v>
      </c>
      <c r="AJ198" s="291">
        <v>10.1</v>
      </c>
      <c r="AK198" s="292">
        <v>0.855</v>
      </c>
      <c r="AL198" s="294">
        <v>1.45</v>
      </c>
      <c r="AN198" s="49"/>
      <c r="AO198" s="98"/>
    </row>
    <row r="199" spans="1:41" ht="12.75">
      <c r="A199" s="76" t="s">
        <v>139</v>
      </c>
      <c r="B199" s="168" t="str">
        <f>$N$151</f>
        <v>N.A.</v>
      </c>
      <c r="C199" s="107" t="s">
        <v>140</v>
      </c>
      <c r="D199" s="51" t="str">
        <f>$P$151</f>
        <v>fw = P/Ldw</v>
      </c>
      <c r="E199" s="54"/>
      <c r="F199" s="54"/>
      <c r="G199" s="9"/>
      <c r="H199" s="9"/>
      <c r="I199" s="251"/>
      <c r="V199" s="133"/>
      <c r="W199" s="133"/>
      <c r="X199" s="133"/>
      <c r="Y199" s="133"/>
      <c r="Z199" s="133"/>
      <c r="AA199" s="133"/>
      <c r="AB199" s="133"/>
      <c r="AC199" s="132"/>
      <c r="AD199" s="36"/>
      <c r="AF199" s="289" t="s">
        <v>641</v>
      </c>
      <c r="AG199" s="290">
        <v>21.8</v>
      </c>
      <c r="AH199" s="291">
        <v>14.2</v>
      </c>
      <c r="AI199" s="292">
        <v>0.45</v>
      </c>
      <c r="AJ199" s="291">
        <v>10.1</v>
      </c>
      <c r="AK199" s="292">
        <v>0.785</v>
      </c>
      <c r="AL199" s="294">
        <v>1.38</v>
      </c>
      <c r="AN199" s="49"/>
      <c r="AO199" s="98"/>
    </row>
    <row r="200" spans="1:41" ht="12.75">
      <c r="A200" s="80" t="s">
        <v>147</v>
      </c>
      <c r="B200" s="168" t="str">
        <f>$N$152</f>
        <v>N.A.</v>
      </c>
      <c r="C200" s="107" t="s">
        <v>280</v>
      </c>
      <c r="D200" s="81" t="s">
        <v>151</v>
      </c>
      <c r="E200" s="54"/>
      <c r="F200" s="44"/>
      <c r="G200" s="145"/>
      <c r="H200" s="145"/>
      <c r="I200" s="251"/>
      <c r="V200" s="133"/>
      <c r="W200" s="133"/>
      <c r="X200" s="133"/>
      <c r="Y200" s="133"/>
      <c r="Z200" s="133"/>
      <c r="AA200" s="133"/>
      <c r="AB200" s="133"/>
      <c r="AC200" s="133"/>
      <c r="AD200" s="36"/>
      <c r="AF200" s="289" t="s">
        <v>642</v>
      </c>
      <c r="AG200" s="290">
        <v>20</v>
      </c>
      <c r="AH200" s="291">
        <v>14</v>
      </c>
      <c r="AI200" s="292">
        <v>0.415</v>
      </c>
      <c r="AJ200" s="291">
        <v>10</v>
      </c>
      <c r="AK200" s="292">
        <v>0.72</v>
      </c>
      <c r="AL200" s="294">
        <v>1.31</v>
      </c>
      <c r="AN200" s="49"/>
      <c r="AO200" s="98"/>
    </row>
    <row r="201" spans="1:41" ht="12.75">
      <c r="A201" s="80" t="s">
        <v>225</v>
      </c>
      <c r="B201" s="172" t="str">
        <f>$N$153</f>
        <v>N.A.</v>
      </c>
      <c r="C201" s="107" t="s">
        <v>280</v>
      </c>
      <c r="D201" s="81" t="s">
        <v>225</v>
      </c>
      <c r="E201" s="51" t="str">
        <f>$Q$153</f>
        <v>0.40*Fyd*td/((SQRT(2)/2)*0.30*70)</v>
      </c>
      <c r="F201" s="145"/>
      <c r="G201" s="9"/>
      <c r="H201" s="9"/>
      <c r="I201" s="251"/>
      <c r="V201" s="132"/>
      <c r="W201" s="133"/>
      <c r="X201" s="132"/>
      <c r="Y201" s="133"/>
      <c r="Z201" s="133"/>
      <c r="AA201" s="133"/>
      <c r="AB201" s="133"/>
      <c r="AC201" s="133"/>
      <c r="AD201" s="36"/>
      <c r="AF201" s="289" t="s">
        <v>643</v>
      </c>
      <c r="AG201" s="290">
        <v>17.9</v>
      </c>
      <c r="AH201" s="291">
        <v>13.9</v>
      </c>
      <c r="AI201" s="292">
        <v>0.375</v>
      </c>
      <c r="AJ201" s="291">
        <v>10</v>
      </c>
      <c r="AK201" s="292">
        <v>0.645</v>
      </c>
      <c r="AL201" s="294">
        <v>1.24</v>
      </c>
      <c r="AO201" s="98"/>
    </row>
    <row r="202" spans="1:41" ht="12.75">
      <c r="A202" s="80"/>
      <c r="B202" s="46"/>
      <c r="C202" s="107"/>
      <c r="D202" s="81"/>
      <c r="E202" s="51"/>
      <c r="F202" s="54"/>
      <c r="G202" s="58"/>
      <c r="H202" s="9"/>
      <c r="I202" s="251">
        <f>IF($D$17&gt;0,IF($D$39="Yes",IF($D$37&gt;0,IF($B$200&lt;=$B$201,"Weld size &lt;= weld max., O.K.","Weld size &gt; weld max."),""),""),"")</f>
      </c>
      <c r="V202" s="132"/>
      <c r="W202" s="133"/>
      <c r="X202" s="133"/>
      <c r="Y202" s="132"/>
      <c r="Z202" s="133"/>
      <c r="AA202" s="133"/>
      <c r="AB202" s="133"/>
      <c r="AC202" s="133"/>
      <c r="AD202" s="36"/>
      <c r="AF202" s="289" t="s">
        <v>644</v>
      </c>
      <c r="AG202" s="290">
        <v>15.6</v>
      </c>
      <c r="AH202" s="291">
        <v>13.9</v>
      </c>
      <c r="AI202" s="292">
        <v>0.37</v>
      </c>
      <c r="AJ202" s="293">
        <v>8.06</v>
      </c>
      <c r="AK202" s="292">
        <v>0.66</v>
      </c>
      <c r="AL202" s="294">
        <v>1.25</v>
      </c>
      <c r="AN202" s="49" t="str">
        <f>IF(AO202="","N.A.","SR =")</f>
        <v>N.A.</v>
      </c>
      <c r="AO202" s="98">
        <f>IF($D$17&gt;0,IF($D$39="Yes",IF($D$37&gt;0,$B$200/$B$201,""),""),"")</f>
      </c>
    </row>
    <row r="203" spans="1:41" ht="12.75">
      <c r="A203" s="143"/>
      <c r="B203" s="77"/>
      <c r="C203" s="146"/>
      <c r="D203" s="77"/>
      <c r="E203" s="77"/>
      <c r="F203" s="77"/>
      <c r="G203" s="77"/>
      <c r="H203" s="20"/>
      <c r="I203" s="122"/>
      <c r="V203" s="133"/>
      <c r="W203" s="133"/>
      <c r="X203" s="133"/>
      <c r="Y203" s="133"/>
      <c r="Z203" s="132"/>
      <c r="AA203" s="133"/>
      <c r="AB203" s="133"/>
      <c r="AC203" s="133"/>
      <c r="AD203" s="36"/>
      <c r="AF203" s="289" t="s">
        <v>645</v>
      </c>
      <c r="AG203" s="290">
        <v>14.1</v>
      </c>
      <c r="AH203" s="291">
        <v>13.8</v>
      </c>
      <c r="AI203" s="292">
        <v>0.34</v>
      </c>
      <c r="AJ203" s="293">
        <v>8.03</v>
      </c>
      <c r="AK203" s="292">
        <v>0.595</v>
      </c>
      <c r="AL203" s="294">
        <v>1.19</v>
      </c>
      <c r="AO203" s="98"/>
    </row>
    <row r="204" spans="22:41" ht="12.75">
      <c r="V204" s="133"/>
      <c r="W204" s="133"/>
      <c r="X204" s="133"/>
      <c r="Y204" s="133"/>
      <c r="Z204" s="133"/>
      <c r="AA204" s="132"/>
      <c r="AB204" s="133"/>
      <c r="AC204" s="133"/>
      <c r="AD204" s="36"/>
      <c r="AF204" s="289" t="s">
        <v>646</v>
      </c>
      <c r="AG204" s="290">
        <v>12.6</v>
      </c>
      <c r="AH204" s="291">
        <v>13.7</v>
      </c>
      <c r="AI204" s="292">
        <v>0.305</v>
      </c>
      <c r="AJ204" s="293">
        <v>8</v>
      </c>
      <c r="AK204" s="292">
        <v>0.53</v>
      </c>
      <c r="AL204" s="294">
        <v>1.12</v>
      </c>
      <c r="AN204" s="49"/>
      <c r="AO204" s="98"/>
    </row>
    <row r="205" spans="22:41" ht="12.75">
      <c r="V205" s="133"/>
      <c r="W205" s="133"/>
      <c r="X205" s="133"/>
      <c r="Y205" s="133"/>
      <c r="Z205" s="133"/>
      <c r="AA205" s="133"/>
      <c r="AB205" s="133"/>
      <c r="AC205" s="133"/>
      <c r="AD205" s="36"/>
      <c r="AF205" s="289" t="s">
        <v>647</v>
      </c>
      <c r="AG205" s="290">
        <v>11.2</v>
      </c>
      <c r="AH205" s="291">
        <v>14.1</v>
      </c>
      <c r="AI205" s="292">
        <v>0.31</v>
      </c>
      <c r="AJ205" s="293">
        <v>6.77</v>
      </c>
      <c r="AK205" s="292">
        <v>0.515</v>
      </c>
      <c r="AL205" s="296">
        <v>0.915</v>
      </c>
      <c r="AO205" s="98"/>
    </row>
    <row r="206" spans="22:41" ht="12.75">
      <c r="V206" s="138"/>
      <c r="W206" s="138"/>
      <c r="X206" s="138"/>
      <c r="Y206" s="138"/>
      <c r="Z206" s="138"/>
      <c r="AA206" s="138"/>
      <c r="AB206" s="138"/>
      <c r="AC206" s="138"/>
      <c r="AD206" s="36"/>
      <c r="AF206" s="289" t="s">
        <v>648</v>
      </c>
      <c r="AG206" s="290">
        <v>10</v>
      </c>
      <c r="AH206" s="291">
        <v>14</v>
      </c>
      <c r="AI206" s="292">
        <v>0.285</v>
      </c>
      <c r="AJ206" s="293">
        <v>6.75</v>
      </c>
      <c r="AK206" s="292">
        <v>0.455</v>
      </c>
      <c r="AL206" s="296">
        <v>0.855</v>
      </c>
      <c r="AO206" s="98"/>
    </row>
    <row r="207" spans="22:41" ht="12.75">
      <c r="V207" s="36"/>
      <c r="W207" s="36"/>
      <c r="X207" s="36"/>
      <c r="Y207" s="36"/>
      <c r="Z207" s="36"/>
      <c r="AA207" s="36"/>
      <c r="AB207" s="36"/>
      <c r="AC207" s="36"/>
      <c r="AD207" s="36"/>
      <c r="AF207" s="289" t="s">
        <v>649</v>
      </c>
      <c r="AG207" s="297">
        <v>8.85</v>
      </c>
      <c r="AH207" s="291">
        <v>13.8</v>
      </c>
      <c r="AI207" s="292">
        <v>0.27</v>
      </c>
      <c r="AJ207" s="293">
        <v>6.73</v>
      </c>
      <c r="AK207" s="292">
        <v>0.385</v>
      </c>
      <c r="AL207" s="296">
        <v>0.785</v>
      </c>
      <c r="AO207" s="98"/>
    </row>
    <row r="208" spans="22:41" ht="12.75">
      <c r="V208" s="112"/>
      <c r="W208" s="112"/>
      <c r="X208" s="112"/>
      <c r="Y208" s="112"/>
      <c r="Z208" s="112"/>
      <c r="AA208" s="112"/>
      <c r="AB208" s="112"/>
      <c r="AC208" s="112"/>
      <c r="AD208" s="36"/>
      <c r="AF208" s="289" t="s">
        <v>650</v>
      </c>
      <c r="AG208" s="297">
        <v>7.69</v>
      </c>
      <c r="AH208" s="291">
        <v>13.9</v>
      </c>
      <c r="AI208" s="292">
        <v>0.255</v>
      </c>
      <c r="AJ208" s="293">
        <v>5.03</v>
      </c>
      <c r="AK208" s="292">
        <v>0.42</v>
      </c>
      <c r="AL208" s="296">
        <v>0.82</v>
      </c>
      <c r="AO208" s="98"/>
    </row>
    <row r="209" spans="22:41" ht="12.75">
      <c r="V209" s="112"/>
      <c r="W209" s="112"/>
      <c r="X209" s="112"/>
      <c r="Y209" s="362"/>
      <c r="Z209" s="112"/>
      <c r="AA209" s="112"/>
      <c r="AB209" s="362"/>
      <c r="AC209" s="112"/>
      <c r="AD209" s="36"/>
      <c r="AF209" s="289" t="s">
        <v>651</v>
      </c>
      <c r="AG209" s="297">
        <v>6.49</v>
      </c>
      <c r="AH209" s="291">
        <v>13.7</v>
      </c>
      <c r="AI209" s="292">
        <v>0.23</v>
      </c>
      <c r="AJ209" s="293">
        <v>5</v>
      </c>
      <c r="AK209" s="292">
        <v>0.335</v>
      </c>
      <c r="AL209" s="296">
        <v>0.735</v>
      </c>
      <c r="AO209" s="98"/>
    </row>
    <row r="210" spans="22:38" ht="12.75">
      <c r="V210" s="139"/>
      <c r="W210" s="139"/>
      <c r="X210" s="139"/>
      <c r="Y210" s="139"/>
      <c r="Z210" s="139"/>
      <c r="AA210" s="139"/>
      <c r="AB210" s="139"/>
      <c r="AC210" s="139"/>
      <c r="AD210" s="36"/>
      <c r="AF210" s="289" t="s">
        <v>652</v>
      </c>
      <c r="AG210" s="290">
        <v>98.8</v>
      </c>
      <c r="AH210" s="291">
        <v>16.8</v>
      </c>
      <c r="AI210" s="293">
        <v>1.78</v>
      </c>
      <c r="AJ210" s="291">
        <v>13.4</v>
      </c>
      <c r="AK210" s="293">
        <v>2.96</v>
      </c>
      <c r="AL210" s="294">
        <v>3.55</v>
      </c>
    </row>
    <row r="211" spans="1:41" ht="12.75">
      <c r="A211" s="9"/>
      <c r="B211" s="9"/>
      <c r="C211" s="9"/>
      <c r="D211" s="9"/>
      <c r="E211" s="9"/>
      <c r="F211" s="9"/>
      <c r="G211" s="9"/>
      <c r="H211" s="9"/>
      <c r="I211" s="9"/>
      <c r="V211" s="133"/>
      <c r="W211" s="133"/>
      <c r="X211" s="132"/>
      <c r="Y211" s="133"/>
      <c r="Z211" s="133"/>
      <c r="AA211" s="133"/>
      <c r="AB211" s="133"/>
      <c r="AC211" s="133"/>
      <c r="AD211" s="36"/>
      <c r="AF211" s="289" t="s">
        <v>653</v>
      </c>
      <c r="AG211" s="290">
        <v>89.6</v>
      </c>
      <c r="AH211" s="291">
        <v>16.3</v>
      </c>
      <c r="AI211" s="293">
        <v>1.63</v>
      </c>
      <c r="AJ211" s="291">
        <v>13.2</v>
      </c>
      <c r="AK211" s="293">
        <v>2.71</v>
      </c>
      <c r="AL211" s="294">
        <v>3.3</v>
      </c>
      <c r="AN211" s="49"/>
      <c r="AO211" s="98"/>
    </row>
    <row r="212" spans="1:38" ht="12.75">
      <c r="A212" s="9"/>
      <c r="B212" s="9"/>
      <c r="C212" s="9"/>
      <c r="D212" s="9"/>
      <c r="E212" s="9"/>
      <c r="F212" s="9"/>
      <c r="G212" s="9"/>
      <c r="H212" s="9"/>
      <c r="I212" s="9"/>
      <c r="V212" s="133"/>
      <c r="W212" s="133"/>
      <c r="X212" s="133"/>
      <c r="Y212" s="133"/>
      <c r="Z212" s="133"/>
      <c r="AA212" s="133"/>
      <c r="AB212" s="133"/>
      <c r="AC212" s="133"/>
      <c r="AD212" s="36"/>
      <c r="AF212" s="289" t="s">
        <v>654</v>
      </c>
      <c r="AG212" s="290">
        <v>81.9</v>
      </c>
      <c r="AH212" s="291">
        <v>15.9</v>
      </c>
      <c r="AI212" s="293">
        <v>1.53</v>
      </c>
      <c r="AJ212" s="291">
        <v>13.1</v>
      </c>
      <c r="AK212" s="293">
        <v>2.47</v>
      </c>
      <c r="AL212" s="294">
        <v>3.07</v>
      </c>
    </row>
    <row r="213" spans="1:38" ht="12.75">
      <c r="A213" s="9"/>
      <c r="B213" s="9"/>
      <c r="C213" s="9"/>
      <c r="D213" s="9"/>
      <c r="E213" s="9"/>
      <c r="F213" s="9"/>
      <c r="G213" s="9"/>
      <c r="H213" s="9"/>
      <c r="I213" s="9"/>
      <c r="V213" s="133"/>
      <c r="W213" s="132"/>
      <c r="X213" s="133"/>
      <c r="Y213" s="133"/>
      <c r="Z213" s="133"/>
      <c r="AA213" s="133"/>
      <c r="AB213" s="133"/>
      <c r="AC213" s="133"/>
      <c r="AD213" s="36"/>
      <c r="AF213" s="289" t="s">
        <v>655</v>
      </c>
      <c r="AG213" s="290">
        <v>74</v>
      </c>
      <c r="AH213" s="291">
        <v>15.4</v>
      </c>
      <c r="AI213" s="293">
        <v>1.4</v>
      </c>
      <c r="AJ213" s="291">
        <v>13</v>
      </c>
      <c r="AK213" s="293">
        <v>2.25</v>
      </c>
      <c r="AL213" s="294">
        <v>2.85</v>
      </c>
    </row>
    <row r="214" spans="1:38" ht="12.75">
      <c r="A214" s="9"/>
      <c r="B214" s="9"/>
      <c r="C214" s="9"/>
      <c r="D214" s="9"/>
      <c r="E214" s="9"/>
      <c r="F214" s="9"/>
      <c r="G214" s="9"/>
      <c r="H214" s="9"/>
      <c r="I214" s="9"/>
      <c r="V214" s="133"/>
      <c r="W214" s="133"/>
      <c r="X214" s="133"/>
      <c r="Y214" s="133"/>
      <c r="Z214" s="133"/>
      <c r="AA214" s="133"/>
      <c r="AB214" s="133"/>
      <c r="AC214" s="365"/>
      <c r="AD214" s="36"/>
      <c r="AF214" s="289" t="s">
        <v>656</v>
      </c>
      <c r="AG214" s="290">
        <v>67.7</v>
      </c>
      <c r="AH214" s="291">
        <v>15.1</v>
      </c>
      <c r="AI214" s="293">
        <v>1.29</v>
      </c>
      <c r="AJ214" s="291">
        <v>12.9</v>
      </c>
      <c r="AK214" s="293">
        <v>2.07</v>
      </c>
      <c r="AL214" s="294">
        <v>2.67</v>
      </c>
    </row>
    <row r="215" spans="1:38" ht="12.75">
      <c r="A215" s="9"/>
      <c r="B215" s="9"/>
      <c r="C215" s="9"/>
      <c r="D215" s="9"/>
      <c r="E215" s="9"/>
      <c r="F215" s="9"/>
      <c r="G215" s="9"/>
      <c r="H215" s="9"/>
      <c r="I215" s="9"/>
      <c r="V215" s="133"/>
      <c r="W215" s="133"/>
      <c r="X215" s="133"/>
      <c r="Y215" s="133"/>
      <c r="Z215" s="133"/>
      <c r="AA215" s="133"/>
      <c r="AB215" s="133"/>
      <c r="AC215" s="133"/>
      <c r="AD215" s="36"/>
      <c r="AF215" s="289" t="s">
        <v>657</v>
      </c>
      <c r="AG215" s="290">
        <v>61.8</v>
      </c>
      <c r="AH215" s="291">
        <v>14.7</v>
      </c>
      <c r="AI215" s="293">
        <v>1.18</v>
      </c>
      <c r="AJ215" s="291">
        <v>12.8</v>
      </c>
      <c r="AK215" s="293">
        <v>1.9</v>
      </c>
      <c r="AL215" s="294">
        <v>2.5</v>
      </c>
    </row>
    <row r="216" spans="1:38" ht="12.75">
      <c r="A216" s="9"/>
      <c r="B216" s="9"/>
      <c r="C216" s="9"/>
      <c r="D216" s="9"/>
      <c r="E216" s="9"/>
      <c r="F216" s="9"/>
      <c r="G216" s="9"/>
      <c r="H216" s="9"/>
      <c r="I216" s="9"/>
      <c r="V216" s="133"/>
      <c r="W216" s="133"/>
      <c r="X216" s="133"/>
      <c r="Y216" s="133"/>
      <c r="Z216" s="132"/>
      <c r="AA216" s="132"/>
      <c r="AB216" s="365"/>
      <c r="AC216" s="365"/>
      <c r="AD216" s="36"/>
      <c r="AF216" s="289" t="s">
        <v>658</v>
      </c>
      <c r="AG216" s="290">
        <v>55.8</v>
      </c>
      <c r="AH216" s="291">
        <v>14.4</v>
      </c>
      <c r="AI216" s="293">
        <v>1.06</v>
      </c>
      <c r="AJ216" s="291">
        <v>12.7</v>
      </c>
      <c r="AK216" s="293">
        <v>1.74</v>
      </c>
      <c r="AL216" s="294">
        <v>2.33</v>
      </c>
    </row>
    <row r="217" spans="1:38" ht="12.75">
      <c r="A217" s="9"/>
      <c r="B217" s="75"/>
      <c r="C217" s="107"/>
      <c r="D217" s="54"/>
      <c r="E217" s="9"/>
      <c r="F217" s="9"/>
      <c r="G217" s="9"/>
      <c r="H217" s="87"/>
      <c r="I217" s="59"/>
      <c r="V217" s="132"/>
      <c r="W217" s="133"/>
      <c r="X217" s="133"/>
      <c r="Y217" s="132"/>
      <c r="Z217" s="133"/>
      <c r="AA217" s="133"/>
      <c r="AB217" s="133"/>
      <c r="AC217" s="133"/>
      <c r="AD217" s="36"/>
      <c r="AF217" s="289" t="s">
        <v>659</v>
      </c>
      <c r="AG217" s="290">
        <v>50</v>
      </c>
      <c r="AH217" s="291">
        <v>14</v>
      </c>
      <c r="AI217" s="292">
        <v>0.96</v>
      </c>
      <c r="AJ217" s="291">
        <v>12.6</v>
      </c>
      <c r="AK217" s="293">
        <v>1.56</v>
      </c>
      <c r="AL217" s="294">
        <v>2.16</v>
      </c>
    </row>
    <row r="218" spans="1:38" ht="12.75">
      <c r="A218" s="9"/>
      <c r="B218" s="9"/>
      <c r="C218" s="9"/>
      <c r="D218" s="9"/>
      <c r="E218" s="9"/>
      <c r="F218" s="9"/>
      <c r="G218" s="9"/>
      <c r="H218" s="9"/>
      <c r="I218" s="9"/>
      <c r="V218" s="132"/>
      <c r="W218" s="132"/>
      <c r="X218" s="133"/>
      <c r="Y218" s="133"/>
      <c r="Z218" s="133"/>
      <c r="AA218" s="133"/>
      <c r="AB218" s="132"/>
      <c r="AC218" s="133"/>
      <c r="AD218" s="36"/>
      <c r="AF218" s="289" t="s">
        <v>660</v>
      </c>
      <c r="AG218" s="290">
        <v>44.7</v>
      </c>
      <c r="AH218" s="291">
        <v>13.7</v>
      </c>
      <c r="AI218" s="292">
        <v>0.87</v>
      </c>
      <c r="AJ218" s="291">
        <v>12.5</v>
      </c>
      <c r="AK218" s="293">
        <v>1.4</v>
      </c>
      <c r="AL218" s="294">
        <v>2</v>
      </c>
    </row>
    <row r="219" spans="1:38" ht="12.75">
      <c r="A219" s="9"/>
      <c r="B219" s="9"/>
      <c r="C219" s="9"/>
      <c r="D219" s="9"/>
      <c r="E219" s="9"/>
      <c r="F219" s="9"/>
      <c r="G219" s="9"/>
      <c r="H219" s="9"/>
      <c r="I219" s="9"/>
      <c r="V219" s="133"/>
      <c r="W219" s="133"/>
      <c r="X219" s="133"/>
      <c r="Y219" s="133"/>
      <c r="Z219" s="133"/>
      <c r="AA219" s="133"/>
      <c r="AB219" s="133"/>
      <c r="AC219" s="133"/>
      <c r="AD219" s="36"/>
      <c r="AF219" s="289" t="s">
        <v>661</v>
      </c>
      <c r="AG219" s="290">
        <v>39.9</v>
      </c>
      <c r="AH219" s="291">
        <v>13.4</v>
      </c>
      <c r="AI219" s="292">
        <v>0.79</v>
      </c>
      <c r="AJ219" s="291">
        <v>12.4</v>
      </c>
      <c r="AK219" s="293">
        <v>1.25</v>
      </c>
      <c r="AL219" s="294">
        <v>1.85</v>
      </c>
    </row>
    <row r="220" spans="1:38" ht="12.75">
      <c r="A220" s="9"/>
      <c r="B220" s="9"/>
      <c r="C220" s="9"/>
      <c r="D220" s="9"/>
      <c r="E220" s="9"/>
      <c r="F220" s="9"/>
      <c r="G220" s="9"/>
      <c r="H220" s="9"/>
      <c r="I220" s="9"/>
      <c r="V220" s="132"/>
      <c r="W220" s="133"/>
      <c r="X220" s="133"/>
      <c r="Y220" s="133"/>
      <c r="Z220" s="133"/>
      <c r="AA220" s="133"/>
      <c r="AB220" s="133"/>
      <c r="AC220" s="133"/>
      <c r="AD220" s="36"/>
      <c r="AF220" s="289" t="s">
        <v>662</v>
      </c>
      <c r="AG220" s="290">
        <v>35.3</v>
      </c>
      <c r="AH220" s="291">
        <v>13.1</v>
      </c>
      <c r="AI220" s="292">
        <v>0.71</v>
      </c>
      <c r="AJ220" s="291">
        <v>12.3</v>
      </c>
      <c r="AK220" s="293">
        <v>1.11</v>
      </c>
      <c r="AL220" s="294">
        <v>1.7</v>
      </c>
    </row>
    <row r="221" spans="1:38" ht="12.75">
      <c r="A221" s="9"/>
      <c r="B221" s="9"/>
      <c r="C221" s="9"/>
      <c r="D221" s="9"/>
      <c r="E221" s="9"/>
      <c r="F221" s="9"/>
      <c r="G221" s="9"/>
      <c r="H221" s="9"/>
      <c r="I221" s="9"/>
      <c r="V221" s="132"/>
      <c r="W221" s="133"/>
      <c r="X221" s="133"/>
      <c r="Y221" s="133"/>
      <c r="Z221" s="133"/>
      <c r="AA221" s="133"/>
      <c r="AB221" s="133"/>
      <c r="AC221" s="132"/>
      <c r="AD221" s="36"/>
      <c r="AF221" s="289" t="s">
        <v>663</v>
      </c>
      <c r="AG221" s="290">
        <v>31.2</v>
      </c>
      <c r="AH221" s="291">
        <v>12.9</v>
      </c>
      <c r="AI221" s="292">
        <v>0.61</v>
      </c>
      <c r="AJ221" s="291">
        <v>12.2</v>
      </c>
      <c r="AK221" s="292">
        <v>0.99</v>
      </c>
      <c r="AL221" s="294">
        <v>1.59</v>
      </c>
    </row>
    <row r="222" spans="1:38" ht="12.75">
      <c r="A222" s="9"/>
      <c r="B222" s="9"/>
      <c r="C222" s="9"/>
      <c r="D222" s="9"/>
      <c r="E222" s="9"/>
      <c r="F222" s="9"/>
      <c r="G222" s="9"/>
      <c r="H222" s="9"/>
      <c r="I222" s="9"/>
      <c r="V222" s="133"/>
      <c r="W222" s="133"/>
      <c r="X222" s="133"/>
      <c r="Y222" s="133"/>
      <c r="Z222" s="133"/>
      <c r="AA222" s="132"/>
      <c r="AB222" s="133"/>
      <c r="AC222" s="132"/>
      <c r="AD222" s="36"/>
      <c r="AF222" s="289" t="s">
        <v>664</v>
      </c>
      <c r="AG222" s="290">
        <v>28.2</v>
      </c>
      <c r="AH222" s="291">
        <v>12.7</v>
      </c>
      <c r="AI222" s="292">
        <v>0.55</v>
      </c>
      <c r="AJ222" s="291">
        <v>12.2</v>
      </c>
      <c r="AK222" s="292">
        <v>0.9</v>
      </c>
      <c r="AL222" s="294">
        <v>1.5</v>
      </c>
    </row>
    <row r="223" spans="1:38" ht="12.75">
      <c r="A223" s="9"/>
      <c r="B223" s="9"/>
      <c r="C223" s="9"/>
      <c r="D223" s="9"/>
      <c r="E223" s="9"/>
      <c r="F223" s="9"/>
      <c r="G223" s="9"/>
      <c r="H223" s="9"/>
      <c r="I223" s="9"/>
      <c r="V223" s="133"/>
      <c r="W223" s="133"/>
      <c r="X223" s="133"/>
      <c r="Y223" s="133"/>
      <c r="Z223" s="133"/>
      <c r="AA223" s="133"/>
      <c r="AB223" s="133"/>
      <c r="AC223" s="133"/>
      <c r="AD223" s="36"/>
      <c r="AF223" s="289" t="s">
        <v>665</v>
      </c>
      <c r="AG223" s="290">
        <v>25.6</v>
      </c>
      <c r="AH223" s="291">
        <v>12.5</v>
      </c>
      <c r="AI223" s="292">
        <v>0.515</v>
      </c>
      <c r="AJ223" s="291">
        <v>12.1</v>
      </c>
      <c r="AK223" s="292">
        <v>0.81</v>
      </c>
      <c r="AL223" s="294">
        <v>1.41</v>
      </c>
    </row>
    <row r="224" spans="1:38" ht="12.75">
      <c r="A224" s="9"/>
      <c r="B224" s="9"/>
      <c r="C224" s="9"/>
      <c r="D224" s="9"/>
      <c r="E224" s="9"/>
      <c r="F224" s="9"/>
      <c r="G224" s="9"/>
      <c r="H224" s="9"/>
      <c r="I224" s="9"/>
      <c r="V224" s="133"/>
      <c r="W224" s="133"/>
      <c r="X224" s="133"/>
      <c r="Y224" s="133"/>
      <c r="Z224" s="133"/>
      <c r="AA224" s="133"/>
      <c r="AB224" s="133"/>
      <c r="AC224" s="133"/>
      <c r="AD224" s="36"/>
      <c r="AF224" s="289" t="s">
        <v>666</v>
      </c>
      <c r="AG224" s="290">
        <v>23.2</v>
      </c>
      <c r="AH224" s="291">
        <v>12.4</v>
      </c>
      <c r="AI224" s="292">
        <v>0.47</v>
      </c>
      <c r="AJ224" s="291">
        <v>12.1</v>
      </c>
      <c r="AK224" s="292">
        <v>0.735</v>
      </c>
      <c r="AL224" s="294">
        <v>1.33</v>
      </c>
    </row>
    <row r="225" spans="1:38" ht="12.75">
      <c r="A225" s="9"/>
      <c r="B225" s="9"/>
      <c r="C225" s="9"/>
      <c r="D225" s="9"/>
      <c r="E225" s="9"/>
      <c r="F225" s="9"/>
      <c r="G225" s="9"/>
      <c r="H225" s="9"/>
      <c r="I225" s="9"/>
      <c r="V225" s="133"/>
      <c r="W225" s="133"/>
      <c r="X225" s="133"/>
      <c r="Y225" s="133"/>
      <c r="Z225" s="133"/>
      <c r="AA225" s="133"/>
      <c r="AB225" s="132"/>
      <c r="AC225" s="133"/>
      <c r="AD225" s="36"/>
      <c r="AF225" s="289" t="s">
        <v>667</v>
      </c>
      <c r="AG225" s="290">
        <v>21.1</v>
      </c>
      <c r="AH225" s="291">
        <v>12.3</v>
      </c>
      <c r="AI225" s="292">
        <v>0.43</v>
      </c>
      <c r="AJ225" s="291">
        <v>12</v>
      </c>
      <c r="AK225" s="292">
        <v>0.67</v>
      </c>
      <c r="AL225" s="294">
        <v>1.27</v>
      </c>
    </row>
    <row r="226" spans="1:38" ht="12.75">
      <c r="A226" s="9"/>
      <c r="B226" s="9"/>
      <c r="C226" s="9"/>
      <c r="D226" s="9"/>
      <c r="E226" s="9"/>
      <c r="F226" s="9"/>
      <c r="G226" s="9"/>
      <c r="H226" s="9"/>
      <c r="I226" s="9"/>
      <c r="V226" s="133"/>
      <c r="W226" s="133"/>
      <c r="X226" s="133"/>
      <c r="Y226" s="133"/>
      <c r="Z226" s="133"/>
      <c r="AA226" s="133"/>
      <c r="AB226" s="133"/>
      <c r="AC226" s="133"/>
      <c r="AD226" s="36"/>
      <c r="AF226" s="289" t="s">
        <v>668</v>
      </c>
      <c r="AG226" s="290">
        <v>19.1</v>
      </c>
      <c r="AH226" s="291">
        <v>12.1</v>
      </c>
      <c r="AI226" s="292">
        <v>0.39</v>
      </c>
      <c r="AJ226" s="291">
        <v>12</v>
      </c>
      <c r="AK226" s="292">
        <v>0.605</v>
      </c>
      <c r="AL226" s="294">
        <v>1.2</v>
      </c>
    </row>
    <row r="227" spans="1:38" ht="12.75">
      <c r="A227" s="9"/>
      <c r="B227" s="9"/>
      <c r="C227" s="9"/>
      <c r="D227" s="9"/>
      <c r="E227" s="9"/>
      <c r="F227" s="9"/>
      <c r="G227" s="9"/>
      <c r="H227" s="9"/>
      <c r="I227" s="9"/>
      <c r="V227" s="133"/>
      <c r="W227" s="133"/>
      <c r="X227" s="133"/>
      <c r="Y227" s="133"/>
      <c r="Z227" s="133"/>
      <c r="AA227" s="133"/>
      <c r="AB227" s="133"/>
      <c r="AC227" s="132"/>
      <c r="AD227" s="36"/>
      <c r="AF227" s="289" t="s">
        <v>669</v>
      </c>
      <c r="AG227" s="290">
        <v>17</v>
      </c>
      <c r="AH227" s="291">
        <v>12.2</v>
      </c>
      <c r="AI227" s="292">
        <v>0.36</v>
      </c>
      <c r="AJ227" s="291">
        <v>10</v>
      </c>
      <c r="AK227" s="292">
        <v>0.64</v>
      </c>
      <c r="AL227" s="294">
        <v>1.24</v>
      </c>
    </row>
    <row r="228" spans="1:38" ht="12.75">
      <c r="A228" s="9"/>
      <c r="B228" s="9"/>
      <c r="C228" s="9"/>
      <c r="D228" s="9"/>
      <c r="E228" s="9"/>
      <c r="F228" s="9"/>
      <c r="G228" s="9"/>
      <c r="H228" s="9"/>
      <c r="I228" s="9"/>
      <c r="V228" s="133"/>
      <c r="W228" s="133"/>
      <c r="X228" s="133"/>
      <c r="Y228" s="133"/>
      <c r="Z228" s="133"/>
      <c r="AA228" s="133"/>
      <c r="AB228" s="133"/>
      <c r="AC228" s="133"/>
      <c r="AD228" s="36"/>
      <c r="AF228" s="289" t="s">
        <v>670</v>
      </c>
      <c r="AG228" s="290">
        <v>15.6</v>
      </c>
      <c r="AH228" s="291">
        <v>12.1</v>
      </c>
      <c r="AI228" s="292">
        <v>0.345</v>
      </c>
      <c r="AJ228" s="291">
        <v>10</v>
      </c>
      <c r="AK228" s="292">
        <v>0.575</v>
      </c>
      <c r="AL228" s="294">
        <v>1.18</v>
      </c>
    </row>
    <row r="229" spans="1:38" ht="12.75">
      <c r="A229" s="9"/>
      <c r="B229" s="9"/>
      <c r="C229" s="9"/>
      <c r="D229" s="9"/>
      <c r="E229" s="9"/>
      <c r="F229" s="9"/>
      <c r="G229" s="9"/>
      <c r="H229" s="9"/>
      <c r="I229" s="9"/>
      <c r="V229" s="132"/>
      <c r="W229" s="133"/>
      <c r="X229" s="132"/>
      <c r="Y229" s="133"/>
      <c r="Z229" s="133"/>
      <c r="AA229" s="133"/>
      <c r="AB229" s="133"/>
      <c r="AC229" s="133"/>
      <c r="AD229" s="36"/>
      <c r="AF229" s="289" t="s">
        <v>671</v>
      </c>
      <c r="AG229" s="290">
        <v>14.6</v>
      </c>
      <c r="AH229" s="291">
        <v>12.2</v>
      </c>
      <c r="AI229" s="292">
        <v>0.37</v>
      </c>
      <c r="AJ229" s="293">
        <v>8.08</v>
      </c>
      <c r="AK229" s="292">
        <v>0.64</v>
      </c>
      <c r="AL229" s="294">
        <v>1.14</v>
      </c>
    </row>
    <row r="230" spans="1:38" ht="12.75">
      <c r="A230" s="9"/>
      <c r="B230" s="9"/>
      <c r="C230" s="9"/>
      <c r="D230" s="9"/>
      <c r="E230" s="9"/>
      <c r="F230" s="9"/>
      <c r="G230" s="9"/>
      <c r="H230" s="9"/>
      <c r="I230" s="9"/>
      <c r="V230" s="132"/>
      <c r="W230" s="133"/>
      <c r="X230" s="133"/>
      <c r="Y230" s="132"/>
      <c r="Z230" s="133"/>
      <c r="AA230" s="133"/>
      <c r="AB230" s="133"/>
      <c r="AC230" s="133"/>
      <c r="AD230" s="36"/>
      <c r="AF230" s="289" t="s">
        <v>672</v>
      </c>
      <c r="AG230" s="290">
        <v>13.1</v>
      </c>
      <c r="AH230" s="291">
        <v>12.1</v>
      </c>
      <c r="AI230" s="292">
        <v>0.335</v>
      </c>
      <c r="AJ230" s="293">
        <v>8.05</v>
      </c>
      <c r="AK230" s="292">
        <v>0.575</v>
      </c>
      <c r="AL230" s="294">
        <v>1.08</v>
      </c>
    </row>
    <row r="231" spans="1:38" ht="12.75">
      <c r="A231" s="9"/>
      <c r="B231" s="9"/>
      <c r="C231" s="9"/>
      <c r="D231" s="9"/>
      <c r="E231" s="9"/>
      <c r="F231" s="9"/>
      <c r="G231" s="9"/>
      <c r="H231" s="9"/>
      <c r="I231" s="9"/>
      <c r="V231" s="133"/>
      <c r="W231" s="133"/>
      <c r="X231" s="133"/>
      <c r="Y231" s="133"/>
      <c r="Z231" s="132"/>
      <c r="AA231" s="133"/>
      <c r="AB231" s="133"/>
      <c r="AC231" s="133"/>
      <c r="AD231" s="36"/>
      <c r="AF231" s="289" t="s">
        <v>673</v>
      </c>
      <c r="AG231" s="290">
        <v>11.7</v>
      </c>
      <c r="AH231" s="291">
        <v>11.9</v>
      </c>
      <c r="AI231" s="292">
        <v>0.295</v>
      </c>
      <c r="AJ231" s="293">
        <v>8.01</v>
      </c>
      <c r="AK231" s="292">
        <v>0.515</v>
      </c>
      <c r="AL231" s="294">
        <v>1.02</v>
      </c>
    </row>
    <row r="232" spans="1:38" ht="12.75">
      <c r="A232" s="9"/>
      <c r="B232" s="9"/>
      <c r="C232" s="9"/>
      <c r="D232" s="9"/>
      <c r="E232" s="9"/>
      <c r="F232" s="9"/>
      <c r="G232" s="9"/>
      <c r="H232" s="9"/>
      <c r="I232" s="9"/>
      <c r="V232" s="133"/>
      <c r="W232" s="133"/>
      <c r="X232" s="133"/>
      <c r="Y232" s="133"/>
      <c r="Z232" s="133"/>
      <c r="AA232" s="132"/>
      <c r="AB232" s="133"/>
      <c r="AC232" s="133"/>
      <c r="AD232" s="36"/>
      <c r="AF232" s="289" t="s">
        <v>674</v>
      </c>
      <c r="AG232" s="290">
        <v>10.3</v>
      </c>
      <c r="AH232" s="291">
        <v>12.5</v>
      </c>
      <c r="AI232" s="292">
        <v>0.3</v>
      </c>
      <c r="AJ232" s="293">
        <v>6.56</v>
      </c>
      <c r="AK232" s="292">
        <v>0.52</v>
      </c>
      <c r="AL232" s="296">
        <v>0.82</v>
      </c>
    </row>
    <row r="233" spans="1:38" ht="12.75">
      <c r="A233" s="9"/>
      <c r="B233" s="9"/>
      <c r="C233" s="9"/>
      <c r="D233" s="9"/>
      <c r="E233" s="9"/>
      <c r="F233" s="9"/>
      <c r="G233" s="9"/>
      <c r="H233" s="9"/>
      <c r="I233" s="9"/>
      <c r="V233" s="133"/>
      <c r="W233" s="133"/>
      <c r="X233" s="133"/>
      <c r="Y233" s="133"/>
      <c r="Z233" s="133"/>
      <c r="AA233" s="133"/>
      <c r="AB233" s="133"/>
      <c r="AC233" s="133"/>
      <c r="AD233" s="36"/>
      <c r="AF233" s="289" t="s">
        <v>675</v>
      </c>
      <c r="AG233" s="297">
        <v>8.79</v>
      </c>
      <c r="AH233" s="291">
        <v>12.3</v>
      </c>
      <c r="AI233" s="292">
        <v>0.26</v>
      </c>
      <c r="AJ233" s="293">
        <v>6.52</v>
      </c>
      <c r="AK233" s="292">
        <v>0.44</v>
      </c>
      <c r="AL233" s="296">
        <v>0.74</v>
      </c>
    </row>
    <row r="234" spans="1:38" ht="12.75">
      <c r="A234" s="9"/>
      <c r="B234" s="9"/>
      <c r="C234" s="9"/>
      <c r="D234" s="9"/>
      <c r="E234" s="9"/>
      <c r="F234" s="9"/>
      <c r="G234" s="9"/>
      <c r="H234" s="9"/>
      <c r="I234" s="9"/>
      <c r="V234" s="138"/>
      <c r="W234" s="138"/>
      <c r="X234" s="138"/>
      <c r="Y234" s="138"/>
      <c r="Z234" s="138"/>
      <c r="AA234" s="138"/>
      <c r="AB234" s="138"/>
      <c r="AC234" s="138"/>
      <c r="AD234" s="36"/>
      <c r="AF234" s="289" t="s">
        <v>676</v>
      </c>
      <c r="AG234" s="297">
        <v>7.65</v>
      </c>
      <c r="AH234" s="291">
        <v>12.2</v>
      </c>
      <c r="AI234" s="292">
        <v>0.23</v>
      </c>
      <c r="AJ234" s="293">
        <v>6.49</v>
      </c>
      <c r="AK234" s="292">
        <v>0.38</v>
      </c>
      <c r="AL234" s="296">
        <v>0.68</v>
      </c>
    </row>
    <row r="235" spans="1:38" ht="12.75">
      <c r="A235" s="9"/>
      <c r="B235" s="9"/>
      <c r="C235" s="9"/>
      <c r="D235" s="9"/>
      <c r="E235" s="9"/>
      <c r="F235" s="9"/>
      <c r="G235" s="9"/>
      <c r="H235" s="9"/>
      <c r="I235" s="9"/>
      <c r="V235" s="36"/>
      <c r="W235" s="36"/>
      <c r="X235" s="36"/>
      <c r="Y235" s="36"/>
      <c r="Z235" s="36"/>
      <c r="AA235" s="36"/>
      <c r="AB235" s="36"/>
      <c r="AC235" s="36"/>
      <c r="AD235" s="36"/>
      <c r="AF235" s="289" t="s">
        <v>677</v>
      </c>
      <c r="AG235" s="297">
        <v>6.48</v>
      </c>
      <c r="AH235" s="291">
        <v>12.3</v>
      </c>
      <c r="AI235" s="292">
        <v>0.26</v>
      </c>
      <c r="AJ235" s="293">
        <v>4.03</v>
      </c>
      <c r="AK235" s="292">
        <v>0.425</v>
      </c>
      <c r="AL235" s="296">
        <v>0.725</v>
      </c>
    </row>
    <row r="236" spans="1:38" ht="12.75">
      <c r="A236" s="9"/>
      <c r="B236" s="9"/>
      <c r="C236" s="9"/>
      <c r="D236" s="9"/>
      <c r="E236" s="9"/>
      <c r="F236" s="9"/>
      <c r="G236" s="9"/>
      <c r="H236" s="9"/>
      <c r="I236" s="9"/>
      <c r="V236" s="112"/>
      <c r="W236" s="112"/>
      <c r="X236" s="112"/>
      <c r="Y236" s="112"/>
      <c r="Z236" s="112"/>
      <c r="AA236" s="112"/>
      <c r="AB236" s="112"/>
      <c r="AC236" s="112"/>
      <c r="AD236" s="36"/>
      <c r="AF236" s="289" t="s">
        <v>678</v>
      </c>
      <c r="AG236" s="297">
        <v>5.57</v>
      </c>
      <c r="AH236" s="291">
        <v>12.2</v>
      </c>
      <c r="AI236" s="292">
        <v>0.235</v>
      </c>
      <c r="AJ236" s="293">
        <v>4.01</v>
      </c>
      <c r="AK236" s="292">
        <v>0.35</v>
      </c>
      <c r="AL236" s="296">
        <v>0.65</v>
      </c>
    </row>
    <row r="237" spans="1:38" ht="12.75">
      <c r="A237" s="9"/>
      <c r="B237" s="9"/>
      <c r="C237" s="9"/>
      <c r="D237" s="9"/>
      <c r="E237" s="9"/>
      <c r="F237" s="9"/>
      <c r="G237" s="9"/>
      <c r="H237" s="9"/>
      <c r="I237" s="9"/>
      <c r="V237" s="112"/>
      <c r="W237" s="112"/>
      <c r="X237" s="112"/>
      <c r="Y237" s="362"/>
      <c r="Z237" s="112"/>
      <c r="AA237" s="112"/>
      <c r="AB237" s="362"/>
      <c r="AC237" s="112"/>
      <c r="AD237" s="36"/>
      <c r="AF237" s="289" t="s">
        <v>679</v>
      </c>
      <c r="AG237" s="297">
        <v>4.71</v>
      </c>
      <c r="AH237" s="291">
        <v>12</v>
      </c>
      <c r="AI237" s="292">
        <v>0.22</v>
      </c>
      <c r="AJ237" s="293">
        <v>3.99</v>
      </c>
      <c r="AK237" s="292">
        <v>0.265</v>
      </c>
      <c r="AL237" s="296">
        <v>0.565</v>
      </c>
    </row>
    <row r="238" spans="1:38" ht="12.75">
      <c r="A238" s="9"/>
      <c r="B238" s="9"/>
      <c r="C238" s="9"/>
      <c r="D238" s="9"/>
      <c r="E238" s="9"/>
      <c r="F238" s="9"/>
      <c r="G238" s="9"/>
      <c r="H238" s="9"/>
      <c r="I238" s="9"/>
      <c r="V238" s="139"/>
      <c r="W238" s="139"/>
      <c r="X238" s="139"/>
      <c r="Y238" s="139"/>
      <c r="Z238" s="139"/>
      <c r="AA238" s="139"/>
      <c r="AB238" s="139"/>
      <c r="AC238" s="139"/>
      <c r="AD238" s="36"/>
      <c r="AF238" s="289" t="s">
        <v>680</v>
      </c>
      <c r="AG238" s="297">
        <v>4.16</v>
      </c>
      <c r="AH238" s="291">
        <v>11.9</v>
      </c>
      <c r="AI238" s="292">
        <v>0.2</v>
      </c>
      <c r="AJ238" s="293">
        <v>3.97</v>
      </c>
      <c r="AK238" s="292">
        <v>0.225</v>
      </c>
      <c r="AL238" s="296">
        <v>0.525</v>
      </c>
    </row>
    <row r="239" spans="1:38" ht="12.75">
      <c r="A239" s="9"/>
      <c r="B239" s="9"/>
      <c r="C239" s="9"/>
      <c r="D239" s="9"/>
      <c r="E239" s="9"/>
      <c r="F239" s="9"/>
      <c r="G239" s="9"/>
      <c r="H239" s="9"/>
      <c r="I239" s="9"/>
      <c r="V239" s="133"/>
      <c r="W239" s="133"/>
      <c r="X239" s="132"/>
      <c r="Y239" s="133"/>
      <c r="Z239" s="133"/>
      <c r="AA239" s="133"/>
      <c r="AB239" s="133"/>
      <c r="AC239" s="133"/>
      <c r="AD239" s="36"/>
      <c r="AF239" s="289" t="s">
        <v>681</v>
      </c>
      <c r="AG239" s="290">
        <v>32.9</v>
      </c>
      <c r="AH239" s="291">
        <v>11.4</v>
      </c>
      <c r="AI239" s="292">
        <v>0.755</v>
      </c>
      <c r="AJ239" s="291">
        <v>10.4</v>
      </c>
      <c r="AK239" s="293">
        <v>1.25</v>
      </c>
      <c r="AL239" s="294">
        <v>1.75</v>
      </c>
    </row>
    <row r="240" spans="1:38" ht="12.75">
      <c r="A240" s="9"/>
      <c r="B240" s="9"/>
      <c r="C240" s="9"/>
      <c r="D240" s="9"/>
      <c r="E240" s="9"/>
      <c r="F240" s="9"/>
      <c r="G240" s="9"/>
      <c r="H240" s="9"/>
      <c r="I240" s="9"/>
      <c r="V240" s="133"/>
      <c r="W240" s="133"/>
      <c r="X240" s="133"/>
      <c r="Y240" s="133"/>
      <c r="Z240" s="133"/>
      <c r="AA240" s="133"/>
      <c r="AB240" s="133"/>
      <c r="AC240" s="133"/>
      <c r="AD240" s="36"/>
      <c r="AF240" s="289" t="s">
        <v>682</v>
      </c>
      <c r="AG240" s="290">
        <v>29.4</v>
      </c>
      <c r="AH240" s="291">
        <v>11.1</v>
      </c>
      <c r="AI240" s="292">
        <v>0.68</v>
      </c>
      <c r="AJ240" s="291">
        <v>10.3</v>
      </c>
      <c r="AK240" s="293">
        <v>1.12</v>
      </c>
      <c r="AL240" s="294">
        <v>1.62</v>
      </c>
    </row>
    <row r="241" spans="1:38" ht="12.75">
      <c r="A241" s="9"/>
      <c r="B241" s="9"/>
      <c r="C241" s="9"/>
      <c r="D241" s="9"/>
      <c r="E241" s="9"/>
      <c r="F241" s="9"/>
      <c r="G241" s="9"/>
      <c r="H241" s="9"/>
      <c r="I241" s="9"/>
      <c r="V241" s="133"/>
      <c r="W241" s="132"/>
      <c r="X241" s="133"/>
      <c r="Y241" s="133"/>
      <c r="Z241" s="133"/>
      <c r="AA241" s="133"/>
      <c r="AB241" s="133"/>
      <c r="AC241" s="133"/>
      <c r="AD241" s="36"/>
      <c r="AF241" s="289" t="s">
        <v>683</v>
      </c>
      <c r="AG241" s="290">
        <v>25.9</v>
      </c>
      <c r="AH241" s="291">
        <v>10.8</v>
      </c>
      <c r="AI241" s="292">
        <v>0.605</v>
      </c>
      <c r="AJ241" s="291">
        <v>10.3</v>
      </c>
      <c r="AK241" s="292">
        <v>0.99</v>
      </c>
      <c r="AL241" s="294">
        <v>1.49</v>
      </c>
    </row>
    <row r="242" spans="1:38" ht="12.75">
      <c r="A242" s="9"/>
      <c r="B242" s="9"/>
      <c r="C242" s="9"/>
      <c r="D242" s="9"/>
      <c r="E242" s="9"/>
      <c r="F242" s="9"/>
      <c r="G242" s="9"/>
      <c r="H242" s="9"/>
      <c r="I242" s="9"/>
      <c r="U242" s="133"/>
      <c r="V242" s="133"/>
      <c r="W242" s="133"/>
      <c r="X242" s="133"/>
      <c r="Y242" s="133"/>
      <c r="Z242" s="133"/>
      <c r="AA242" s="133"/>
      <c r="AB242" s="133"/>
      <c r="AC242" s="365"/>
      <c r="AD242" s="36"/>
      <c r="AF242" s="289" t="s">
        <v>684</v>
      </c>
      <c r="AG242" s="290">
        <v>22.6</v>
      </c>
      <c r="AH242" s="291">
        <v>10.6</v>
      </c>
      <c r="AI242" s="292">
        <v>0.53</v>
      </c>
      <c r="AJ242" s="291">
        <v>10.2</v>
      </c>
      <c r="AK242" s="292">
        <v>0.87</v>
      </c>
      <c r="AL242" s="294">
        <v>1.37</v>
      </c>
    </row>
    <row r="243" spans="1:38" ht="12.75">
      <c r="A243" s="9"/>
      <c r="B243" s="9"/>
      <c r="C243" s="9"/>
      <c r="D243" s="9"/>
      <c r="E243" s="9"/>
      <c r="F243" s="9"/>
      <c r="G243" s="9"/>
      <c r="H243" s="9"/>
      <c r="I243" s="9"/>
      <c r="U243" s="133"/>
      <c r="V243" s="133"/>
      <c r="W243" s="133"/>
      <c r="X243" s="133"/>
      <c r="Y243" s="133"/>
      <c r="Z243" s="133"/>
      <c r="AA243" s="133"/>
      <c r="AB243" s="133"/>
      <c r="AC243" s="133"/>
      <c r="AD243" s="36"/>
      <c r="AF243" s="289" t="s">
        <v>685</v>
      </c>
      <c r="AG243" s="290">
        <v>20</v>
      </c>
      <c r="AH243" s="291">
        <v>10.4</v>
      </c>
      <c r="AI243" s="292">
        <v>0.47</v>
      </c>
      <c r="AJ243" s="291">
        <v>10.1</v>
      </c>
      <c r="AK243" s="292">
        <v>0.77</v>
      </c>
      <c r="AL243" s="294">
        <v>1.27</v>
      </c>
    </row>
    <row r="244" spans="1:38" ht="12.75">
      <c r="A244" s="9"/>
      <c r="B244" s="9"/>
      <c r="C244" s="9"/>
      <c r="D244" s="9"/>
      <c r="E244" s="9"/>
      <c r="F244" s="9"/>
      <c r="G244" s="9"/>
      <c r="H244" s="9"/>
      <c r="I244" s="9"/>
      <c r="U244" s="132"/>
      <c r="V244" s="133"/>
      <c r="W244" s="133"/>
      <c r="X244" s="133"/>
      <c r="Y244" s="133"/>
      <c r="Z244" s="132"/>
      <c r="AA244" s="132"/>
      <c r="AB244" s="365"/>
      <c r="AC244" s="365"/>
      <c r="AD244" s="36"/>
      <c r="AF244" s="289" t="s">
        <v>686</v>
      </c>
      <c r="AG244" s="290">
        <v>17.6</v>
      </c>
      <c r="AH244" s="291">
        <v>10.2</v>
      </c>
      <c r="AI244" s="292">
        <v>0.42</v>
      </c>
      <c r="AJ244" s="291">
        <v>10.1</v>
      </c>
      <c r="AK244" s="292">
        <v>0.68</v>
      </c>
      <c r="AL244" s="294">
        <v>1.18</v>
      </c>
    </row>
    <row r="245" spans="1:38" ht="12.75">
      <c r="A245" s="9"/>
      <c r="B245" s="9"/>
      <c r="C245" s="9"/>
      <c r="D245" s="9"/>
      <c r="E245" s="9"/>
      <c r="F245" s="9"/>
      <c r="G245" s="9"/>
      <c r="H245" s="9"/>
      <c r="I245" s="9"/>
      <c r="U245" s="133"/>
      <c r="V245" s="132"/>
      <c r="W245" s="133"/>
      <c r="X245" s="133"/>
      <c r="Y245" s="132"/>
      <c r="Z245" s="133"/>
      <c r="AA245" s="133"/>
      <c r="AB245" s="133"/>
      <c r="AC245" s="133"/>
      <c r="AD245" s="36"/>
      <c r="AF245" s="289" t="s">
        <v>687</v>
      </c>
      <c r="AG245" s="290">
        <v>15.8</v>
      </c>
      <c r="AH245" s="291">
        <v>10.1</v>
      </c>
      <c r="AI245" s="292">
        <v>0.37</v>
      </c>
      <c r="AJ245" s="291">
        <v>10</v>
      </c>
      <c r="AK245" s="292">
        <v>0.615</v>
      </c>
      <c r="AL245" s="294">
        <v>1.12</v>
      </c>
    </row>
    <row r="246" spans="1:38" ht="12.75">
      <c r="A246" s="9"/>
      <c r="B246" s="9"/>
      <c r="C246" s="9"/>
      <c r="D246" s="9"/>
      <c r="E246" s="9"/>
      <c r="F246" s="9"/>
      <c r="G246" s="9"/>
      <c r="H246" s="9"/>
      <c r="I246" s="9"/>
      <c r="U246" s="132"/>
      <c r="V246" s="132"/>
      <c r="W246" s="132"/>
      <c r="X246" s="133"/>
      <c r="Y246" s="133"/>
      <c r="Z246" s="133"/>
      <c r="AA246" s="133"/>
      <c r="AB246" s="132"/>
      <c r="AC246" s="133"/>
      <c r="AD246" s="36"/>
      <c r="AF246" s="289" t="s">
        <v>688</v>
      </c>
      <c r="AG246" s="290">
        <v>14.4</v>
      </c>
      <c r="AH246" s="291">
        <v>10</v>
      </c>
      <c r="AI246" s="292">
        <v>0.34</v>
      </c>
      <c r="AJ246" s="291">
        <v>10</v>
      </c>
      <c r="AK246" s="292">
        <v>0.56</v>
      </c>
      <c r="AL246" s="294">
        <v>1.06</v>
      </c>
    </row>
    <row r="247" spans="1:38" ht="12.75">
      <c r="A247" s="9"/>
      <c r="B247" s="9"/>
      <c r="C247" s="9"/>
      <c r="D247" s="9"/>
      <c r="E247" s="9"/>
      <c r="F247" s="9"/>
      <c r="G247" s="9"/>
      <c r="H247" s="9"/>
      <c r="I247" s="9"/>
      <c r="U247" s="132"/>
      <c r="V247" s="133"/>
      <c r="W247" s="133"/>
      <c r="X247" s="133"/>
      <c r="Y247" s="133"/>
      <c r="Z247" s="133"/>
      <c r="AA247" s="133"/>
      <c r="AB247" s="133"/>
      <c r="AC247" s="133"/>
      <c r="AD247" s="36"/>
      <c r="AF247" s="289" t="s">
        <v>689</v>
      </c>
      <c r="AG247" s="290">
        <v>13.3</v>
      </c>
      <c r="AH247" s="291">
        <v>10.1</v>
      </c>
      <c r="AI247" s="292">
        <v>0.35</v>
      </c>
      <c r="AJ247" s="293">
        <v>8.02</v>
      </c>
      <c r="AK247" s="292">
        <v>0.62</v>
      </c>
      <c r="AL247" s="294">
        <v>1.12</v>
      </c>
    </row>
    <row r="248" spans="1:38" ht="12.75">
      <c r="A248" s="9"/>
      <c r="B248" s="9"/>
      <c r="C248" s="9"/>
      <c r="D248" s="9"/>
      <c r="E248" s="9"/>
      <c r="F248" s="9"/>
      <c r="G248" s="9"/>
      <c r="H248" s="9"/>
      <c r="I248" s="59"/>
      <c r="U248" s="133"/>
      <c r="V248" s="132"/>
      <c r="W248" s="133"/>
      <c r="X248" s="133"/>
      <c r="Y248" s="133"/>
      <c r="Z248" s="133"/>
      <c r="AA248" s="133"/>
      <c r="AB248" s="133"/>
      <c r="AC248" s="133"/>
      <c r="AD248" s="36"/>
      <c r="AF248" s="289" t="s">
        <v>690</v>
      </c>
      <c r="AG248" s="290">
        <v>11.5</v>
      </c>
      <c r="AH248" s="293">
        <v>9.92</v>
      </c>
      <c r="AI248" s="292">
        <v>0.315</v>
      </c>
      <c r="AJ248" s="293">
        <v>7.99</v>
      </c>
      <c r="AK248" s="292">
        <v>0.53</v>
      </c>
      <c r="AL248" s="294">
        <v>1.03</v>
      </c>
    </row>
    <row r="249" spans="1:38" ht="12.75">
      <c r="A249" s="9"/>
      <c r="B249" s="9"/>
      <c r="C249" s="9"/>
      <c r="D249" s="9"/>
      <c r="E249" s="9"/>
      <c r="F249" s="9"/>
      <c r="G249" s="9"/>
      <c r="H249" s="9"/>
      <c r="I249" s="59"/>
      <c r="U249" s="133"/>
      <c r="V249" s="132"/>
      <c r="W249" s="133"/>
      <c r="X249" s="133"/>
      <c r="Y249" s="133"/>
      <c r="Z249" s="133"/>
      <c r="AA249" s="133"/>
      <c r="AB249" s="133"/>
      <c r="AC249" s="132"/>
      <c r="AD249" s="36"/>
      <c r="AF249" s="289" t="s">
        <v>691</v>
      </c>
      <c r="AG249" s="297">
        <v>9.71</v>
      </c>
      <c r="AH249" s="293">
        <v>9.73</v>
      </c>
      <c r="AI249" s="292">
        <v>0.29</v>
      </c>
      <c r="AJ249" s="293">
        <v>7.96</v>
      </c>
      <c r="AK249" s="292">
        <v>0.435</v>
      </c>
      <c r="AL249" s="296">
        <v>0.935</v>
      </c>
    </row>
    <row r="250" spans="1:38" ht="12.75">
      <c r="A250" s="9"/>
      <c r="B250" s="9"/>
      <c r="C250" s="9"/>
      <c r="D250" s="9"/>
      <c r="E250" s="9"/>
      <c r="F250" s="9"/>
      <c r="G250" s="9"/>
      <c r="H250" s="9"/>
      <c r="I250" s="9"/>
      <c r="U250" s="133"/>
      <c r="V250" s="133"/>
      <c r="W250" s="133"/>
      <c r="X250" s="133"/>
      <c r="Y250" s="133"/>
      <c r="Z250" s="133"/>
      <c r="AA250" s="132"/>
      <c r="AB250" s="133"/>
      <c r="AC250" s="132"/>
      <c r="AD250" s="36"/>
      <c r="AF250" s="289" t="s">
        <v>692</v>
      </c>
      <c r="AG250" s="297">
        <v>8.84</v>
      </c>
      <c r="AH250" s="291">
        <v>10.5</v>
      </c>
      <c r="AI250" s="292">
        <v>0.3</v>
      </c>
      <c r="AJ250" s="293">
        <v>5.81</v>
      </c>
      <c r="AK250" s="292">
        <v>0.51</v>
      </c>
      <c r="AL250" s="296">
        <v>0.81</v>
      </c>
    </row>
    <row r="251" spans="1:38" ht="12.75">
      <c r="A251" s="9"/>
      <c r="B251" s="9"/>
      <c r="C251" s="9"/>
      <c r="D251" s="9"/>
      <c r="E251" s="9"/>
      <c r="F251" s="9"/>
      <c r="G251" s="9"/>
      <c r="H251" s="9"/>
      <c r="I251" s="9"/>
      <c r="U251" s="133"/>
      <c r="V251" s="133"/>
      <c r="W251" s="133"/>
      <c r="X251" s="133"/>
      <c r="Y251" s="133"/>
      <c r="Z251" s="133"/>
      <c r="AA251" s="133"/>
      <c r="AB251" s="133"/>
      <c r="AC251" s="133"/>
      <c r="AD251" s="36"/>
      <c r="AF251" s="289" t="s">
        <v>693</v>
      </c>
      <c r="AG251" s="297">
        <v>7.61</v>
      </c>
      <c r="AH251" s="291">
        <v>10.3</v>
      </c>
      <c r="AI251" s="292">
        <v>0.26</v>
      </c>
      <c r="AJ251" s="293">
        <v>5.77</v>
      </c>
      <c r="AK251" s="292">
        <v>0.44</v>
      </c>
      <c r="AL251" s="296">
        <v>0.74</v>
      </c>
    </row>
    <row r="252" spans="1:38" ht="12.75">
      <c r="A252" s="9"/>
      <c r="B252" s="9"/>
      <c r="C252" s="9"/>
      <c r="D252" s="9"/>
      <c r="E252" s="9"/>
      <c r="F252" s="9"/>
      <c r="G252" s="9"/>
      <c r="H252" s="9"/>
      <c r="I252" s="9"/>
      <c r="U252" s="133"/>
      <c r="V252" s="133"/>
      <c r="W252" s="133"/>
      <c r="X252" s="133"/>
      <c r="Y252" s="133"/>
      <c r="Z252" s="133"/>
      <c r="AA252" s="133"/>
      <c r="AB252" s="133"/>
      <c r="AC252" s="133"/>
      <c r="AD252" s="36"/>
      <c r="AF252" s="289" t="s">
        <v>694</v>
      </c>
      <c r="AG252" s="297">
        <v>6.49</v>
      </c>
      <c r="AH252" s="291">
        <v>10.2</v>
      </c>
      <c r="AI252" s="292">
        <v>0.24</v>
      </c>
      <c r="AJ252" s="293">
        <v>5.75</v>
      </c>
      <c r="AK252" s="292">
        <v>0.36</v>
      </c>
      <c r="AL252" s="296">
        <v>0.66</v>
      </c>
    </row>
    <row r="253" spans="1:38" ht="12.75">
      <c r="A253" s="9"/>
      <c r="B253" s="9"/>
      <c r="C253" s="9"/>
      <c r="D253" s="9"/>
      <c r="E253" s="9"/>
      <c r="F253" s="9"/>
      <c r="G253" s="9"/>
      <c r="H253" s="9"/>
      <c r="I253" s="9"/>
      <c r="U253" s="133"/>
      <c r="V253" s="133"/>
      <c r="W253" s="133"/>
      <c r="X253" s="133"/>
      <c r="Y253" s="133"/>
      <c r="Z253" s="133"/>
      <c r="AA253" s="133"/>
      <c r="AB253" s="132"/>
      <c r="AC253" s="133"/>
      <c r="AD253" s="36"/>
      <c r="AF253" s="289" t="s">
        <v>695</v>
      </c>
      <c r="AG253" s="297">
        <v>5.62</v>
      </c>
      <c r="AH253" s="291">
        <v>10.2</v>
      </c>
      <c r="AI253" s="292">
        <v>0.25</v>
      </c>
      <c r="AJ253" s="293">
        <v>4.02</v>
      </c>
      <c r="AK253" s="292">
        <v>0.395</v>
      </c>
      <c r="AL253" s="296">
        <v>0.695</v>
      </c>
    </row>
    <row r="254" spans="1:38" ht="12.75">
      <c r="A254" s="9"/>
      <c r="B254" s="9"/>
      <c r="C254" s="9"/>
      <c r="D254" s="9"/>
      <c r="E254" s="9"/>
      <c r="F254" s="9"/>
      <c r="G254" s="9"/>
      <c r="H254" s="9"/>
      <c r="I254" s="9"/>
      <c r="U254" s="133"/>
      <c r="V254" s="133"/>
      <c r="W254" s="133"/>
      <c r="X254" s="133"/>
      <c r="Y254" s="133"/>
      <c r="Z254" s="133"/>
      <c r="AA254" s="133"/>
      <c r="AB254" s="133"/>
      <c r="AC254" s="133"/>
      <c r="AD254" s="36"/>
      <c r="AF254" s="289" t="s">
        <v>696</v>
      </c>
      <c r="AG254" s="297">
        <v>4.99</v>
      </c>
      <c r="AH254" s="291">
        <v>10.1</v>
      </c>
      <c r="AI254" s="292">
        <v>0.24</v>
      </c>
      <c r="AJ254" s="293">
        <v>4.01</v>
      </c>
      <c r="AK254" s="292">
        <v>0.33</v>
      </c>
      <c r="AL254" s="296">
        <v>0.63</v>
      </c>
    </row>
    <row r="255" spans="1:38" ht="12.75">
      <c r="A255" s="9"/>
      <c r="B255" s="9"/>
      <c r="C255" s="9"/>
      <c r="D255" s="9"/>
      <c r="E255" s="9"/>
      <c r="F255" s="9"/>
      <c r="G255" s="9"/>
      <c r="H255" s="9"/>
      <c r="I255" s="9"/>
      <c r="U255" s="133"/>
      <c r="V255" s="133"/>
      <c r="W255" s="133"/>
      <c r="X255" s="133"/>
      <c r="Y255" s="133"/>
      <c r="Z255" s="133"/>
      <c r="AA255" s="133"/>
      <c r="AB255" s="133"/>
      <c r="AC255" s="132"/>
      <c r="AD255" s="36"/>
      <c r="AF255" s="289" t="s">
        <v>697</v>
      </c>
      <c r="AG255" s="297">
        <v>4.41</v>
      </c>
      <c r="AH255" s="291">
        <v>10</v>
      </c>
      <c r="AI255" s="292">
        <v>0.23</v>
      </c>
      <c r="AJ255" s="293">
        <v>4</v>
      </c>
      <c r="AK255" s="292">
        <v>0.27</v>
      </c>
      <c r="AL255" s="296">
        <v>0.57</v>
      </c>
    </row>
    <row r="256" spans="1:38" ht="12.75">
      <c r="A256" s="9"/>
      <c r="B256" s="9"/>
      <c r="C256" s="9"/>
      <c r="D256" s="9"/>
      <c r="E256" s="9"/>
      <c r="F256" s="9"/>
      <c r="G256" s="9"/>
      <c r="H256" s="9"/>
      <c r="I256" s="9"/>
      <c r="U256" s="133"/>
      <c r="V256" s="133"/>
      <c r="W256" s="133"/>
      <c r="X256" s="133"/>
      <c r="Y256" s="133"/>
      <c r="Z256" s="133"/>
      <c r="AA256" s="133"/>
      <c r="AB256" s="133"/>
      <c r="AC256" s="133"/>
      <c r="AD256" s="36"/>
      <c r="AF256" s="289" t="s">
        <v>698</v>
      </c>
      <c r="AG256" s="297">
        <v>3.54</v>
      </c>
      <c r="AH256" s="293">
        <v>9.87</v>
      </c>
      <c r="AI256" s="292">
        <v>0.19</v>
      </c>
      <c r="AJ256" s="293">
        <v>3.96</v>
      </c>
      <c r="AK256" s="292">
        <v>0.21</v>
      </c>
      <c r="AL256" s="296">
        <v>0.51</v>
      </c>
    </row>
    <row r="257" spans="1:38" ht="12.75">
      <c r="A257" s="9"/>
      <c r="B257" s="9"/>
      <c r="C257" s="9"/>
      <c r="D257" s="9"/>
      <c r="E257" s="9"/>
      <c r="F257" s="9"/>
      <c r="G257" s="9"/>
      <c r="H257" s="9"/>
      <c r="I257" s="9"/>
      <c r="U257" s="133"/>
      <c r="V257" s="132"/>
      <c r="W257" s="133"/>
      <c r="X257" s="132"/>
      <c r="Y257" s="133"/>
      <c r="Z257" s="133"/>
      <c r="AA257" s="133"/>
      <c r="AB257" s="133"/>
      <c r="AC257" s="133"/>
      <c r="AD257" s="36"/>
      <c r="AF257" s="289" t="s">
        <v>699</v>
      </c>
      <c r="AG257" s="290">
        <v>19.7</v>
      </c>
      <c r="AH257" s="293">
        <v>9</v>
      </c>
      <c r="AI257" s="292">
        <v>0.57</v>
      </c>
      <c r="AJ257" s="293">
        <v>8.28</v>
      </c>
      <c r="AK257" s="292">
        <v>0.935</v>
      </c>
      <c r="AL257" s="294">
        <v>1.33</v>
      </c>
    </row>
    <row r="258" spans="1:38" ht="12.75">
      <c r="A258" s="9"/>
      <c r="B258" s="9"/>
      <c r="C258" s="9"/>
      <c r="D258" s="9"/>
      <c r="E258" s="9"/>
      <c r="F258" s="9"/>
      <c r="G258" s="9"/>
      <c r="H258" s="9"/>
      <c r="I258" s="9"/>
      <c r="U258" s="133"/>
      <c r="V258" s="132"/>
      <c r="W258" s="133"/>
      <c r="X258" s="133"/>
      <c r="Y258" s="132"/>
      <c r="Z258" s="133"/>
      <c r="AA258" s="133"/>
      <c r="AB258" s="133"/>
      <c r="AC258" s="133"/>
      <c r="AD258" s="36"/>
      <c r="AF258" s="289" t="s">
        <v>700</v>
      </c>
      <c r="AG258" s="290">
        <v>17.1</v>
      </c>
      <c r="AH258" s="293">
        <v>8.75</v>
      </c>
      <c r="AI258" s="292">
        <v>0.51</v>
      </c>
      <c r="AJ258" s="293">
        <v>8.22</v>
      </c>
      <c r="AK258" s="292">
        <v>0.81</v>
      </c>
      <c r="AL258" s="294">
        <v>1.2</v>
      </c>
    </row>
    <row r="259" spans="1:41" ht="12.75">
      <c r="A259" s="9"/>
      <c r="B259" s="9"/>
      <c r="C259" s="9"/>
      <c r="D259" s="9"/>
      <c r="E259" s="9"/>
      <c r="F259" s="9"/>
      <c r="G259" s="9"/>
      <c r="H259" s="9"/>
      <c r="I259" s="9"/>
      <c r="U259" s="138"/>
      <c r="V259" s="133"/>
      <c r="W259" s="133"/>
      <c r="X259" s="133"/>
      <c r="Y259" s="133"/>
      <c r="Z259" s="132"/>
      <c r="AA259" s="133"/>
      <c r="AB259" s="133"/>
      <c r="AC259" s="133"/>
      <c r="AD259" s="36"/>
      <c r="AF259" s="289" t="s">
        <v>701</v>
      </c>
      <c r="AG259" s="290">
        <v>14.1</v>
      </c>
      <c r="AH259" s="293">
        <v>8.5</v>
      </c>
      <c r="AI259" s="292">
        <v>0.4</v>
      </c>
      <c r="AJ259" s="293">
        <v>8.11</v>
      </c>
      <c r="AK259" s="292">
        <v>0.685</v>
      </c>
      <c r="AL259" s="294">
        <v>1.08</v>
      </c>
      <c r="AO259" s="98"/>
    </row>
    <row r="260" spans="1:41" ht="12.75">
      <c r="A260" s="9"/>
      <c r="B260" s="9"/>
      <c r="C260" s="9"/>
      <c r="D260" s="9"/>
      <c r="E260" s="9"/>
      <c r="F260" s="9"/>
      <c r="G260" s="9"/>
      <c r="H260" s="9"/>
      <c r="I260" s="9"/>
      <c r="U260" s="133"/>
      <c r="V260" s="133"/>
      <c r="W260" s="133"/>
      <c r="X260" s="133"/>
      <c r="Y260" s="133"/>
      <c r="Z260" s="133"/>
      <c r="AA260" s="132"/>
      <c r="AB260" s="133"/>
      <c r="AC260" s="133"/>
      <c r="AD260" s="36"/>
      <c r="AF260" s="289" t="s">
        <v>702</v>
      </c>
      <c r="AG260" s="290">
        <v>11.7</v>
      </c>
      <c r="AH260" s="293">
        <v>8.25</v>
      </c>
      <c r="AI260" s="292">
        <v>0.36</v>
      </c>
      <c r="AJ260" s="293">
        <v>8.07</v>
      </c>
      <c r="AK260" s="292">
        <v>0.56</v>
      </c>
      <c r="AL260" s="296">
        <v>0.954</v>
      </c>
      <c r="AO260" s="98"/>
    </row>
    <row r="261" spans="1:38" ht="12.75">
      <c r="A261" s="9"/>
      <c r="B261" s="9"/>
      <c r="C261" s="9"/>
      <c r="D261" s="9"/>
      <c r="E261" s="9"/>
      <c r="F261" s="9"/>
      <c r="G261" s="9"/>
      <c r="H261" s="9"/>
      <c r="I261" s="9"/>
      <c r="U261" s="133"/>
      <c r="V261" s="133"/>
      <c r="W261" s="133"/>
      <c r="X261" s="133"/>
      <c r="Y261" s="133"/>
      <c r="Z261" s="133"/>
      <c r="AA261" s="133"/>
      <c r="AB261" s="133"/>
      <c r="AC261" s="133"/>
      <c r="AD261" s="36"/>
      <c r="AF261" s="289" t="s">
        <v>703</v>
      </c>
      <c r="AG261" s="290">
        <v>10.3</v>
      </c>
      <c r="AH261" s="293">
        <v>8.12</v>
      </c>
      <c r="AI261" s="292">
        <v>0.31</v>
      </c>
      <c r="AJ261" s="293">
        <v>8.02</v>
      </c>
      <c r="AK261" s="292">
        <v>0.495</v>
      </c>
      <c r="AL261" s="296">
        <v>0.889</v>
      </c>
    </row>
    <row r="262" spans="1:38" ht="12.75">
      <c r="A262" s="9"/>
      <c r="B262" s="9"/>
      <c r="C262" s="9"/>
      <c r="D262" s="9"/>
      <c r="E262" s="9"/>
      <c r="F262" s="9"/>
      <c r="G262" s="9"/>
      <c r="H262" s="9"/>
      <c r="I262" s="9"/>
      <c r="U262" s="138"/>
      <c r="V262" s="138"/>
      <c r="W262" s="138"/>
      <c r="X262" s="138"/>
      <c r="Y262" s="138"/>
      <c r="Z262" s="138"/>
      <c r="AA262" s="138"/>
      <c r="AB262" s="138"/>
      <c r="AC262" s="138"/>
      <c r="AD262" s="36"/>
      <c r="AF262" s="289" t="s">
        <v>704</v>
      </c>
      <c r="AG262" s="297">
        <v>9.12</v>
      </c>
      <c r="AH262" s="293">
        <v>8</v>
      </c>
      <c r="AI262" s="292">
        <v>0.285</v>
      </c>
      <c r="AJ262" s="293">
        <v>8</v>
      </c>
      <c r="AK262" s="292">
        <v>0.435</v>
      </c>
      <c r="AL262" s="296">
        <v>0.829</v>
      </c>
    </row>
    <row r="263" spans="1:38" ht="12.75">
      <c r="A263" s="9"/>
      <c r="B263" s="9"/>
      <c r="C263" s="9"/>
      <c r="D263" s="9"/>
      <c r="E263" s="9"/>
      <c r="F263" s="9"/>
      <c r="G263" s="9"/>
      <c r="H263" s="9"/>
      <c r="I263" s="9"/>
      <c r="U263" s="36"/>
      <c r="V263" s="36"/>
      <c r="W263" s="36"/>
      <c r="X263" s="36"/>
      <c r="Y263" s="36"/>
      <c r="Z263" s="36"/>
      <c r="AA263" s="36"/>
      <c r="AB263" s="36"/>
      <c r="AC263" s="36"/>
      <c r="AD263" s="36"/>
      <c r="AF263" s="289" t="s">
        <v>705</v>
      </c>
      <c r="AG263" s="297">
        <v>8.24</v>
      </c>
      <c r="AH263" s="293">
        <v>8.06</v>
      </c>
      <c r="AI263" s="292">
        <v>0.285</v>
      </c>
      <c r="AJ263" s="293">
        <v>6.54</v>
      </c>
      <c r="AK263" s="292">
        <v>0.465</v>
      </c>
      <c r="AL263" s="296">
        <v>0.859</v>
      </c>
    </row>
    <row r="264" spans="1:38" ht="12.75">
      <c r="A264" s="9"/>
      <c r="B264" s="9"/>
      <c r="C264" s="9"/>
      <c r="D264" s="9"/>
      <c r="E264" s="9"/>
      <c r="F264" s="9"/>
      <c r="G264" s="9"/>
      <c r="H264" s="9"/>
      <c r="I264" s="9"/>
      <c r="U264" s="356"/>
      <c r="V264" s="112"/>
      <c r="W264" s="112"/>
      <c r="X264" s="112"/>
      <c r="Y264" s="112"/>
      <c r="Z264" s="112"/>
      <c r="AA264" s="112"/>
      <c r="AB264" s="112"/>
      <c r="AC264" s="112"/>
      <c r="AD264" s="36"/>
      <c r="AF264" s="289" t="s">
        <v>706</v>
      </c>
      <c r="AG264" s="297">
        <v>7.08</v>
      </c>
      <c r="AH264" s="293">
        <v>7.93</v>
      </c>
      <c r="AI264" s="292">
        <v>0.245</v>
      </c>
      <c r="AJ264" s="293">
        <v>6.5</v>
      </c>
      <c r="AK264" s="292">
        <v>0.4</v>
      </c>
      <c r="AL264" s="296">
        <v>0.794</v>
      </c>
    </row>
    <row r="265" spans="1:38" ht="12.75">
      <c r="A265" s="9"/>
      <c r="B265" s="9"/>
      <c r="C265" s="9"/>
      <c r="D265" s="9"/>
      <c r="E265" s="9"/>
      <c r="F265" s="9"/>
      <c r="G265" s="9"/>
      <c r="H265" s="9"/>
      <c r="I265" s="9"/>
      <c r="U265" s="112"/>
      <c r="V265" s="112"/>
      <c r="W265" s="112"/>
      <c r="X265" s="112"/>
      <c r="Y265" s="362"/>
      <c r="Z265" s="112"/>
      <c r="AA265" s="112"/>
      <c r="AB265" s="362"/>
      <c r="AC265" s="112"/>
      <c r="AD265" s="36"/>
      <c r="AF265" s="289" t="s">
        <v>707</v>
      </c>
      <c r="AG265" s="297">
        <v>6.16</v>
      </c>
      <c r="AH265" s="293">
        <v>8.28</v>
      </c>
      <c r="AI265" s="292">
        <v>0.25</v>
      </c>
      <c r="AJ265" s="293">
        <v>5.27</v>
      </c>
      <c r="AK265" s="292">
        <v>0.4</v>
      </c>
      <c r="AL265" s="296">
        <v>0.7</v>
      </c>
    </row>
    <row r="266" spans="1:38" ht="12.75">
      <c r="A266" s="9"/>
      <c r="B266" s="9"/>
      <c r="C266" s="9"/>
      <c r="D266" s="9"/>
      <c r="E266" s="9"/>
      <c r="F266" s="9"/>
      <c r="G266" s="9"/>
      <c r="H266" s="9"/>
      <c r="I266" s="9"/>
      <c r="U266" s="139"/>
      <c r="V266" s="139"/>
      <c r="W266" s="139"/>
      <c r="X266" s="139"/>
      <c r="Y266" s="139"/>
      <c r="Z266" s="139"/>
      <c r="AA266" s="139"/>
      <c r="AB266" s="139"/>
      <c r="AC266" s="139"/>
      <c r="AD266" s="36"/>
      <c r="AF266" s="289" t="s">
        <v>708</v>
      </c>
      <c r="AG266" s="297">
        <v>5.26</v>
      </c>
      <c r="AH266" s="293">
        <v>8.14</v>
      </c>
      <c r="AI266" s="292">
        <v>0.23</v>
      </c>
      <c r="AJ266" s="293">
        <v>5.25</v>
      </c>
      <c r="AK266" s="292">
        <v>0.33</v>
      </c>
      <c r="AL266" s="296">
        <v>0.63</v>
      </c>
    </row>
    <row r="267" spans="1:38" ht="12.75">
      <c r="A267" s="9"/>
      <c r="B267" s="9"/>
      <c r="C267" s="9"/>
      <c r="D267" s="9"/>
      <c r="E267" s="9"/>
      <c r="F267" s="9"/>
      <c r="G267" s="9"/>
      <c r="H267" s="9"/>
      <c r="I267" s="9"/>
      <c r="U267" s="133"/>
      <c r="V267" s="133"/>
      <c r="W267" s="133"/>
      <c r="X267" s="132"/>
      <c r="Y267" s="133"/>
      <c r="Z267" s="133"/>
      <c r="AA267" s="133"/>
      <c r="AB267" s="133"/>
      <c r="AC267" s="133"/>
      <c r="AD267" s="36"/>
      <c r="AF267" s="289" t="s">
        <v>709</v>
      </c>
      <c r="AG267" s="297">
        <v>4.44</v>
      </c>
      <c r="AH267" s="293">
        <v>8.11</v>
      </c>
      <c r="AI267" s="292">
        <v>0.245</v>
      </c>
      <c r="AJ267" s="293">
        <v>4.01</v>
      </c>
      <c r="AK267" s="292">
        <v>0.315</v>
      </c>
      <c r="AL267" s="296">
        <v>0.615</v>
      </c>
    </row>
    <row r="268" spans="1:38" ht="12.75">
      <c r="A268" s="9"/>
      <c r="B268" s="9"/>
      <c r="C268" s="9"/>
      <c r="D268" s="9"/>
      <c r="E268" s="9"/>
      <c r="F268" s="9"/>
      <c r="G268" s="9"/>
      <c r="H268" s="9"/>
      <c r="I268" s="9"/>
      <c r="U268" s="133"/>
      <c r="V268" s="133"/>
      <c r="W268" s="133"/>
      <c r="X268" s="133"/>
      <c r="Y268" s="133"/>
      <c r="Z268" s="133"/>
      <c r="AA268" s="133"/>
      <c r="AB268" s="133"/>
      <c r="AC268" s="133"/>
      <c r="AD268" s="36"/>
      <c r="AF268" s="289" t="s">
        <v>710</v>
      </c>
      <c r="AG268" s="297">
        <v>3.84</v>
      </c>
      <c r="AH268" s="293">
        <v>7.99</v>
      </c>
      <c r="AI268" s="292">
        <v>0.23</v>
      </c>
      <c r="AJ268" s="293">
        <v>4</v>
      </c>
      <c r="AK268" s="292">
        <v>0.255</v>
      </c>
      <c r="AL268" s="296">
        <v>0.555</v>
      </c>
    </row>
    <row r="269" spans="1:38" ht="12.75">
      <c r="A269" s="9"/>
      <c r="B269" s="9"/>
      <c r="C269" s="9"/>
      <c r="D269" s="9"/>
      <c r="E269" s="9"/>
      <c r="F269" s="9"/>
      <c r="G269" s="9"/>
      <c r="H269" s="9"/>
      <c r="I269" s="9"/>
      <c r="U269" s="133"/>
      <c r="V269" s="133"/>
      <c r="W269" s="132"/>
      <c r="X269" s="133"/>
      <c r="Y269" s="133"/>
      <c r="Z269" s="133"/>
      <c r="AA269" s="133"/>
      <c r="AB269" s="133"/>
      <c r="AC269" s="133"/>
      <c r="AD269" s="36"/>
      <c r="AF269" s="289" t="s">
        <v>711</v>
      </c>
      <c r="AG269" s="297">
        <v>2.96</v>
      </c>
      <c r="AH269" s="293">
        <v>7.89</v>
      </c>
      <c r="AI269" s="292">
        <v>0.17</v>
      </c>
      <c r="AJ269" s="293">
        <v>3.94</v>
      </c>
      <c r="AK269" s="292">
        <v>0.205</v>
      </c>
      <c r="AL269" s="296">
        <v>0.505</v>
      </c>
    </row>
    <row r="270" spans="1:38" ht="12.75">
      <c r="A270" s="9"/>
      <c r="B270" s="9"/>
      <c r="C270" s="9"/>
      <c r="D270" s="9"/>
      <c r="E270" s="9"/>
      <c r="F270" s="9"/>
      <c r="G270" s="9"/>
      <c r="H270" s="9"/>
      <c r="I270" s="9"/>
      <c r="U270" s="133"/>
      <c r="V270" s="133"/>
      <c r="W270" s="133"/>
      <c r="X270" s="133"/>
      <c r="Y270" s="133"/>
      <c r="Z270" s="133"/>
      <c r="AA270" s="133"/>
      <c r="AB270" s="133"/>
      <c r="AC270" s="365"/>
      <c r="AD270" s="36"/>
      <c r="AF270" s="289" t="s">
        <v>712</v>
      </c>
      <c r="AG270" s="297">
        <v>7.34</v>
      </c>
      <c r="AH270" s="293">
        <v>6.38</v>
      </c>
      <c r="AI270" s="292">
        <v>0.32</v>
      </c>
      <c r="AJ270" s="293">
        <v>6.08</v>
      </c>
      <c r="AK270" s="292">
        <v>0.455</v>
      </c>
      <c r="AL270" s="296">
        <v>0.705</v>
      </c>
    </row>
    <row r="271" spans="1:38" ht="12.75">
      <c r="A271" s="9"/>
      <c r="B271" s="9"/>
      <c r="C271" s="9"/>
      <c r="D271" s="9"/>
      <c r="E271" s="9"/>
      <c r="F271" s="9"/>
      <c r="G271" s="9"/>
      <c r="H271" s="9"/>
      <c r="I271" s="9"/>
      <c r="U271" s="133"/>
      <c r="V271" s="133"/>
      <c r="W271" s="133"/>
      <c r="X271" s="133"/>
      <c r="Y271" s="133"/>
      <c r="Z271" s="133"/>
      <c r="AA271" s="133"/>
      <c r="AB271" s="133"/>
      <c r="AC271" s="133"/>
      <c r="AD271" s="36"/>
      <c r="AF271" s="289" t="s">
        <v>713</v>
      </c>
      <c r="AG271" s="297">
        <v>5.87</v>
      </c>
      <c r="AH271" s="293">
        <v>6.2</v>
      </c>
      <c r="AI271" s="292">
        <v>0.26</v>
      </c>
      <c r="AJ271" s="293">
        <v>6.02</v>
      </c>
      <c r="AK271" s="292">
        <v>0.365</v>
      </c>
      <c r="AL271" s="296">
        <v>0.615</v>
      </c>
    </row>
    <row r="272" spans="1:38" ht="12.75">
      <c r="A272" s="9"/>
      <c r="B272" s="9"/>
      <c r="C272" s="9"/>
      <c r="D272" s="9"/>
      <c r="E272" s="9"/>
      <c r="F272" s="9"/>
      <c r="G272" s="9"/>
      <c r="H272" s="9"/>
      <c r="I272" s="9"/>
      <c r="U272" s="132"/>
      <c r="V272" s="133"/>
      <c r="W272" s="133"/>
      <c r="X272" s="133"/>
      <c r="Y272" s="133"/>
      <c r="Z272" s="132"/>
      <c r="AA272" s="132"/>
      <c r="AB272" s="133"/>
      <c r="AC272" s="365"/>
      <c r="AD272" s="36"/>
      <c r="AF272" s="289" t="s">
        <v>714</v>
      </c>
      <c r="AG272" s="297">
        <v>4.43</v>
      </c>
      <c r="AH272" s="293">
        <v>5.99</v>
      </c>
      <c r="AI272" s="292">
        <v>0.23</v>
      </c>
      <c r="AJ272" s="293">
        <v>5.99</v>
      </c>
      <c r="AK272" s="292">
        <v>0.26</v>
      </c>
      <c r="AL272" s="296">
        <v>0.51</v>
      </c>
    </row>
    <row r="273" spans="1:38" ht="12.75">
      <c r="A273" s="9"/>
      <c r="B273" s="9"/>
      <c r="C273" s="9"/>
      <c r="D273" s="9"/>
      <c r="E273" s="9"/>
      <c r="F273" s="9"/>
      <c r="G273" s="9"/>
      <c r="H273" s="9"/>
      <c r="I273" s="9"/>
      <c r="U273" s="133"/>
      <c r="V273" s="132"/>
      <c r="W273" s="133"/>
      <c r="X273" s="133"/>
      <c r="Y273" s="132"/>
      <c r="Z273" s="133"/>
      <c r="AA273" s="133"/>
      <c r="AB273" s="133"/>
      <c r="AC273" s="133"/>
      <c r="AD273" s="36"/>
      <c r="AF273" s="289" t="s">
        <v>715</v>
      </c>
      <c r="AG273" s="297">
        <v>4.74</v>
      </c>
      <c r="AH273" s="293">
        <v>6.28</v>
      </c>
      <c r="AI273" s="292">
        <v>0.26</v>
      </c>
      <c r="AJ273" s="293">
        <v>4.03</v>
      </c>
      <c r="AK273" s="292">
        <v>0.405</v>
      </c>
      <c r="AL273" s="296">
        <v>0.655</v>
      </c>
    </row>
    <row r="274" spans="1:38" ht="12.75">
      <c r="A274" s="9"/>
      <c r="B274" s="9"/>
      <c r="C274" s="9"/>
      <c r="D274" s="9"/>
      <c r="E274" s="9"/>
      <c r="F274" s="9"/>
      <c r="G274" s="9"/>
      <c r="H274" s="9"/>
      <c r="I274" s="9"/>
      <c r="U274" s="132"/>
      <c r="V274" s="132"/>
      <c r="W274" s="132"/>
      <c r="X274" s="133"/>
      <c r="Y274" s="133"/>
      <c r="Z274" s="133"/>
      <c r="AA274" s="133"/>
      <c r="AB274" s="132"/>
      <c r="AC274" s="133"/>
      <c r="AD274" s="36"/>
      <c r="AF274" s="289" t="s">
        <v>716</v>
      </c>
      <c r="AG274" s="297">
        <v>3.55</v>
      </c>
      <c r="AH274" s="293">
        <v>6.03</v>
      </c>
      <c r="AI274" s="292">
        <v>0.23</v>
      </c>
      <c r="AJ274" s="293">
        <v>4</v>
      </c>
      <c r="AK274" s="292">
        <v>0.28</v>
      </c>
      <c r="AL274" s="296">
        <v>0.53</v>
      </c>
    </row>
    <row r="275" spans="1:38" ht="12.75">
      <c r="A275" s="9"/>
      <c r="B275" s="9"/>
      <c r="C275" s="9"/>
      <c r="D275" s="9"/>
      <c r="E275" s="9"/>
      <c r="F275" s="9"/>
      <c r="G275" s="9"/>
      <c r="H275" s="9"/>
      <c r="I275" s="9"/>
      <c r="U275" s="132"/>
      <c r="V275" s="133"/>
      <c r="W275" s="133"/>
      <c r="X275" s="133"/>
      <c r="Y275" s="133"/>
      <c r="Z275" s="133"/>
      <c r="AA275" s="133"/>
      <c r="AB275" s="133"/>
      <c r="AC275" s="133"/>
      <c r="AD275" s="36"/>
      <c r="AF275" s="289" t="s">
        <v>717</v>
      </c>
      <c r="AG275" s="297">
        <v>2.68</v>
      </c>
      <c r="AH275" s="293">
        <v>5.9</v>
      </c>
      <c r="AI275" s="292">
        <v>0.17</v>
      </c>
      <c r="AJ275" s="293">
        <v>3.94</v>
      </c>
      <c r="AK275" s="292">
        <v>0.215</v>
      </c>
      <c r="AL275" s="296">
        <v>0.465</v>
      </c>
    </row>
    <row r="276" spans="1:38" ht="12.75">
      <c r="A276" s="9"/>
      <c r="B276" s="9"/>
      <c r="C276" s="9"/>
      <c r="D276" s="9"/>
      <c r="E276" s="9"/>
      <c r="F276" s="9"/>
      <c r="G276" s="9"/>
      <c r="H276" s="9"/>
      <c r="I276" s="9"/>
      <c r="U276" s="133"/>
      <c r="V276" s="132"/>
      <c r="W276" s="133"/>
      <c r="X276" s="133"/>
      <c r="Y276" s="133"/>
      <c r="Z276" s="133"/>
      <c r="AA276" s="133"/>
      <c r="AB276" s="133"/>
      <c r="AC276" s="133"/>
      <c r="AD276" s="36"/>
      <c r="AF276" s="289" t="s">
        <v>718</v>
      </c>
      <c r="AG276" s="297">
        <v>2.52</v>
      </c>
      <c r="AH276" s="293">
        <v>5.83</v>
      </c>
      <c r="AI276" s="292">
        <v>0.17</v>
      </c>
      <c r="AJ276" s="293">
        <v>3.94</v>
      </c>
      <c r="AK276" s="292">
        <v>0.195</v>
      </c>
      <c r="AL276" s="296">
        <v>0.445</v>
      </c>
    </row>
    <row r="277" spans="1:38" ht="12.75">
      <c r="A277" s="9"/>
      <c r="B277" s="9"/>
      <c r="C277" s="9"/>
      <c r="D277" s="9"/>
      <c r="E277" s="9"/>
      <c r="F277" s="9"/>
      <c r="G277" s="9"/>
      <c r="H277" s="9"/>
      <c r="I277" s="9"/>
      <c r="U277" s="133"/>
      <c r="V277" s="132"/>
      <c r="W277" s="133"/>
      <c r="X277" s="133"/>
      <c r="Y277" s="133"/>
      <c r="Z277" s="133"/>
      <c r="AA277" s="133"/>
      <c r="AB277" s="133"/>
      <c r="AC277" s="132"/>
      <c r="AD277" s="36"/>
      <c r="AF277" s="289" t="s">
        <v>719</v>
      </c>
      <c r="AG277" s="297">
        <v>5.56</v>
      </c>
      <c r="AH277" s="293">
        <v>5.15</v>
      </c>
      <c r="AI277" s="292">
        <v>0.27</v>
      </c>
      <c r="AJ277" s="293">
        <v>5.03</v>
      </c>
      <c r="AK277" s="292">
        <v>0.43</v>
      </c>
      <c r="AL277" s="296">
        <v>0.73</v>
      </c>
    </row>
    <row r="278" spans="1:38" ht="12.75">
      <c r="A278" s="9"/>
      <c r="B278" s="9"/>
      <c r="C278" s="9"/>
      <c r="D278" s="9"/>
      <c r="E278" s="9"/>
      <c r="F278" s="9"/>
      <c r="G278" s="9"/>
      <c r="H278" s="9"/>
      <c r="I278" s="9"/>
      <c r="U278" s="133"/>
      <c r="V278" s="133"/>
      <c r="W278" s="133"/>
      <c r="X278" s="133"/>
      <c r="Y278" s="133"/>
      <c r="Z278" s="133"/>
      <c r="AA278" s="132"/>
      <c r="AB278" s="133"/>
      <c r="AC278" s="132"/>
      <c r="AD278" s="36"/>
      <c r="AF278" s="289" t="s">
        <v>720</v>
      </c>
      <c r="AG278" s="297">
        <v>4.71</v>
      </c>
      <c r="AH278" s="293">
        <v>5.01</v>
      </c>
      <c r="AI278" s="292">
        <v>0.24</v>
      </c>
      <c r="AJ278" s="293">
        <v>5</v>
      </c>
      <c r="AK278" s="292">
        <v>0.36</v>
      </c>
      <c r="AL278" s="296">
        <v>0.66</v>
      </c>
    </row>
    <row r="279" spans="1:38" ht="12.75">
      <c r="A279" s="9"/>
      <c r="B279" s="9"/>
      <c r="C279" s="9"/>
      <c r="D279" s="9"/>
      <c r="E279" s="9"/>
      <c r="F279" s="9"/>
      <c r="G279" s="9"/>
      <c r="H279" s="9"/>
      <c r="I279" s="9"/>
      <c r="U279" s="133"/>
      <c r="V279" s="133"/>
      <c r="W279" s="133"/>
      <c r="X279" s="133"/>
      <c r="Y279" s="133"/>
      <c r="Z279" s="133"/>
      <c r="AA279" s="133"/>
      <c r="AB279" s="133"/>
      <c r="AC279" s="133"/>
      <c r="AD279" s="36"/>
      <c r="AF279" s="298" t="s">
        <v>721</v>
      </c>
      <c r="AG279" s="299">
        <v>3.83</v>
      </c>
      <c r="AH279" s="300">
        <v>4.16</v>
      </c>
      <c r="AI279" s="301">
        <v>0.28</v>
      </c>
      <c r="AJ279" s="300">
        <v>4.06</v>
      </c>
      <c r="AK279" s="301">
        <v>0.345</v>
      </c>
      <c r="AL279" s="302">
        <v>0.595</v>
      </c>
    </row>
    <row r="280" spans="1:38" ht="12.75">
      <c r="A280" s="9"/>
      <c r="B280" s="9"/>
      <c r="C280" s="9"/>
      <c r="D280" s="9"/>
      <c r="E280" s="9"/>
      <c r="F280" s="9"/>
      <c r="G280" s="9"/>
      <c r="H280" s="9"/>
      <c r="I280" s="9"/>
      <c r="U280" s="133"/>
      <c r="V280" s="133"/>
      <c r="W280" s="133"/>
      <c r="X280" s="133"/>
      <c r="Y280" s="133"/>
      <c r="Z280" s="133"/>
      <c r="AA280" s="133"/>
      <c r="AB280" s="133"/>
      <c r="AC280" s="133"/>
      <c r="AD280" s="36"/>
      <c r="AF280" s="303" t="s">
        <v>722</v>
      </c>
      <c r="AG280" s="304">
        <v>3.63</v>
      </c>
      <c r="AH280" s="305">
        <v>12.5</v>
      </c>
      <c r="AI280" s="306">
        <v>0.155</v>
      </c>
      <c r="AJ280" s="307">
        <v>3.75</v>
      </c>
      <c r="AK280" s="306">
        <v>0.228</v>
      </c>
      <c r="AL280" s="308">
        <v>0.563</v>
      </c>
    </row>
    <row r="281" spans="1:38" ht="12.75">
      <c r="A281" s="9"/>
      <c r="B281" s="9"/>
      <c r="C281" s="9"/>
      <c r="D281" s="9"/>
      <c r="E281" s="9"/>
      <c r="F281" s="9"/>
      <c r="G281" s="9"/>
      <c r="H281" s="9"/>
      <c r="I281" s="9"/>
      <c r="U281" s="133"/>
      <c r="V281" s="133"/>
      <c r="W281" s="133"/>
      <c r="X281" s="133"/>
      <c r="Y281" s="133"/>
      <c r="Z281" s="133"/>
      <c r="AA281" s="133"/>
      <c r="AB281" s="132"/>
      <c r="AC281" s="133"/>
      <c r="AD281" s="36"/>
      <c r="AF281" s="289" t="s">
        <v>723</v>
      </c>
      <c r="AG281" s="297">
        <v>3.4</v>
      </c>
      <c r="AH281" s="291">
        <v>12.5</v>
      </c>
      <c r="AI281" s="292">
        <v>0.155</v>
      </c>
      <c r="AJ281" s="293">
        <v>3.5</v>
      </c>
      <c r="AK281" s="292">
        <v>0.211</v>
      </c>
      <c r="AL281" s="309">
        <v>0.563</v>
      </c>
    </row>
    <row r="282" spans="1:38" ht="12.75">
      <c r="A282" s="9"/>
      <c r="B282" s="9"/>
      <c r="C282" s="9"/>
      <c r="D282" s="9"/>
      <c r="E282" s="9"/>
      <c r="F282" s="9"/>
      <c r="G282" s="9"/>
      <c r="H282" s="9"/>
      <c r="I282" s="9"/>
      <c r="U282" s="133"/>
      <c r="V282" s="133"/>
      <c r="W282" s="133"/>
      <c r="X282" s="133"/>
      <c r="Y282" s="133"/>
      <c r="Z282" s="133"/>
      <c r="AA282" s="133"/>
      <c r="AB282" s="133"/>
      <c r="AC282" s="133"/>
      <c r="AD282" s="36"/>
      <c r="AF282" s="289" t="s">
        <v>724</v>
      </c>
      <c r="AG282" s="297">
        <v>3.47</v>
      </c>
      <c r="AH282" s="291">
        <v>12</v>
      </c>
      <c r="AI282" s="292">
        <v>0.177</v>
      </c>
      <c r="AJ282" s="293">
        <v>3.07</v>
      </c>
      <c r="AK282" s="292">
        <v>0.225</v>
      </c>
      <c r="AL282" s="309">
        <v>0.563</v>
      </c>
    </row>
    <row r="283" spans="1:38" ht="12.75">
      <c r="A283" s="9"/>
      <c r="B283" s="9"/>
      <c r="C283" s="9"/>
      <c r="D283" s="9"/>
      <c r="E283" s="9"/>
      <c r="F283" s="9"/>
      <c r="G283" s="9"/>
      <c r="H283" s="9"/>
      <c r="I283" s="9"/>
      <c r="M283" s="138"/>
      <c r="N283" s="133"/>
      <c r="O283" s="133"/>
      <c r="P283" s="133"/>
      <c r="Q283" s="133"/>
      <c r="R283" s="132"/>
      <c r="S283" s="133"/>
      <c r="T283" s="133"/>
      <c r="U283" s="133"/>
      <c r="V283" s="133"/>
      <c r="W283" s="133"/>
      <c r="X283" s="133"/>
      <c r="Y283" s="133"/>
      <c r="Z283" s="133"/>
      <c r="AA283" s="133"/>
      <c r="AB283" s="133"/>
      <c r="AC283" s="132"/>
      <c r="AD283" s="36"/>
      <c r="AF283" s="289" t="s">
        <v>725</v>
      </c>
      <c r="AG283" s="297">
        <v>3.18</v>
      </c>
      <c r="AH283" s="291">
        <v>12</v>
      </c>
      <c r="AI283" s="292">
        <v>0.16</v>
      </c>
      <c r="AJ283" s="293">
        <v>3.07</v>
      </c>
      <c r="AK283" s="292">
        <v>0.21</v>
      </c>
      <c r="AL283" s="309">
        <v>0.563</v>
      </c>
    </row>
    <row r="284" spans="1:38" ht="12.75">
      <c r="A284" s="9"/>
      <c r="B284" s="9"/>
      <c r="C284" s="9"/>
      <c r="D284" s="9"/>
      <c r="E284" s="9"/>
      <c r="F284" s="9"/>
      <c r="G284" s="9"/>
      <c r="H284" s="9"/>
      <c r="I284" s="9"/>
      <c r="M284" s="138"/>
      <c r="N284" s="133"/>
      <c r="O284" s="133"/>
      <c r="P284" s="133"/>
      <c r="Q284" s="133"/>
      <c r="R284" s="133"/>
      <c r="S284" s="133"/>
      <c r="T284" s="133"/>
      <c r="U284" s="133"/>
      <c r="V284" s="133"/>
      <c r="W284" s="133"/>
      <c r="X284" s="133"/>
      <c r="Y284" s="133"/>
      <c r="Z284" s="133"/>
      <c r="AA284" s="133"/>
      <c r="AB284" s="133"/>
      <c r="AC284" s="133"/>
      <c r="AD284" s="36"/>
      <c r="AF284" s="289" t="s">
        <v>726</v>
      </c>
      <c r="AG284" s="297">
        <v>2.95</v>
      </c>
      <c r="AH284" s="291">
        <v>12</v>
      </c>
      <c r="AI284" s="292">
        <v>0.149</v>
      </c>
      <c r="AJ284" s="293">
        <v>3.25</v>
      </c>
      <c r="AK284" s="292">
        <v>0.18</v>
      </c>
      <c r="AL284" s="309">
        <v>0.5</v>
      </c>
    </row>
    <row r="285" spans="1:38" ht="12.75">
      <c r="A285" s="9"/>
      <c r="B285" s="9"/>
      <c r="C285" s="9"/>
      <c r="D285" s="9"/>
      <c r="E285" s="9"/>
      <c r="F285" s="9"/>
      <c r="G285" s="9"/>
      <c r="H285" s="9"/>
      <c r="I285" s="9"/>
      <c r="M285" s="138"/>
      <c r="N285" s="133"/>
      <c r="O285" s="133"/>
      <c r="P285" s="133"/>
      <c r="Q285" s="133"/>
      <c r="R285" s="133"/>
      <c r="S285" s="133"/>
      <c r="T285" s="133"/>
      <c r="U285" s="133"/>
      <c r="V285" s="132"/>
      <c r="W285" s="133"/>
      <c r="X285" s="132"/>
      <c r="Y285" s="133"/>
      <c r="Z285" s="133"/>
      <c r="AA285" s="133"/>
      <c r="AB285" s="133"/>
      <c r="AC285" s="133"/>
      <c r="AD285" s="36"/>
      <c r="AF285" s="289" t="s">
        <v>727</v>
      </c>
      <c r="AG285" s="297">
        <v>2.65</v>
      </c>
      <c r="AH285" s="291">
        <v>10</v>
      </c>
      <c r="AI285" s="292">
        <v>0.157</v>
      </c>
      <c r="AJ285" s="293">
        <v>2.69</v>
      </c>
      <c r="AK285" s="292">
        <v>0.206</v>
      </c>
      <c r="AL285" s="309">
        <v>0.563</v>
      </c>
    </row>
    <row r="286" spans="1:38" ht="12.75">
      <c r="A286" s="9"/>
      <c r="B286" s="9"/>
      <c r="C286" s="9"/>
      <c r="D286" s="9"/>
      <c r="E286" s="9"/>
      <c r="F286" s="9"/>
      <c r="G286" s="9"/>
      <c r="H286" s="9"/>
      <c r="I286" s="9"/>
      <c r="M286" s="138"/>
      <c r="N286" s="133"/>
      <c r="O286" s="133"/>
      <c r="P286" s="133"/>
      <c r="Q286" s="133"/>
      <c r="R286" s="133"/>
      <c r="S286" s="133"/>
      <c r="T286" s="133"/>
      <c r="U286" s="133"/>
      <c r="V286" s="132"/>
      <c r="W286" s="133"/>
      <c r="X286" s="133"/>
      <c r="Y286" s="132"/>
      <c r="Z286" s="133"/>
      <c r="AA286" s="133"/>
      <c r="AB286" s="133"/>
      <c r="AC286" s="133"/>
      <c r="AD286" s="36"/>
      <c r="AF286" s="289" t="s">
        <v>728</v>
      </c>
      <c r="AG286" s="297">
        <v>2.37</v>
      </c>
      <c r="AH286" s="291">
        <v>10</v>
      </c>
      <c r="AI286" s="292">
        <v>0.141</v>
      </c>
      <c r="AJ286" s="293">
        <v>2.69</v>
      </c>
      <c r="AK286" s="292">
        <v>0.182</v>
      </c>
      <c r="AL286" s="309">
        <v>0.563</v>
      </c>
    </row>
    <row r="287" spans="1:38" ht="12.75">
      <c r="A287" s="9"/>
      <c r="B287" s="9"/>
      <c r="C287" s="9"/>
      <c r="D287" s="9"/>
      <c r="E287" s="9"/>
      <c r="F287" s="9"/>
      <c r="G287" s="9"/>
      <c r="H287" s="9"/>
      <c r="I287" s="9"/>
      <c r="M287" s="138"/>
      <c r="N287" s="133"/>
      <c r="O287" s="133"/>
      <c r="P287" s="133"/>
      <c r="Q287" s="133"/>
      <c r="R287" s="133"/>
      <c r="S287" s="133"/>
      <c r="T287" s="133"/>
      <c r="U287" s="138"/>
      <c r="V287" s="133"/>
      <c r="W287" s="133"/>
      <c r="X287" s="133"/>
      <c r="Y287" s="133"/>
      <c r="Z287" s="132"/>
      <c r="AA287" s="133"/>
      <c r="AB287" s="133"/>
      <c r="AC287" s="133"/>
      <c r="AD287" s="36"/>
      <c r="AF287" s="289" t="s">
        <v>729</v>
      </c>
      <c r="AG287" s="297">
        <v>2.22</v>
      </c>
      <c r="AH287" s="291">
        <v>10</v>
      </c>
      <c r="AI287" s="292">
        <v>0.13</v>
      </c>
      <c r="AJ287" s="293">
        <v>2.69</v>
      </c>
      <c r="AK287" s="292">
        <v>0.173</v>
      </c>
      <c r="AL287" s="309">
        <v>0.438</v>
      </c>
    </row>
    <row r="288" spans="1:38" ht="12.75">
      <c r="A288" s="9"/>
      <c r="B288" s="9"/>
      <c r="C288" s="9"/>
      <c r="D288" s="9"/>
      <c r="E288" s="9"/>
      <c r="F288" s="9"/>
      <c r="G288" s="9"/>
      <c r="H288" s="9"/>
      <c r="I288" s="9"/>
      <c r="M288" s="138"/>
      <c r="N288" s="133"/>
      <c r="O288" s="133"/>
      <c r="P288" s="133"/>
      <c r="Q288" s="133"/>
      <c r="R288" s="133"/>
      <c r="S288" s="133"/>
      <c r="T288" s="133"/>
      <c r="U288" s="133"/>
      <c r="V288" s="133"/>
      <c r="W288" s="133"/>
      <c r="X288" s="133"/>
      <c r="Y288" s="133"/>
      <c r="Z288" s="133"/>
      <c r="AA288" s="132"/>
      <c r="AB288" s="133"/>
      <c r="AC288" s="133"/>
      <c r="AD288" s="36"/>
      <c r="AF288" s="289" t="s">
        <v>730</v>
      </c>
      <c r="AG288" s="297">
        <v>1.92</v>
      </c>
      <c r="AH288" s="293">
        <v>8</v>
      </c>
      <c r="AI288" s="292">
        <v>0.135</v>
      </c>
      <c r="AJ288" s="293">
        <v>2.28</v>
      </c>
      <c r="AK288" s="292">
        <v>0.189</v>
      </c>
      <c r="AL288" s="309">
        <v>0.563</v>
      </c>
    </row>
    <row r="289" spans="1:38" ht="12.75">
      <c r="A289" s="9"/>
      <c r="B289" s="9"/>
      <c r="C289" s="9"/>
      <c r="D289" s="9"/>
      <c r="E289" s="9"/>
      <c r="F289" s="9"/>
      <c r="G289" s="9"/>
      <c r="H289" s="9"/>
      <c r="I289" s="9"/>
      <c r="M289" s="138"/>
      <c r="N289" s="133"/>
      <c r="O289" s="133"/>
      <c r="P289" s="133"/>
      <c r="Q289" s="133"/>
      <c r="R289" s="133"/>
      <c r="S289" s="133"/>
      <c r="T289" s="133"/>
      <c r="U289" s="133"/>
      <c r="V289" s="133"/>
      <c r="W289" s="133"/>
      <c r="X289" s="133"/>
      <c r="Y289" s="133"/>
      <c r="Z289" s="133"/>
      <c r="AA289" s="133"/>
      <c r="AB289" s="133"/>
      <c r="AC289" s="133"/>
      <c r="AD289" s="36"/>
      <c r="AF289" s="289" t="s">
        <v>731</v>
      </c>
      <c r="AG289" s="297">
        <v>1.82</v>
      </c>
      <c r="AH289" s="293">
        <v>8</v>
      </c>
      <c r="AI289" s="292">
        <v>0.129</v>
      </c>
      <c r="AJ289" s="293">
        <v>2.28</v>
      </c>
      <c r="AK289" s="292">
        <v>0.177</v>
      </c>
      <c r="AL289" s="309">
        <v>0.438</v>
      </c>
    </row>
    <row r="290" spans="1:38" ht="12.75">
      <c r="A290" s="9"/>
      <c r="B290" s="9"/>
      <c r="C290" s="9"/>
      <c r="D290" s="9"/>
      <c r="E290" s="9"/>
      <c r="F290" s="9"/>
      <c r="G290" s="9"/>
      <c r="H290" s="9"/>
      <c r="I290" s="9"/>
      <c r="M290" s="138"/>
      <c r="N290" s="133"/>
      <c r="O290" s="133"/>
      <c r="P290" s="133"/>
      <c r="Q290" s="133"/>
      <c r="R290" s="133"/>
      <c r="S290" s="133"/>
      <c r="T290" s="132"/>
      <c r="U290" s="138"/>
      <c r="V290" s="138"/>
      <c r="W290" s="138"/>
      <c r="X290" s="138"/>
      <c r="Y290" s="138"/>
      <c r="Z290" s="138"/>
      <c r="AA290" s="138"/>
      <c r="AB290" s="138"/>
      <c r="AC290" s="138"/>
      <c r="AD290" s="36"/>
      <c r="AF290" s="289" t="s">
        <v>732</v>
      </c>
      <c r="AG290" s="297">
        <v>1.29</v>
      </c>
      <c r="AH290" s="293">
        <v>6</v>
      </c>
      <c r="AI290" s="292">
        <v>0.114</v>
      </c>
      <c r="AJ290" s="293">
        <v>1.84</v>
      </c>
      <c r="AK290" s="292">
        <v>0.171</v>
      </c>
      <c r="AL290" s="309">
        <v>0.375</v>
      </c>
    </row>
    <row r="291" spans="1:38" ht="12.75">
      <c r="A291" s="9"/>
      <c r="B291" s="9"/>
      <c r="C291" s="9"/>
      <c r="D291" s="9"/>
      <c r="E291" s="9"/>
      <c r="F291" s="9"/>
      <c r="G291" s="9"/>
      <c r="H291" s="9"/>
      <c r="I291" s="9"/>
      <c r="M291" s="138"/>
      <c r="N291" s="133"/>
      <c r="O291" s="133"/>
      <c r="P291" s="133"/>
      <c r="Q291" s="133"/>
      <c r="R291" s="133"/>
      <c r="S291" s="133"/>
      <c r="T291" s="133"/>
      <c r="U291" s="36"/>
      <c r="V291" s="36"/>
      <c r="W291" s="36"/>
      <c r="X291" s="36"/>
      <c r="Y291" s="36"/>
      <c r="Z291" s="36"/>
      <c r="AA291" s="36"/>
      <c r="AB291" s="36"/>
      <c r="AC291" s="36"/>
      <c r="AD291" s="36"/>
      <c r="AF291" s="289" t="s">
        <v>733</v>
      </c>
      <c r="AG291" s="297">
        <v>1.09</v>
      </c>
      <c r="AH291" s="293">
        <v>5.92</v>
      </c>
      <c r="AI291" s="310">
        <v>0.098</v>
      </c>
      <c r="AJ291" s="293">
        <v>2</v>
      </c>
      <c r="AK291" s="292">
        <v>0.129</v>
      </c>
      <c r="AL291" s="309">
        <v>0.313</v>
      </c>
    </row>
    <row r="292" spans="1:38" ht="12.75">
      <c r="A292" s="9"/>
      <c r="B292" s="9"/>
      <c r="C292" s="9"/>
      <c r="D292" s="9"/>
      <c r="E292" s="9"/>
      <c r="F292" s="9"/>
      <c r="G292" s="9"/>
      <c r="H292" s="9"/>
      <c r="I292" s="9"/>
      <c r="M292" s="132"/>
      <c r="N292" s="133"/>
      <c r="O292" s="133"/>
      <c r="P292" s="132"/>
      <c r="Q292" s="133"/>
      <c r="R292" s="133"/>
      <c r="S292" s="133"/>
      <c r="T292" s="133"/>
      <c r="AF292" s="289" t="s">
        <v>734</v>
      </c>
      <c r="AG292" s="297">
        <v>5.56</v>
      </c>
      <c r="AH292" s="293">
        <v>5</v>
      </c>
      <c r="AI292" s="292">
        <v>0.316</v>
      </c>
      <c r="AJ292" s="293">
        <v>5</v>
      </c>
      <c r="AK292" s="292">
        <v>0.416</v>
      </c>
      <c r="AL292" s="309">
        <v>0.813</v>
      </c>
    </row>
    <row r="293" spans="1:38" ht="12.75">
      <c r="A293" s="9"/>
      <c r="B293" s="9"/>
      <c r="C293" s="9"/>
      <c r="D293" s="9"/>
      <c r="E293" s="9"/>
      <c r="F293" s="9"/>
      <c r="G293" s="9"/>
      <c r="H293" s="9"/>
      <c r="I293" s="9"/>
      <c r="M293" s="132"/>
      <c r="N293" s="133"/>
      <c r="O293" s="133"/>
      <c r="P293" s="133"/>
      <c r="Q293" s="133"/>
      <c r="R293" s="133"/>
      <c r="S293" s="133"/>
      <c r="T293" s="133"/>
      <c r="AF293" s="289" t="s">
        <v>735</v>
      </c>
      <c r="AG293" s="297">
        <v>1.75</v>
      </c>
      <c r="AH293" s="293">
        <v>3.8</v>
      </c>
      <c r="AI293" s="292">
        <v>0.13</v>
      </c>
      <c r="AJ293" s="293">
        <v>3.8</v>
      </c>
      <c r="AK293" s="292">
        <v>0.16</v>
      </c>
      <c r="AL293" s="309">
        <v>0.5</v>
      </c>
    </row>
    <row r="294" spans="1:38" ht="12.75">
      <c r="A294" s="9"/>
      <c r="B294" s="9"/>
      <c r="C294" s="9"/>
      <c r="D294" s="9"/>
      <c r="E294" s="9"/>
      <c r="F294" s="9"/>
      <c r="G294" s="9"/>
      <c r="H294" s="9"/>
      <c r="I294" s="9"/>
      <c r="M294" s="132"/>
      <c r="N294" s="133"/>
      <c r="O294" s="133"/>
      <c r="P294" s="133"/>
      <c r="Q294" s="133"/>
      <c r="R294" s="133"/>
      <c r="S294" s="133"/>
      <c r="T294" s="133"/>
      <c r="AF294" s="289" t="s">
        <v>736</v>
      </c>
      <c r="AG294" s="297">
        <v>1.27</v>
      </c>
      <c r="AH294" s="293">
        <v>4</v>
      </c>
      <c r="AI294" s="292">
        <v>0.115</v>
      </c>
      <c r="AJ294" s="293">
        <v>2.25</v>
      </c>
      <c r="AK294" s="292">
        <v>0.17</v>
      </c>
      <c r="AL294" s="309">
        <v>0.563</v>
      </c>
    </row>
    <row r="295" spans="1:38" ht="12.75">
      <c r="A295" s="9"/>
      <c r="B295" s="9"/>
      <c r="C295" s="9"/>
      <c r="D295" s="9"/>
      <c r="E295" s="9"/>
      <c r="F295" s="9"/>
      <c r="G295" s="9"/>
      <c r="H295" s="9"/>
      <c r="I295" s="9"/>
      <c r="M295" s="132"/>
      <c r="N295" s="133"/>
      <c r="O295" s="133"/>
      <c r="P295" s="133"/>
      <c r="Q295" s="133"/>
      <c r="R295" s="133"/>
      <c r="S295" s="133"/>
      <c r="T295" s="133"/>
      <c r="AF295" s="289" t="s">
        <v>737</v>
      </c>
      <c r="AG295" s="297">
        <v>1.01</v>
      </c>
      <c r="AH295" s="293">
        <v>4</v>
      </c>
      <c r="AI295" s="310">
        <v>0.092</v>
      </c>
      <c r="AJ295" s="293">
        <v>2.25</v>
      </c>
      <c r="AK295" s="292">
        <v>0.13</v>
      </c>
      <c r="AL295" s="309">
        <v>0.5</v>
      </c>
    </row>
    <row r="296" spans="1:38" ht="12.75">
      <c r="A296" s="9"/>
      <c r="B296" s="9"/>
      <c r="C296" s="9"/>
      <c r="D296" s="9"/>
      <c r="E296" s="9"/>
      <c r="F296" s="9"/>
      <c r="G296" s="9"/>
      <c r="H296" s="9"/>
      <c r="I296" s="9"/>
      <c r="M296" s="132"/>
      <c r="N296" s="133"/>
      <c r="O296" s="138"/>
      <c r="P296" s="133"/>
      <c r="Q296" s="133"/>
      <c r="R296" s="133"/>
      <c r="S296" s="133"/>
      <c r="T296" s="133"/>
      <c r="AF296" s="289" t="s">
        <v>738</v>
      </c>
      <c r="AG296" s="297">
        <v>1.01</v>
      </c>
      <c r="AH296" s="293">
        <v>4</v>
      </c>
      <c r="AI296" s="310">
        <v>0.092</v>
      </c>
      <c r="AJ296" s="293">
        <v>2.25</v>
      </c>
      <c r="AK296" s="292">
        <v>0.13</v>
      </c>
      <c r="AL296" s="309">
        <v>0.5</v>
      </c>
    </row>
    <row r="297" spans="1:38" ht="12.75">
      <c r="A297" s="9"/>
      <c r="B297" s="9"/>
      <c r="C297" s="9"/>
      <c r="D297" s="9"/>
      <c r="E297" s="9"/>
      <c r="F297" s="9"/>
      <c r="G297" s="9"/>
      <c r="H297" s="9"/>
      <c r="I297" s="9"/>
      <c r="M297" s="132"/>
      <c r="N297" s="133"/>
      <c r="O297" s="133"/>
      <c r="P297" s="133"/>
      <c r="Q297" s="133"/>
      <c r="R297" s="133"/>
      <c r="S297" s="133"/>
      <c r="T297" s="133"/>
      <c r="AF297" s="298" t="s">
        <v>739</v>
      </c>
      <c r="AG297" s="311">
        <v>0.914</v>
      </c>
      <c r="AH297" s="300">
        <v>3</v>
      </c>
      <c r="AI297" s="312">
        <v>0.09</v>
      </c>
      <c r="AJ297" s="300">
        <v>2.25</v>
      </c>
      <c r="AK297" s="301">
        <v>0.13</v>
      </c>
      <c r="AL297" s="313">
        <v>0.5</v>
      </c>
    </row>
    <row r="298" spans="1:38" ht="12.75">
      <c r="A298" s="9"/>
      <c r="B298" s="9"/>
      <c r="C298" s="9"/>
      <c r="D298" s="9"/>
      <c r="E298" s="9"/>
      <c r="F298" s="9"/>
      <c r="G298" s="9"/>
      <c r="H298" s="9"/>
      <c r="I298" s="9"/>
      <c r="M298" s="132"/>
      <c r="N298" s="368"/>
      <c r="O298" s="133"/>
      <c r="P298" s="133"/>
      <c r="Q298" s="133"/>
      <c r="R298" s="133"/>
      <c r="S298" s="133"/>
      <c r="T298" s="133"/>
      <c r="AF298" s="303" t="s">
        <v>740</v>
      </c>
      <c r="AG298" s="314">
        <v>35.5</v>
      </c>
      <c r="AH298" s="305">
        <v>24.5</v>
      </c>
      <c r="AI298" s="306">
        <v>0.8</v>
      </c>
      <c r="AJ298" s="307">
        <v>8.05</v>
      </c>
      <c r="AK298" s="307">
        <v>1.09</v>
      </c>
      <c r="AL298" s="315">
        <v>2</v>
      </c>
    </row>
    <row r="299" spans="1:38" ht="12.75">
      <c r="A299" s="9"/>
      <c r="B299" s="9"/>
      <c r="C299" s="9"/>
      <c r="D299" s="9"/>
      <c r="E299" s="9"/>
      <c r="F299" s="9"/>
      <c r="G299" s="9"/>
      <c r="H299" s="9"/>
      <c r="I299" s="9"/>
      <c r="M299" s="132"/>
      <c r="N299" s="133"/>
      <c r="O299" s="133"/>
      <c r="P299" s="133"/>
      <c r="Q299" s="138"/>
      <c r="R299" s="133"/>
      <c r="S299" s="133"/>
      <c r="T299" s="133"/>
      <c r="AF299" s="289" t="s">
        <v>741</v>
      </c>
      <c r="AG299" s="290">
        <v>31.1</v>
      </c>
      <c r="AH299" s="291">
        <v>24.5</v>
      </c>
      <c r="AI299" s="292">
        <v>0.62</v>
      </c>
      <c r="AJ299" s="293">
        <v>7.87</v>
      </c>
      <c r="AK299" s="293">
        <v>1.09</v>
      </c>
      <c r="AL299" s="316">
        <v>2</v>
      </c>
    </row>
    <row r="300" spans="1:38" ht="12.75">
      <c r="A300" s="9"/>
      <c r="B300" s="9"/>
      <c r="C300" s="9"/>
      <c r="D300" s="9"/>
      <c r="E300" s="9"/>
      <c r="F300" s="9"/>
      <c r="G300" s="9"/>
      <c r="H300" s="9"/>
      <c r="I300" s="9"/>
      <c r="M300" s="132"/>
      <c r="N300" s="133"/>
      <c r="O300" s="138"/>
      <c r="P300" s="133"/>
      <c r="Q300" s="133"/>
      <c r="R300" s="133"/>
      <c r="S300" s="133"/>
      <c r="T300" s="133"/>
      <c r="AF300" s="289" t="s">
        <v>742</v>
      </c>
      <c r="AG300" s="290">
        <v>29.3</v>
      </c>
      <c r="AH300" s="291">
        <v>24</v>
      </c>
      <c r="AI300" s="292">
        <v>0.745</v>
      </c>
      <c r="AJ300" s="293">
        <v>7.25</v>
      </c>
      <c r="AK300" s="292">
        <v>0.87</v>
      </c>
      <c r="AL300" s="316">
        <v>1.75</v>
      </c>
    </row>
    <row r="301" spans="1:38" ht="12.75">
      <c r="A301" s="9"/>
      <c r="B301" s="9"/>
      <c r="C301" s="9"/>
      <c r="D301" s="9"/>
      <c r="E301" s="9"/>
      <c r="F301" s="9"/>
      <c r="G301" s="9"/>
      <c r="H301" s="9"/>
      <c r="I301" s="9"/>
      <c r="M301" s="132"/>
      <c r="N301" s="133"/>
      <c r="O301" s="133"/>
      <c r="P301" s="133"/>
      <c r="Q301" s="133"/>
      <c r="R301" s="133"/>
      <c r="S301" s="133"/>
      <c r="T301" s="133"/>
      <c r="AF301" s="289" t="s">
        <v>743</v>
      </c>
      <c r="AG301" s="290">
        <v>26.5</v>
      </c>
      <c r="AH301" s="291">
        <v>24</v>
      </c>
      <c r="AI301" s="292">
        <v>0.625</v>
      </c>
      <c r="AJ301" s="293">
        <v>7.13</v>
      </c>
      <c r="AK301" s="292">
        <v>0.87</v>
      </c>
      <c r="AL301" s="316">
        <v>1.75</v>
      </c>
    </row>
    <row r="302" spans="1:38" ht="12.75">
      <c r="A302" s="9"/>
      <c r="B302" s="9"/>
      <c r="C302" s="9"/>
      <c r="D302" s="9"/>
      <c r="E302" s="9"/>
      <c r="F302" s="9"/>
      <c r="G302" s="9"/>
      <c r="H302" s="9"/>
      <c r="I302" s="9"/>
      <c r="M302" s="132"/>
      <c r="N302" s="133"/>
      <c r="O302" s="133"/>
      <c r="P302" s="133"/>
      <c r="Q302" s="133"/>
      <c r="R302" s="138"/>
      <c r="S302" s="133"/>
      <c r="T302" s="133"/>
      <c r="AF302" s="289" t="s">
        <v>744</v>
      </c>
      <c r="AG302" s="290">
        <v>23.5</v>
      </c>
      <c r="AH302" s="291">
        <v>24</v>
      </c>
      <c r="AI302" s="292">
        <v>0.5</v>
      </c>
      <c r="AJ302" s="293">
        <v>7</v>
      </c>
      <c r="AK302" s="292">
        <v>0.87</v>
      </c>
      <c r="AL302" s="316">
        <v>1.75</v>
      </c>
    </row>
    <row r="303" spans="1:38" ht="12.75">
      <c r="A303" s="9"/>
      <c r="B303" s="9"/>
      <c r="C303" s="9"/>
      <c r="D303" s="9"/>
      <c r="E303" s="9"/>
      <c r="F303" s="9"/>
      <c r="G303" s="9"/>
      <c r="H303" s="9"/>
      <c r="I303" s="9"/>
      <c r="M303" s="366"/>
      <c r="N303" s="138"/>
      <c r="O303" s="138"/>
      <c r="P303" s="138"/>
      <c r="Q303" s="138"/>
      <c r="R303" s="138"/>
      <c r="S303" s="138"/>
      <c r="T303" s="138"/>
      <c r="AF303" s="289" t="s">
        <v>745</v>
      </c>
      <c r="AG303" s="290">
        <v>28.2</v>
      </c>
      <c r="AH303" s="291">
        <v>20.3</v>
      </c>
      <c r="AI303" s="292">
        <v>0.8</v>
      </c>
      <c r="AJ303" s="293">
        <v>7.2</v>
      </c>
      <c r="AK303" s="292">
        <v>0.92</v>
      </c>
      <c r="AL303" s="316">
        <v>1.75</v>
      </c>
    </row>
    <row r="304" spans="13:38" ht="12.75">
      <c r="M304" s="36"/>
      <c r="N304" s="36"/>
      <c r="O304" s="36"/>
      <c r="P304" s="36"/>
      <c r="Q304" s="36"/>
      <c r="R304" s="36"/>
      <c r="S304" s="36"/>
      <c r="T304" s="36"/>
      <c r="AF304" s="289" t="s">
        <v>746</v>
      </c>
      <c r="AG304" s="290">
        <v>25.3</v>
      </c>
      <c r="AH304" s="291">
        <v>20.3</v>
      </c>
      <c r="AI304" s="292">
        <v>0.66</v>
      </c>
      <c r="AJ304" s="293">
        <v>7.06</v>
      </c>
      <c r="AK304" s="292">
        <v>0.92</v>
      </c>
      <c r="AL304" s="316">
        <v>1.75</v>
      </c>
    </row>
    <row r="305" spans="13:38" ht="12.75">
      <c r="M305" s="355"/>
      <c r="N305" s="112"/>
      <c r="O305" s="362"/>
      <c r="P305" s="112"/>
      <c r="Q305" s="112"/>
      <c r="R305" s="112"/>
      <c r="S305" s="112"/>
      <c r="T305" s="112"/>
      <c r="AF305" s="289" t="s">
        <v>747</v>
      </c>
      <c r="AG305" s="290">
        <v>22</v>
      </c>
      <c r="AH305" s="291">
        <v>20</v>
      </c>
      <c r="AI305" s="292">
        <v>0.635</v>
      </c>
      <c r="AJ305" s="293">
        <v>6.39</v>
      </c>
      <c r="AK305" s="292">
        <v>0.795</v>
      </c>
      <c r="AL305" s="316">
        <v>1.63</v>
      </c>
    </row>
    <row r="306" spans="13:38" ht="12.75">
      <c r="M306" s="357"/>
      <c r="N306" s="355"/>
      <c r="O306" s="362"/>
      <c r="P306" s="112"/>
      <c r="Q306" s="112"/>
      <c r="R306" s="112"/>
      <c r="S306" s="112"/>
      <c r="T306" s="355"/>
      <c r="AF306" s="289" t="s">
        <v>748</v>
      </c>
      <c r="AG306" s="290">
        <v>19.4</v>
      </c>
      <c r="AH306" s="291">
        <v>20</v>
      </c>
      <c r="AI306" s="292">
        <v>0.505</v>
      </c>
      <c r="AJ306" s="293">
        <v>6.26</v>
      </c>
      <c r="AK306" s="292">
        <v>0.795</v>
      </c>
      <c r="AL306" s="316">
        <v>1.63</v>
      </c>
    </row>
    <row r="307" spans="32:38" ht="12.75">
      <c r="AF307" s="289" t="s">
        <v>749</v>
      </c>
      <c r="AG307" s="290">
        <v>20.5</v>
      </c>
      <c r="AH307" s="291">
        <v>18</v>
      </c>
      <c r="AI307" s="292">
        <v>0.711</v>
      </c>
      <c r="AJ307" s="293">
        <v>6.25</v>
      </c>
      <c r="AK307" s="292">
        <v>0.691</v>
      </c>
      <c r="AL307" s="316">
        <v>1.5</v>
      </c>
    </row>
    <row r="308" spans="32:38" ht="12.75">
      <c r="AF308" s="289" t="s">
        <v>750</v>
      </c>
      <c r="AG308" s="290">
        <v>16</v>
      </c>
      <c r="AH308" s="291">
        <v>18</v>
      </c>
      <c r="AI308" s="292">
        <v>0.461</v>
      </c>
      <c r="AJ308" s="293">
        <v>6</v>
      </c>
      <c r="AK308" s="292">
        <v>0.691</v>
      </c>
      <c r="AL308" s="316">
        <v>1.5</v>
      </c>
    </row>
    <row r="309" spans="32:38" ht="12.75">
      <c r="AF309" s="289" t="s">
        <v>751</v>
      </c>
      <c r="AG309" s="290">
        <v>14.7</v>
      </c>
      <c r="AH309" s="291">
        <v>15</v>
      </c>
      <c r="AI309" s="292">
        <v>0.55</v>
      </c>
      <c r="AJ309" s="293">
        <v>5.64</v>
      </c>
      <c r="AK309" s="292">
        <v>0.622</v>
      </c>
      <c r="AL309" s="316">
        <v>1.38</v>
      </c>
    </row>
    <row r="310" spans="32:38" ht="12.75">
      <c r="AF310" s="289" t="s">
        <v>752</v>
      </c>
      <c r="AG310" s="290">
        <v>12.6</v>
      </c>
      <c r="AH310" s="291">
        <v>15</v>
      </c>
      <c r="AI310" s="292">
        <v>0.411</v>
      </c>
      <c r="AJ310" s="293">
        <v>5.5</v>
      </c>
      <c r="AK310" s="292">
        <v>0.622</v>
      </c>
      <c r="AL310" s="316">
        <v>1.38</v>
      </c>
    </row>
    <row r="311" spans="32:38" ht="12.75">
      <c r="AF311" s="289" t="s">
        <v>753</v>
      </c>
      <c r="AG311" s="290">
        <v>14.6</v>
      </c>
      <c r="AH311" s="291">
        <v>12</v>
      </c>
      <c r="AI311" s="292">
        <v>0.687</v>
      </c>
      <c r="AJ311" s="293">
        <v>5.48</v>
      </c>
      <c r="AK311" s="292">
        <v>0.659</v>
      </c>
      <c r="AL311" s="316">
        <v>1.44</v>
      </c>
    </row>
    <row r="312" spans="32:38" ht="12.75">
      <c r="AF312" s="289" t="s">
        <v>754</v>
      </c>
      <c r="AG312" s="290">
        <v>11.9</v>
      </c>
      <c r="AH312" s="291">
        <v>12</v>
      </c>
      <c r="AI312" s="292">
        <v>0.462</v>
      </c>
      <c r="AJ312" s="293">
        <v>5.25</v>
      </c>
      <c r="AK312" s="292">
        <v>0.659</v>
      </c>
      <c r="AL312" s="316">
        <v>1.44</v>
      </c>
    </row>
    <row r="313" spans="32:38" ht="12.75">
      <c r="AF313" s="289" t="s">
        <v>755</v>
      </c>
      <c r="AG313" s="290">
        <v>10.2</v>
      </c>
      <c r="AH313" s="291">
        <v>12</v>
      </c>
      <c r="AI313" s="292">
        <v>0.428</v>
      </c>
      <c r="AJ313" s="293">
        <v>5.08</v>
      </c>
      <c r="AK313" s="292">
        <v>0.544</v>
      </c>
      <c r="AL313" s="316">
        <v>1.19</v>
      </c>
    </row>
    <row r="314" spans="32:38" ht="12.75">
      <c r="AF314" s="289" t="s">
        <v>756</v>
      </c>
      <c r="AG314" s="297">
        <v>9.31</v>
      </c>
      <c r="AH314" s="291">
        <v>12</v>
      </c>
      <c r="AI314" s="292">
        <v>0.35</v>
      </c>
      <c r="AJ314" s="293">
        <v>5</v>
      </c>
      <c r="AK314" s="292">
        <v>0.544</v>
      </c>
      <c r="AL314" s="316">
        <v>1.19</v>
      </c>
    </row>
    <row r="315" spans="22:38" ht="12.75">
      <c r="V315" s="56"/>
      <c r="W315" s="83"/>
      <c r="X315" s="56"/>
      <c r="AF315" s="289" t="s">
        <v>757</v>
      </c>
      <c r="AG315" s="290">
        <v>10.3</v>
      </c>
      <c r="AH315" s="291">
        <v>10</v>
      </c>
      <c r="AI315" s="292">
        <v>0.594</v>
      </c>
      <c r="AJ315" s="293">
        <v>4.94</v>
      </c>
      <c r="AK315" s="292">
        <v>0.491</v>
      </c>
      <c r="AL315" s="316">
        <v>1.13</v>
      </c>
    </row>
    <row r="316" spans="22:38" ht="12.75">
      <c r="V316" s="42"/>
      <c r="W316" s="37"/>
      <c r="X316" s="37"/>
      <c r="AF316" s="289" t="s">
        <v>758</v>
      </c>
      <c r="AG316" s="297">
        <v>7.45</v>
      </c>
      <c r="AH316" s="291">
        <v>10</v>
      </c>
      <c r="AI316" s="292">
        <v>0.311</v>
      </c>
      <c r="AJ316" s="293">
        <v>4.66</v>
      </c>
      <c r="AK316" s="292">
        <v>0.491</v>
      </c>
      <c r="AL316" s="316">
        <v>1.13</v>
      </c>
    </row>
    <row r="317" spans="22:38" ht="12.75">
      <c r="V317" s="42"/>
      <c r="W317" s="37"/>
      <c r="X317" s="37"/>
      <c r="AF317" s="289" t="s">
        <v>759</v>
      </c>
      <c r="AG317" s="297">
        <v>6.76</v>
      </c>
      <c r="AH317" s="293">
        <v>8</v>
      </c>
      <c r="AI317" s="292">
        <v>0.441</v>
      </c>
      <c r="AJ317" s="293">
        <v>4.17</v>
      </c>
      <c r="AK317" s="292">
        <v>0.425</v>
      </c>
      <c r="AL317" s="316">
        <v>1</v>
      </c>
    </row>
    <row r="318" spans="22:38" ht="12.75">
      <c r="V318" s="42"/>
      <c r="W318" s="37"/>
      <c r="X318" s="37"/>
      <c r="AF318" s="289" t="s">
        <v>760</v>
      </c>
      <c r="AG318" s="297">
        <v>5.4</v>
      </c>
      <c r="AH318" s="293">
        <v>8</v>
      </c>
      <c r="AI318" s="292">
        <v>0.271</v>
      </c>
      <c r="AJ318" s="293">
        <v>4</v>
      </c>
      <c r="AK318" s="292">
        <v>0.425</v>
      </c>
      <c r="AL318" s="316">
        <v>1</v>
      </c>
    </row>
    <row r="319" spans="22:38" ht="12.75">
      <c r="V319" s="56"/>
      <c r="W319" s="83"/>
      <c r="X319" s="56"/>
      <c r="AF319" s="289" t="s">
        <v>761</v>
      </c>
      <c r="AG319" s="297">
        <v>5.06</v>
      </c>
      <c r="AH319" s="293">
        <v>6</v>
      </c>
      <c r="AI319" s="292">
        <v>0.465</v>
      </c>
      <c r="AJ319" s="293">
        <v>3.57</v>
      </c>
      <c r="AK319" s="292">
        <v>0.359</v>
      </c>
      <c r="AL319" s="309">
        <v>0.813</v>
      </c>
    </row>
    <row r="320" spans="22:38" ht="12.75">
      <c r="V320" s="42"/>
      <c r="W320" s="37"/>
      <c r="X320" s="37"/>
      <c r="AF320" s="289" t="s">
        <v>762</v>
      </c>
      <c r="AG320" s="297">
        <v>3.66</v>
      </c>
      <c r="AH320" s="293">
        <v>6</v>
      </c>
      <c r="AI320" s="292">
        <v>0.232</v>
      </c>
      <c r="AJ320" s="293">
        <v>3.33</v>
      </c>
      <c r="AK320" s="292">
        <v>0.359</v>
      </c>
      <c r="AL320" s="309">
        <v>0.813</v>
      </c>
    </row>
    <row r="321" spans="22:38" ht="12.75">
      <c r="V321" s="42"/>
      <c r="W321" s="37"/>
      <c r="X321" s="37"/>
      <c r="AF321" s="289" t="s">
        <v>763</v>
      </c>
      <c r="AG321" s="297">
        <v>2.93</v>
      </c>
      <c r="AH321" s="293">
        <v>5</v>
      </c>
      <c r="AI321" s="292">
        <v>0.214</v>
      </c>
      <c r="AJ321" s="293">
        <v>3</v>
      </c>
      <c r="AK321" s="292">
        <v>0.326</v>
      </c>
      <c r="AL321" s="309">
        <v>0.75</v>
      </c>
    </row>
    <row r="322" spans="22:38" ht="12.75">
      <c r="V322" s="42"/>
      <c r="W322" s="37"/>
      <c r="X322" s="37"/>
      <c r="AF322" s="289" t="s">
        <v>764</v>
      </c>
      <c r="AG322" s="297">
        <v>2.79</v>
      </c>
      <c r="AH322" s="293">
        <v>4</v>
      </c>
      <c r="AI322" s="292">
        <v>0.326</v>
      </c>
      <c r="AJ322" s="293">
        <v>2.8</v>
      </c>
      <c r="AK322" s="292">
        <v>0.293</v>
      </c>
      <c r="AL322" s="309">
        <v>0.75</v>
      </c>
    </row>
    <row r="323" spans="23:38" ht="12.75">
      <c r="W323" s="33"/>
      <c r="AF323" s="289" t="s">
        <v>765</v>
      </c>
      <c r="AG323" s="297">
        <v>2.26</v>
      </c>
      <c r="AH323" s="293">
        <v>4</v>
      </c>
      <c r="AI323" s="292">
        <v>0.193</v>
      </c>
      <c r="AJ323" s="293">
        <v>2.66</v>
      </c>
      <c r="AK323" s="292">
        <v>0.293</v>
      </c>
      <c r="AL323" s="309">
        <v>0.75</v>
      </c>
    </row>
    <row r="324" spans="22:38" ht="12.75">
      <c r="V324" s="38"/>
      <c r="W324" s="37"/>
      <c r="X324" s="30"/>
      <c r="AF324" s="289" t="s">
        <v>766</v>
      </c>
      <c r="AG324" s="297">
        <v>2.2</v>
      </c>
      <c r="AH324" s="293">
        <v>3</v>
      </c>
      <c r="AI324" s="292">
        <v>0.349</v>
      </c>
      <c r="AJ324" s="293">
        <v>2.51</v>
      </c>
      <c r="AK324" s="292">
        <v>0.26</v>
      </c>
      <c r="AL324" s="309">
        <v>0.625</v>
      </c>
    </row>
    <row r="325" spans="22:38" ht="12.75">
      <c r="V325" s="42"/>
      <c r="W325" s="37"/>
      <c r="X325" s="37"/>
      <c r="AF325" s="298" t="s">
        <v>767</v>
      </c>
      <c r="AG325" s="299">
        <v>1.66</v>
      </c>
      <c r="AH325" s="300">
        <v>3</v>
      </c>
      <c r="AI325" s="301">
        <v>0.17</v>
      </c>
      <c r="AJ325" s="300">
        <v>2.33</v>
      </c>
      <c r="AK325" s="301">
        <v>0.26</v>
      </c>
      <c r="AL325" s="313">
        <v>0.625</v>
      </c>
    </row>
    <row r="326" spans="22:38" ht="12.75">
      <c r="V326" s="60"/>
      <c r="W326" s="37"/>
      <c r="X326" s="37"/>
      <c r="AF326" s="303" t="s">
        <v>768</v>
      </c>
      <c r="AG326" s="314">
        <v>34.4</v>
      </c>
      <c r="AH326" s="305">
        <v>14.2</v>
      </c>
      <c r="AI326" s="306">
        <v>0.805</v>
      </c>
      <c r="AJ326" s="305">
        <v>14.9</v>
      </c>
      <c r="AK326" s="306">
        <v>0.805</v>
      </c>
      <c r="AL326" s="315">
        <v>1.5</v>
      </c>
    </row>
    <row r="327" spans="32:38" ht="12.75">
      <c r="AF327" s="289" t="s">
        <v>769</v>
      </c>
      <c r="AG327" s="290">
        <v>30</v>
      </c>
      <c r="AH327" s="291">
        <v>14</v>
      </c>
      <c r="AI327" s="292">
        <v>0.705</v>
      </c>
      <c r="AJ327" s="291">
        <v>14.8</v>
      </c>
      <c r="AK327" s="292">
        <v>0.705</v>
      </c>
      <c r="AL327" s="316">
        <v>1.38</v>
      </c>
    </row>
    <row r="328" spans="32:38" ht="12.75">
      <c r="AF328" s="289" t="s">
        <v>770</v>
      </c>
      <c r="AG328" s="290">
        <v>26.1</v>
      </c>
      <c r="AH328" s="291">
        <v>13.8</v>
      </c>
      <c r="AI328" s="292">
        <v>0.615</v>
      </c>
      <c r="AJ328" s="291">
        <v>14.7</v>
      </c>
      <c r="AK328" s="292">
        <v>0.615</v>
      </c>
      <c r="AL328" s="316">
        <v>1.31</v>
      </c>
    </row>
    <row r="329" spans="32:38" ht="12.75">
      <c r="AF329" s="289" t="s">
        <v>771</v>
      </c>
      <c r="AG329" s="290">
        <v>21.4</v>
      </c>
      <c r="AH329" s="291">
        <v>13.6</v>
      </c>
      <c r="AI329" s="292">
        <v>0.505</v>
      </c>
      <c r="AJ329" s="291">
        <v>14.6</v>
      </c>
      <c r="AK329" s="292">
        <v>0.505</v>
      </c>
      <c r="AL329" s="316">
        <v>1.19</v>
      </c>
    </row>
    <row r="330" spans="32:38" ht="12.75">
      <c r="AF330" s="289" t="s">
        <v>772</v>
      </c>
      <c r="AG330" s="290">
        <v>24.6</v>
      </c>
      <c r="AH330" s="291">
        <v>12.3</v>
      </c>
      <c r="AI330" s="292">
        <v>0.685</v>
      </c>
      <c r="AJ330" s="291">
        <v>12.3</v>
      </c>
      <c r="AK330" s="292">
        <v>0.685</v>
      </c>
      <c r="AL330" s="316">
        <v>1.38</v>
      </c>
    </row>
    <row r="331" spans="32:38" ht="12.75">
      <c r="AF331" s="289" t="s">
        <v>773</v>
      </c>
      <c r="AG331" s="290">
        <v>21.8</v>
      </c>
      <c r="AH331" s="291">
        <v>12.1</v>
      </c>
      <c r="AI331" s="292">
        <v>0.605</v>
      </c>
      <c r="AJ331" s="291">
        <v>12.2</v>
      </c>
      <c r="AK331" s="292">
        <v>0.61</v>
      </c>
      <c r="AL331" s="316">
        <v>1.31</v>
      </c>
    </row>
    <row r="332" spans="32:38" ht="12.75">
      <c r="AF332" s="289" t="s">
        <v>774</v>
      </c>
      <c r="AG332" s="290">
        <v>18.4</v>
      </c>
      <c r="AH332" s="291">
        <v>11.9</v>
      </c>
      <c r="AI332" s="292">
        <v>0.515</v>
      </c>
      <c r="AJ332" s="291">
        <v>12.1</v>
      </c>
      <c r="AK332" s="292">
        <v>0.515</v>
      </c>
      <c r="AL332" s="316">
        <v>1.25</v>
      </c>
    </row>
    <row r="333" spans="32:38" ht="12.75">
      <c r="AF333" s="289" t="s">
        <v>775</v>
      </c>
      <c r="AG333" s="290">
        <v>15.5</v>
      </c>
      <c r="AH333" s="291">
        <v>11.8</v>
      </c>
      <c r="AI333" s="292">
        <v>0.435</v>
      </c>
      <c r="AJ333" s="291">
        <v>12</v>
      </c>
      <c r="AK333" s="292">
        <v>0.435</v>
      </c>
      <c r="AL333" s="316">
        <v>1.13</v>
      </c>
    </row>
    <row r="334" spans="22:38" ht="12.75">
      <c r="V334" s="42"/>
      <c r="AF334" s="289" t="s">
        <v>776</v>
      </c>
      <c r="AG334" s="290">
        <v>16.8</v>
      </c>
      <c r="AH334" s="291">
        <v>10</v>
      </c>
      <c r="AI334" s="292">
        <v>0.565</v>
      </c>
      <c r="AJ334" s="291">
        <v>10.2</v>
      </c>
      <c r="AK334" s="292">
        <v>0.565</v>
      </c>
      <c r="AL334" s="316">
        <v>1.25</v>
      </c>
    </row>
    <row r="335" spans="22:38" ht="12.75">
      <c r="V335" s="40"/>
      <c r="AF335" s="289" t="s">
        <v>777</v>
      </c>
      <c r="AG335" s="290">
        <v>12.4</v>
      </c>
      <c r="AH335" s="293">
        <v>9.7</v>
      </c>
      <c r="AI335" s="292">
        <v>0.415</v>
      </c>
      <c r="AJ335" s="291">
        <v>10.1</v>
      </c>
      <c r="AK335" s="292">
        <v>0.42</v>
      </c>
      <c r="AL335" s="316">
        <v>1.13</v>
      </c>
    </row>
    <row r="336" spans="32:38" ht="12.75">
      <c r="AF336" s="298" t="s">
        <v>778</v>
      </c>
      <c r="AG336" s="317">
        <v>10.6</v>
      </c>
      <c r="AH336" s="300">
        <v>8.02</v>
      </c>
      <c r="AI336" s="301">
        <v>0.445</v>
      </c>
      <c r="AJ336" s="300">
        <v>8.16</v>
      </c>
      <c r="AK336" s="301">
        <v>0.445</v>
      </c>
      <c r="AL336" s="318">
        <v>1.13</v>
      </c>
    </row>
    <row r="337" spans="32:38" ht="12.75">
      <c r="AF337" s="303" t="s">
        <v>844</v>
      </c>
      <c r="AG337" s="314">
        <v>14.7</v>
      </c>
      <c r="AH337" s="305">
        <v>15</v>
      </c>
      <c r="AI337" s="306">
        <v>0.716</v>
      </c>
      <c r="AJ337" s="305">
        <v>3.72</v>
      </c>
      <c r="AK337" s="306">
        <v>0.65</v>
      </c>
      <c r="AL337" s="315">
        <v>1.44</v>
      </c>
    </row>
    <row r="338" spans="23:38" ht="12.75">
      <c r="W338" s="37"/>
      <c r="AF338" s="289" t="s">
        <v>845</v>
      </c>
      <c r="AG338" s="290">
        <v>11.8</v>
      </c>
      <c r="AH338" s="291">
        <v>15</v>
      </c>
      <c r="AI338" s="292">
        <v>0.52</v>
      </c>
      <c r="AJ338" s="291">
        <v>3.52</v>
      </c>
      <c r="AK338" s="292">
        <v>0.65</v>
      </c>
      <c r="AL338" s="316">
        <v>1.44</v>
      </c>
    </row>
    <row r="339" spans="23:38" ht="12.75">
      <c r="W339" s="30"/>
      <c r="AF339" s="289" t="s">
        <v>846</v>
      </c>
      <c r="AG339" s="290">
        <v>10</v>
      </c>
      <c r="AH339" s="291">
        <v>15</v>
      </c>
      <c r="AI339" s="292">
        <v>0.4</v>
      </c>
      <c r="AJ339" s="291">
        <v>3.4</v>
      </c>
      <c r="AK339" s="292">
        <v>0.65</v>
      </c>
      <c r="AL339" s="316">
        <v>1.44</v>
      </c>
    </row>
    <row r="340" spans="32:38" ht="12.75">
      <c r="AF340" s="289" t="s">
        <v>847</v>
      </c>
      <c r="AG340" s="290">
        <v>8.81</v>
      </c>
      <c r="AH340" s="291">
        <v>12</v>
      </c>
      <c r="AI340" s="292">
        <v>0.51</v>
      </c>
      <c r="AJ340" s="291">
        <v>3.17</v>
      </c>
      <c r="AK340" s="292">
        <v>0.501</v>
      </c>
      <c r="AL340" s="316">
        <v>1.13</v>
      </c>
    </row>
    <row r="341" spans="32:38" ht="12.75">
      <c r="AF341" s="289" t="s">
        <v>848</v>
      </c>
      <c r="AG341" s="290">
        <v>7.34</v>
      </c>
      <c r="AH341" s="291">
        <v>12</v>
      </c>
      <c r="AI341" s="292">
        <v>0.387</v>
      </c>
      <c r="AJ341" s="291">
        <v>3.05</v>
      </c>
      <c r="AK341" s="292">
        <v>0.501</v>
      </c>
      <c r="AL341" s="316">
        <v>1.13</v>
      </c>
    </row>
    <row r="342" spans="22:38" ht="12.75">
      <c r="V342" s="103"/>
      <c r="AF342" s="289" t="s">
        <v>849</v>
      </c>
      <c r="AG342" s="290">
        <v>6.08</v>
      </c>
      <c r="AH342" s="291">
        <v>12</v>
      </c>
      <c r="AI342" s="292">
        <v>0.282</v>
      </c>
      <c r="AJ342" s="291">
        <v>2.94</v>
      </c>
      <c r="AK342" s="292">
        <v>0.501</v>
      </c>
      <c r="AL342" s="316">
        <v>1.13</v>
      </c>
    </row>
    <row r="343" spans="32:38" ht="12.75">
      <c r="AF343" s="289" t="s">
        <v>850</v>
      </c>
      <c r="AG343" s="290">
        <v>8.81</v>
      </c>
      <c r="AH343" s="291">
        <v>10</v>
      </c>
      <c r="AI343" s="292">
        <v>0.673</v>
      </c>
      <c r="AJ343" s="291">
        <v>3.03</v>
      </c>
      <c r="AK343" s="292">
        <v>0.436</v>
      </c>
      <c r="AL343" s="316">
        <v>1</v>
      </c>
    </row>
    <row r="344" spans="32:38" ht="12.75">
      <c r="AF344" s="289" t="s">
        <v>851</v>
      </c>
      <c r="AG344" s="290">
        <v>7.34</v>
      </c>
      <c r="AH344" s="291">
        <v>10</v>
      </c>
      <c r="AI344" s="292">
        <v>0.526</v>
      </c>
      <c r="AJ344" s="291">
        <v>2.89</v>
      </c>
      <c r="AK344" s="292">
        <v>0.436</v>
      </c>
      <c r="AL344" s="316">
        <v>1</v>
      </c>
    </row>
    <row r="345" spans="32:38" ht="12.75">
      <c r="AF345" s="289" t="s">
        <v>852</v>
      </c>
      <c r="AG345" s="290">
        <v>5.87</v>
      </c>
      <c r="AH345" s="291">
        <v>10</v>
      </c>
      <c r="AI345" s="292">
        <v>0.379</v>
      </c>
      <c r="AJ345" s="291">
        <v>2.74</v>
      </c>
      <c r="AK345" s="292">
        <v>0.436</v>
      </c>
      <c r="AL345" s="316">
        <v>1</v>
      </c>
    </row>
    <row r="346" spans="23:38" ht="12.75">
      <c r="W346" s="103"/>
      <c r="AF346" s="289" t="s">
        <v>853</v>
      </c>
      <c r="AG346" s="290">
        <v>4.48</v>
      </c>
      <c r="AH346" s="291">
        <v>10</v>
      </c>
      <c r="AI346" s="292">
        <v>0.24</v>
      </c>
      <c r="AJ346" s="291">
        <v>2.6</v>
      </c>
      <c r="AK346" s="292">
        <v>0.436</v>
      </c>
      <c r="AL346" s="316">
        <v>1</v>
      </c>
    </row>
    <row r="347" spans="23:38" ht="12.75">
      <c r="W347" s="37"/>
      <c r="AF347" s="289" t="s">
        <v>854</v>
      </c>
      <c r="AG347" s="290">
        <v>5.87</v>
      </c>
      <c r="AH347" s="291">
        <v>9</v>
      </c>
      <c r="AI347" s="292">
        <v>0.448</v>
      </c>
      <c r="AJ347" s="291">
        <v>2.65</v>
      </c>
      <c r="AK347" s="292">
        <v>0.413</v>
      </c>
      <c r="AL347" s="316">
        <v>1</v>
      </c>
    </row>
    <row r="348" spans="23:38" ht="12.75">
      <c r="W348" s="37"/>
      <c r="X348" s="30"/>
      <c r="AF348" s="289" t="s">
        <v>855</v>
      </c>
      <c r="AG348" s="290">
        <v>4.41</v>
      </c>
      <c r="AH348" s="291">
        <v>9</v>
      </c>
      <c r="AI348" s="292">
        <v>0.285</v>
      </c>
      <c r="AJ348" s="291">
        <v>2.49</v>
      </c>
      <c r="AK348" s="292">
        <v>0.413</v>
      </c>
      <c r="AL348" s="316">
        <v>1</v>
      </c>
    </row>
    <row r="349" spans="24:38" ht="12.75">
      <c r="X349" s="30"/>
      <c r="AF349" s="289" t="s">
        <v>856</v>
      </c>
      <c r="AG349" s="290">
        <v>3.94</v>
      </c>
      <c r="AH349" s="291">
        <v>9</v>
      </c>
      <c r="AI349" s="292">
        <v>0.233</v>
      </c>
      <c r="AJ349" s="291">
        <v>2.43</v>
      </c>
      <c r="AK349" s="292">
        <v>0.413</v>
      </c>
      <c r="AL349" s="316">
        <v>1</v>
      </c>
    </row>
    <row r="350" spans="24:38" ht="12.75">
      <c r="X350" s="37"/>
      <c r="AF350" s="289" t="s">
        <v>857</v>
      </c>
      <c r="AG350" s="290">
        <v>5.51</v>
      </c>
      <c r="AH350" s="291">
        <v>8</v>
      </c>
      <c r="AI350" s="292">
        <v>0.487</v>
      </c>
      <c r="AJ350" s="291">
        <v>2.53</v>
      </c>
      <c r="AK350" s="292">
        <v>0.39</v>
      </c>
      <c r="AL350" s="316">
        <v>0.938</v>
      </c>
    </row>
    <row r="351" spans="32:38" ht="12.75">
      <c r="AF351" s="289" t="s">
        <v>858</v>
      </c>
      <c r="AG351" s="290">
        <v>4.04</v>
      </c>
      <c r="AH351" s="291">
        <v>8</v>
      </c>
      <c r="AI351" s="292">
        <v>0.303</v>
      </c>
      <c r="AJ351" s="291">
        <v>2.34</v>
      </c>
      <c r="AK351" s="292">
        <v>0.39</v>
      </c>
      <c r="AL351" s="316">
        <v>0.938</v>
      </c>
    </row>
    <row r="352" spans="24:38" ht="12.75">
      <c r="X352" s="30"/>
      <c r="AF352" s="289" t="s">
        <v>859</v>
      </c>
      <c r="AG352" s="290">
        <v>3.37</v>
      </c>
      <c r="AH352" s="291">
        <v>8</v>
      </c>
      <c r="AI352" s="292">
        <v>0.22</v>
      </c>
      <c r="AJ352" s="291">
        <v>2.26</v>
      </c>
      <c r="AK352" s="292">
        <v>0.39</v>
      </c>
      <c r="AL352" s="316">
        <v>0.938</v>
      </c>
    </row>
    <row r="353" spans="24:38" ht="12.75">
      <c r="X353" s="37"/>
      <c r="AF353" s="289" t="s">
        <v>860</v>
      </c>
      <c r="AG353" s="290">
        <v>4.33</v>
      </c>
      <c r="AH353" s="291">
        <v>7</v>
      </c>
      <c r="AI353" s="292">
        <v>0.419</v>
      </c>
      <c r="AJ353" s="291">
        <v>2.3</v>
      </c>
      <c r="AK353" s="292">
        <v>0.366</v>
      </c>
      <c r="AL353" s="316">
        <v>0.875</v>
      </c>
    </row>
    <row r="354" spans="24:38" ht="12.75">
      <c r="X354" s="37"/>
      <c r="AF354" s="289" t="s">
        <v>861</v>
      </c>
      <c r="AG354" s="290">
        <v>3.6</v>
      </c>
      <c r="AH354" s="291">
        <v>7</v>
      </c>
      <c r="AI354" s="292">
        <v>0.314</v>
      </c>
      <c r="AJ354" s="291">
        <v>2.19</v>
      </c>
      <c r="AK354" s="292">
        <v>0.366</v>
      </c>
      <c r="AL354" s="316">
        <v>0.875</v>
      </c>
    </row>
    <row r="355" spans="32:38" ht="12.75">
      <c r="AF355" s="289" t="s">
        <v>862</v>
      </c>
      <c r="AG355" s="290">
        <v>2.87</v>
      </c>
      <c r="AH355" s="291">
        <v>7</v>
      </c>
      <c r="AI355" s="292">
        <v>0.21</v>
      </c>
      <c r="AJ355" s="291">
        <v>2.09</v>
      </c>
      <c r="AK355" s="292">
        <v>0.366</v>
      </c>
      <c r="AL355" s="316">
        <v>0.875</v>
      </c>
    </row>
    <row r="356" spans="32:38" ht="12.75">
      <c r="AF356" s="289" t="s">
        <v>863</v>
      </c>
      <c r="AG356" s="290">
        <v>3.81</v>
      </c>
      <c r="AH356" s="291">
        <v>6</v>
      </c>
      <c r="AI356" s="292">
        <v>0.437</v>
      </c>
      <c r="AJ356" s="291">
        <v>2.16</v>
      </c>
      <c r="AK356" s="292">
        <v>0.343</v>
      </c>
      <c r="AL356" s="316">
        <v>0.813</v>
      </c>
    </row>
    <row r="357" spans="32:38" ht="12.75">
      <c r="AF357" s="289" t="s">
        <v>864</v>
      </c>
      <c r="AG357" s="290">
        <v>3.08</v>
      </c>
      <c r="AH357" s="291">
        <v>6</v>
      </c>
      <c r="AI357" s="292">
        <v>0.314</v>
      </c>
      <c r="AJ357" s="291">
        <v>2.03</v>
      </c>
      <c r="AK357" s="292">
        <v>0.343</v>
      </c>
      <c r="AL357" s="316">
        <v>0.813</v>
      </c>
    </row>
    <row r="358" spans="32:38" ht="12.75">
      <c r="AF358" s="289" t="s">
        <v>865</v>
      </c>
      <c r="AG358" s="290">
        <v>2.39</v>
      </c>
      <c r="AH358" s="291">
        <v>6</v>
      </c>
      <c r="AI358" s="292">
        <v>0.2</v>
      </c>
      <c r="AJ358" s="291">
        <v>1.92</v>
      </c>
      <c r="AK358" s="292">
        <v>0.343</v>
      </c>
      <c r="AL358" s="316">
        <v>0.813</v>
      </c>
    </row>
    <row r="359" spans="32:38" ht="12.75">
      <c r="AF359" s="289" t="s">
        <v>866</v>
      </c>
      <c r="AG359" s="290">
        <v>2.64</v>
      </c>
      <c r="AH359" s="291">
        <v>5</v>
      </c>
      <c r="AI359" s="292">
        <v>0.325</v>
      </c>
      <c r="AJ359" s="291">
        <v>1.89</v>
      </c>
      <c r="AK359" s="292">
        <v>0.32</v>
      </c>
      <c r="AL359" s="316">
        <v>0.75</v>
      </c>
    </row>
    <row r="360" spans="32:38" ht="12.75">
      <c r="AF360" s="289" t="s">
        <v>867</v>
      </c>
      <c r="AG360" s="290">
        <v>1.97</v>
      </c>
      <c r="AH360" s="291">
        <v>5</v>
      </c>
      <c r="AI360" s="292">
        <v>0.19</v>
      </c>
      <c r="AJ360" s="291">
        <v>1.75</v>
      </c>
      <c r="AK360" s="292">
        <v>0.32</v>
      </c>
      <c r="AL360" s="316">
        <v>0.75</v>
      </c>
    </row>
    <row r="361" spans="32:38" ht="12.75">
      <c r="AF361" s="289" t="s">
        <v>868</v>
      </c>
      <c r="AG361" s="290">
        <v>2.13</v>
      </c>
      <c r="AH361" s="291">
        <v>4</v>
      </c>
      <c r="AI361" s="292">
        <v>0.321</v>
      </c>
      <c r="AJ361" s="291">
        <v>1.72</v>
      </c>
      <c r="AK361" s="292">
        <v>0.296</v>
      </c>
      <c r="AL361" s="316">
        <v>0.75</v>
      </c>
    </row>
    <row r="362" spans="32:38" ht="12.75">
      <c r="AF362" s="289" t="s">
        <v>869</v>
      </c>
      <c r="AG362" s="290">
        <v>1.58</v>
      </c>
      <c r="AH362" s="291">
        <v>4</v>
      </c>
      <c r="AI362" s="292">
        <v>0.184</v>
      </c>
      <c r="AJ362" s="291">
        <v>1.58</v>
      </c>
      <c r="AK362" s="292">
        <v>0.296</v>
      </c>
      <c r="AL362" s="316">
        <v>0.75</v>
      </c>
    </row>
    <row r="363" spans="32:38" ht="12.75">
      <c r="AF363" s="289" t="s">
        <v>870</v>
      </c>
      <c r="AG363" s="290">
        <v>1.38</v>
      </c>
      <c r="AH363" s="291">
        <v>4</v>
      </c>
      <c r="AI363" s="292">
        <v>0.125</v>
      </c>
      <c r="AJ363" s="291">
        <v>1.58</v>
      </c>
      <c r="AK363" s="292">
        <v>0.296</v>
      </c>
      <c r="AL363" s="316">
        <v>0.75</v>
      </c>
    </row>
    <row r="364" spans="32:38" ht="12.75">
      <c r="AF364" s="289" t="s">
        <v>871</v>
      </c>
      <c r="AG364" s="290">
        <v>1.76</v>
      </c>
      <c r="AH364" s="291">
        <v>3</v>
      </c>
      <c r="AI364" s="292">
        <v>0.356</v>
      </c>
      <c r="AJ364" s="291">
        <v>1.6</v>
      </c>
      <c r="AK364" s="292">
        <v>0.273</v>
      </c>
      <c r="AL364" s="316">
        <v>0.688</v>
      </c>
    </row>
    <row r="365" spans="32:38" ht="12.75">
      <c r="AF365" s="289" t="s">
        <v>872</v>
      </c>
      <c r="AG365" s="290">
        <v>1.47</v>
      </c>
      <c r="AH365" s="291">
        <v>3</v>
      </c>
      <c r="AI365" s="292">
        <v>0.258</v>
      </c>
      <c r="AJ365" s="291">
        <v>1.5</v>
      </c>
      <c r="AK365" s="292">
        <v>0.273</v>
      </c>
      <c r="AL365" s="316">
        <v>0.688</v>
      </c>
    </row>
    <row r="366" spans="32:38" ht="12.75">
      <c r="AF366" s="289" t="s">
        <v>873</v>
      </c>
      <c r="AG366" s="290">
        <v>1.2</v>
      </c>
      <c r="AH366" s="291">
        <v>3</v>
      </c>
      <c r="AI366" s="292">
        <v>0.17</v>
      </c>
      <c r="AJ366" s="291">
        <v>1.41</v>
      </c>
      <c r="AK366" s="292">
        <v>0.273</v>
      </c>
      <c r="AL366" s="316">
        <v>0.688</v>
      </c>
    </row>
    <row r="367" spans="32:38" ht="12.75">
      <c r="AF367" s="298" t="s">
        <v>874</v>
      </c>
      <c r="AG367" s="317">
        <v>1.09</v>
      </c>
      <c r="AH367" s="300">
        <v>3</v>
      </c>
      <c r="AI367" s="301">
        <v>0.132</v>
      </c>
      <c r="AJ367" s="300">
        <v>1.37</v>
      </c>
      <c r="AK367" s="301">
        <v>0.273</v>
      </c>
      <c r="AL367" s="318">
        <v>0.688</v>
      </c>
    </row>
    <row r="368" spans="32:38" ht="12.75">
      <c r="AF368" s="289" t="s">
        <v>875</v>
      </c>
      <c r="AG368" s="290">
        <v>17.1</v>
      </c>
      <c r="AH368" s="291">
        <v>18</v>
      </c>
      <c r="AI368" s="292">
        <v>0.7</v>
      </c>
      <c r="AJ368" s="291">
        <v>4.2</v>
      </c>
      <c r="AK368" s="292">
        <v>0.625</v>
      </c>
      <c r="AL368" s="316">
        <v>1.44</v>
      </c>
    </row>
    <row r="369" spans="32:38" ht="12.75">
      <c r="AF369" s="289" t="s">
        <v>876</v>
      </c>
      <c r="AG369" s="290">
        <v>15.3</v>
      </c>
      <c r="AH369" s="291">
        <v>18</v>
      </c>
      <c r="AI369" s="292">
        <v>0.6</v>
      </c>
      <c r="AJ369" s="291">
        <v>4.1</v>
      </c>
      <c r="AK369" s="292">
        <v>0.625</v>
      </c>
      <c r="AL369" s="316">
        <v>1.44</v>
      </c>
    </row>
    <row r="370" spans="32:38" ht="12.75">
      <c r="AF370" s="289" t="s">
        <v>877</v>
      </c>
      <c r="AG370" s="290">
        <v>13.5</v>
      </c>
      <c r="AH370" s="291">
        <v>18</v>
      </c>
      <c r="AI370" s="292">
        <v>0.5</v>
      </c>
      <c r="AJ370" s="291">
        <v>4</v>
      </c>
      <c r="AK370" s="292">
        <v>0.625</v>
      </c>
      <c r="AL370" s="316">
        <v>1.44</v>
      </c>
    </row>
    <row r="371" spans="32:38" ht="12.75">
      <c r="AF371" s="289" t="s">
        <v>878</v>
      </c>
      <c r="AG371" s="290">
        <v>12.6</v>
      </c>
      <c r="AH371" s="291">
        <v>18</v>
      </c>
      <c r="AI371" s="292">
        <v>0.45</v>
      </c>
      <c r="AJ371" s="291">
        <v>3.95</v>
      </c>
      <c r="AK371" s="292">
        <v>0.625</v>
      </c>
      <c r="AL371" s="316">
        <v>1.44</v>
      </c>
    </row>
    <row r="372" spans="32:38" ht="12.75">
      <c r="AF372" s="289" t="s">
        <v>879</v>
      </c>
      <c r="AG372" s="290">
        <v>14.7</v>
      </c>
      <c r="AH372" s="291">
        <v>13</v>
      </c>
      <c r="AI372" s="292">
        <v>0.787</v>
      </c>
      <c r="AJ372" s="291">
        <v>4.41</v>
      </c>
      <c r="AK372" s="292">
        <v>0.61</v>
      </c>
      <c r="AL372" s="316">
        <v>1.44</v>
      </c>
    </row>
    <row r="373" spans="32:38" ht="12.75">
      <c r="AF373" s="289" t="s">
        <v>880</v>
      </c>
      <c r="AG373" s="290">
        <v>11.8</v>
      </c>
      <c r="AH373" s="291">
        <v>13</v>
      </c>
      <c r="AI373" s="292">
        <v>0.56</v>
      </c>
      <c r="AJ373" s="291">
        <v>4.19</v>
      </c>
      <c r="AK373" s="292">
        <v>0.61</v>
      </c>
      <c r="AL373" s="316">
        <v>1.44</v>
      </c>
    </row>
    <row r="374" spans="32:38" ht="12.75">
      <c r="AF374" s="289" t="s">
        <v>881</v>
      </c>
      <c r="AG374" s="290">
        <v>10.3</v>
      </c>
      <c r="AH374" s="291">
        <v>13</v>
      </c>
      <c r="AI374" s="292">
        <v>0.447</v>
      </c>
      <c r="AJ374" s="291">
        <v>4.07</v>
      </c>
      <c r="AK374" s="292">
        <v>0.61</v>
      </c>
      <c r="AL374" s="316">
        <v>1.44</v>
      </c>
    </row>
    <row r="375" spans="32:38" ht="12.75">
      <c r="AF375" s="289" t="s">
        <v>882</v>
      </c>
      <c r="AG375" s="290">
        <v>9.35</v>
      </c>
      <c r="AH375" s="291">
        <v>13</v>
      </c>
      <c r="AI375" s="292">
        <v>0.375</v>
      </c>
      <c r="AJ375" s="291">
        <v>4</v>
      </c>
      <c r="AK375" s="292">
        <v>0.61</v>
      </c>
      <c r="AL375" s="316">
        <v>1.44</v>
      </c>
    </row>
    <row r="376" spans="32:38" ht="12.75">
      <c r="AF376" s="289" t="s">
        <v>883</v>
      </c>
      <c r="AG376" s="290">
        <v>14.7</v>
      </c>
      <c r="AH376" s="291">
        <v>12</v>
      </c>
      <c r="AI376" s="292">
        <v>0.835</v>
      </c>
      <c r="AJ376" s="291">
        <v>4.14</v>
      </c>
      <c r="AK376" s="292">
        <v>0.7</v>
      </c>
      <c r="AL376" s="316">
        <v>1.31</v>
      </c>
    </row>
    <row r="377" spans="32:38" ht="12.75">
      <c r="AF377" s="289" t="s">
        <v>884</v>
      </c>
      <c r="AG377" s="290">
        <v>13.2</v>
      </c>
      <c r="AH377" s="291">
        <v>12</v>
      </c>
      <c r="AI377" s="292">
        <v>0.71</v>
      </c>
      <c r="AJ377" s="291">
        <v>4.01</v>
      </c>
      <c r="AK377" s="292">
        <v>0.7</v>
      </c>
      <c r="AL377" s="316">
        <v>1.31</v>
      </c>
    </row>
    <row r="378" spans="32:38" ht="12.75">
      <c r="AF378" s="289" t="s">
        <v>885</v>
      </c>
      <c r="AG378" s="290">
        <v>11.8</v>
      </c>
      <c r="AH378" s="291">
        <v>12</v>
      </c>
      <c r="AI378" s="292">
        <v>0.59</v>
      </c>
      <c r="AJ378" s="291">
        <v>3.89</v>
      </c>
      <c r="AK378" s="292">
        <v>0.7</v>
      </c>
      <c r="AL378" s="316">
        <v>1.31</v>
      </c>
    </row>
    <row r="379" spans="32:38" ht="12.75">
      <c r="AF379" s="289" t="s">
        <v>886</v>
      </c>
      <c r="AG379" s="290">
        <v>10.3</v>
      </c>
      <c r="AH379" s="291">
        <v>12</v>
      </c>
      <c r="AI379" s="292">
        <v>0.465</v>
      </c>
      <c r="AJ379" s="291">
        <v>3.77</v>
      </c>
      <c r="AK379" s="292">
        <v>0.7</v>
      </c>
      <c r="AL379" s="316">
        <v>1.31</v>
      </c>
    </row>
    <row r="380" spans="32:38" ht="12.75">
      <c r="AF380" s="289" t="s">
        <v>887</v>
      </c>
      <c r="AG380" s="290">
        <v>9.12</v>
      </c>
      <c r="AH380" s="291">
        <v>12</v>
      </c>
      <c r="AI380" s="292">
        <v>0.37</v>
      </c>
      <c r="AJ380" s="291">
        <v>3.67</v>
      </c>
      <c r="AK380" s="292">
        <v>0.7</v>
      </c>
      <c r="AL380" s="316">
        <v>1.31</v>
      </c>
    </row>
    <row r="381" spans="32:38" ht="12.75">
      <c r="AF381" s="289" t="s">
        <v>888</v>
      </c>
      <c r="AG381" s="290">
        <v>3.1</v>
      </c>
      <c r="AH381" s="291">
        <v>12</v>
      </c>
      <c r="AI381" s="292">
        <v>0.19</v>
      </c>
      <c r="AJ381" s="291">
        <v>1.5</v>
      </c>
      <c r="AK381" s="292">
        <v>0.309</v>
      </c>
      <c r="AL381" s="316">
        <v>0.75</v>
      </c>
    </row>
    <row r="382" spans="32:38" ht="12.75">
      <c r="AF382" s="289" t="s">
        <v>889</v>
      </c>
      <c r="AG382" s="290">
        <v>12.1</v>
      </c>
      <c r="AH382" s="291">
        <v>10</v>
      </c>
      <c r="AI382" s="292">
        <v>0.796</v>
      </c>
      <c r="AJ382" s="291">
        <v>4.32</v>
      </c>
      <c r="AK382" s="292">
        <v>0.575</v>
      </c>
      <c r="AL382" s="316">
        <v>1.31</v>
      </c>
    </row>
    <row r="383" spans="32:38" ht="12.75">
      <c r="AF383" s="289" t="s">
        <v>890</v>
      </c>
      <c r="AG383" s="290">
        <v>9.87</v>
      </c>
      <c r="AH383" s="291">
        <v>10</v>
      </c>
      <c r="AI383" s="292">
        <v>0.575</v>
      </c>
      <c r="AJ383" s="291">
        <v>4.1</v>
      </c>
      <c r="AK383" s="292">
        <v>0.575</v>
      </c>
      <c r="AL383" s="316">
        <v>1.31</v>
      </c>
    </row>
    <row r="384" spans="32:38" ht="12.75">
      <c r="AF384" s="289" t="s">
        <v>891</v>
      </c>
      <c r="AG384" s="290">
        <v>8.37</v>
      </c>
      <c r="AH384" s="291">
        <v>10</v>
      </c>
      <c r="AI384" s="292">
        <v>0.425</v>
      </c>
      <c r="AJ384" s="291">
        <v>3.95</v>
      </c>
      <c r="AK384" s="292">
        <v>0.575</v>
      </c>
      <c r="AL384" s="316">
        <v>1.31</v>
      </c>
    </row>
    <row r="385" spans="32:38" ht="12.75">
      <c r="AF385" s="289" t="s">
        <v>892</v>
      </c>
      <c r="AG385" s="290">
        <v>7.35</v>
      </c>
      <c r="AH385" s="291">
        <v>10</v>
      </c>
      <c r="AI385" s="292">
        <v>0.38</v>
      </c>
      <c r="AJ385" s="291">
        <v>3.41</v>
      </c>
      <c r="AK385" s="292">
        <v>0.575</v>
      </c>
      <c r="AL385" s="316">
        <v>1.31</v>
      </c>
    </row>
    <row r="386" spans="32:38" ht="12.75">
      <c r="AF386" s="289" t="s">
        <v>893</v>
      </c>
      <c r="AG386" s="290">
        <v>6.45</v>
      </c>
      <c r="AH386" s="291">
        <v>10</v>
      </c>
      <c r="AI386" s="292">
        <v>0.29</v>
      </c>
      <c r="AJ386" s="291">
        <v>3.32</v>
      </c>
      <c r="AK386" s="292">
        <v>0.575</v>
      </c>
      <c r="AL386" s="316">
        <v>1.31</v>
      </c>
    </row>
    <row r="387" spans="32:38" ht="12.75">
      <c r="AF387" s="289" t="s">
        <v>894</v>
      </c>
      <c r="AG387" s="290">
        <v>2.46</v>
      </c>
      <c r="AH387" s="291">
        <v>10</v>
      </c>
      <c r="AI387" s="292">
        <v>0.17</v>
      </c>
      <c r="AJ387" s="291">
        <v>1.5</v>
      </c>
      <c r="AK387" s="292">
        <v>0.28</v>
      </c>
      <c r="AL387" s="316">
        <v>0.75</v>
      </c>
    </row>
    <row r="388" spans="32:38" ht="12.75">
      <c r="AF388" s="289" t="s">
        <v>895</v>
      </c>
      <c r="AG388" s="290">
        <v>1.95</v>
      </c>
      <c r="AH388" s="291">
        <v>10</v>
      </c>
      <c r="AI388" s="292">
        <v>0.152</v>
      </c>
      <c r="AJ388" s="291">
        <v>1.17</v>
      </c>
      <c r="AK388" s="292">
        <v>0.202</v>
      </c>
      <c r="AL388" s="316">
        <v>0.563</v>
      </c>
    </row>
    <row r="389" spans="32:38" ht="12.75">
      <c r="AF389" s="289" t="s">
        <v>896</v>
      </c>
      <c r="AG389" s="290">
        <v>7.47</v>
      </c>
      <c r="AH389" s="291">
        <v>9</v>
      </c>
      <c r="AI389" s="292">
        <v>0.45</v>
      </c>
      <c r="AJ389" s="291">
        <v>3.5</v>
      </c>
      <c r="AK389" s="292">
        <v>0.55</v>
      </c>
      <c r="AL389" s="316">
        <v>1.25</v>
      </c>
    </row>
    <row r="390" spans="32:38" ht="12.75">
      <c r="AF390" s="289" t="s">
        <v>897</v>
      </c>
      <c r="AG390" s="290">
        <v>7.02</v>
      </c>
      <c r="AH390" s="291">
        <v>9</v>
      </c>
      <c r="AI390" s="292">
        <v>0.4</v>
      </c>
      <c r="AJ390" s="291">
        <v>3.45</v>
      </c>
      <c r="AK390" s="292">
        <v>0.55</v>
      </c>
      <c r="AL390" s="316">
        <v>1.25</v>
      </c>
    </row>
    <row r="391" spans="32:38" ht="12.75">
      <c r="AF391" s="289" t="s">
        <v>898</v>
      </c>
      <c r="AG391" s="290">
        <v>6.7</v>
      </c>
      <c r="AH391" s="291">
        <v>8</v>
      </c>
      <c r="AI391" s="292">
        <v>0.427</v>
      </c>
      <c r="AJ391" s="291">
        <v>3.5</v>
      </c>
      <c r="AK391" s="292">
        <v>0.525</v>
      </c>
      <c r="AL391" s="316">
        <v>1.19</v>
      </c>
    </row>
    <row r="392" spans="32:38" ht="12.75">
      <c r="AF392" s="289" t="s">
        <v>899</v>
      </c>
      <c r="AG392" s="290">
        <v>6.28</v>
      </c>
      <c r="AH392" s="291">
        <v>8</v>
      </c>
      <c r="AI392" s="292">
        <v>0.375</v>
      </c>
      <c r="AJ392" s="291">
        <v>3.45</v>
      </c>
      <c r="AK392" s="292">
        <v>0.525</v>
      </c>
      <c r="AL392" s="316">
        <v>1.19</v>
      </c>
    </row>
    <row r="393" spans="32:38" ht="12.75">
      <c r="AF393" s="289" t="s">
        <v>900</v>
      </c>
      <c r="AG393" s="290">
        <v>5.88</v>
      </c>
      <c r="AH393" s="291">
        <v>8</v>
      </c>
      <c r="AI393" s="292">
        <v>0.4</v>
      </c>
      <c r="AJ393" s="291">
        <v>3.03</v>
      </c>
      <c r="AK393" s="292">
        <v>0.5</v>
      </c>
      <c r="AL393" s="316">
        <v>1.13</v>
      </c>
    </row>
    <row r="394" spans="32:38" ht="12.75">
      <c r="AF394" s="289" t="s">
        <v>901</v>
      </c>
      <c r="AG394" s="290">
        <v>5.5</v>
      </c>
      <c r="AH394" s="291">
        <v>8</v>
      </c>
      <c r="AI394" s="292">
        <v>0.353</v>
      </c>
      <c r="AJ394" s="291">
        <v>2.98</v>
      </c>
      <c r="AK394" s="292">
        <v>0.5</v>
      </c>
      <c r="AL394" s="316">
        <v>1.13</v>
      </c>
    </row>
    <row r="395" spans="32:38" ht="12.75">
      <c r="AF395" s="289" t="s">
        <v>902</v>
      </c>
      <c r="AG395" s="290">
        <v>2.5</v>
      </c>
      <c r="AH395" s="291">
        <v>8</v>
      </c>
      <c r="AI395" s="292">
        <v>0.179</v>
      </c>
      <c r="AJ395" s="291">
        <v>1.87</v>
      </c>
      <c r="AK395" s="292">
        <v>0.311</v>
      </c>
      <c r="AL395" s="316">
        <v>0.813</v>
      </c>
    </row>
    <row r="396" spans="32:38" ht="12.75">
      <c r="AF396" s="289" t="s">
        <v>903</v>
      </c>
      <c r="AG396" s="290">
        <v>6.67</v>
      </c>
      <c r="AH396" s="291">
        <v>7</v>
      </c>
      <c r="AI396" s="292">
        <v>0.503</v>
      </c>
      <c r="AJ396" s="291">
        <v>3.6</v>
      </c>
      <c r="AK396" s="292">
        <v>0.5</v>
      </c>
      <c r="AL396" s="316">
        <v>1.13</v>
      </c>
    </row>
    <row r="397" spans="32:38" ht="12.75">
      <c r="AF397" s="289" t="s">
        <v>904</v>
      </c>
      <c r="AG397" s="290">
        <v>5.61</v>
      </c>
      <c r="AH397" s="291">
        <v>7</v>
      </c>
      <c r="AI397" s="292">
        <v>0.352</v>
      </c>
      <c r="AJ397" s="291">
        <v>3.45</v>
      </c>
      <c r="AK397" s="292">
        <v>0.5</v>
      </c>
      <c r="AL397" s="316">
        <v>1.13</v>
      </c>
    </row>
    <row r="398" spans="32:38" ht="12.75">
      <c r="AF398" s="289" t="s">
        <v>905</v>
      </c>
      <c r="AG398" s="290">
        <v>5.29</v>
      </c>
      <c r="AH398" s="291">
        <v>6</v>
      </c>
      <c r="AI398" s="292">
        <v>0.379</v>
      </c>
      <c r="AJ398" s="291">
        <v>3.5</v>
      </c>
      <c r="AK398" s="292">
        <v>0.475</v>
      </c>
      <c r="AL398" s="316">
        <v>1.06</v>
      </c>
    </row>
    <row r="399" spans="32:38" ht="12.75">
      <c r="AF399" s="289" t="s">
        <v>906</v>
      </c>
      <c r="AG399" s="290">
        <v>4.49</v>
      </c>
      <c r="AH399" s="291">
        <v>6</v>
      </c>
      <c r="AI399" s="292">
        <v>0.34</v>
      </c>
      <c r="AJ399" s="291">
        <v>3.5</v>
      </c>
      <c r="AK399" s="292">
        <v>0.385</v>
      </c>
      <c r="AL399" s="316">
        <v>0.875</v>
      </c>
    </row>
    <row r="400" spans="32:38" ht="12.75">
      <c r="AF400" s="289" t="s">
        <v>907</v>
      </c>
      <c r="AG400" s="290">
        <v>4.79</v>
      </c>
      <c r="AH400" s="291">
        <v>6</v>
      </c>
      <c r="AI400" s="292">
        <v>0.375</v>
      </c>
      <c r="AJ400" s="291">
        <v>3</v>
      </c>
      <c r="AK400" s="292">
        <v>0.475</v>
      </c>
      <c r="AL400" s="316">
        <v>1.06</v>
      </c>
    </row>
    <row r="401" spans="32:38" ht="12.75">
      <c r="AF401" s="289" t="s">
        <v>908</v>
      </c>
      <c r="AG401" s="290">
        <v>4.44</v>
      </c>
      <c r="AH401" s="291">
        <v>6</v>
      </c>
      <c r="AI401" s="292">
        <v>0.316</v>
      </c>
      <c r="AJ401" s="291">
        <v>2.94</v>
      </c>
      <c r="AK401" s="292">
        <v>0.475</v>
      </c>
      <c r="AL401" s="316">
        <v>1.06</v>
      </c>
    </row>
    <row r="402" spans="32:38" ht="12.75">
      <c r="AF402" s="289" t="s">
        <v>909</v>
      </c>
      <c r="AG402" s="290">
        <v>3.53</v>
      </c>
      <c r="AH402" s="291">
        <v>6</v>
      </c>
      <c r="AI402" s="292">
        <v>0.31</v>
      </c>
      <c r="AJ402" s="291">
        <v>2.5</v>
      </c>
      <c r="AK402" s="292">
        <v>0.375</v>
      </c>
      <c r="AL402" s="316">
        <v>0.875</v>
      </c>
    </row>
    <row r="403" spans="32:38" ht="12.75">
      <c r="AF403" s="289" t="s">
        <v>910</v>
      </c>
      <c r="AG403" s="290">
        <v>2.09</v>
      </c>
      <c r="AH403" s="291">
        <v>6</v>
      </c>
      <c r="AI403" s="292">
        <v>0.179</v>
      </c>
      <c r="AJ403" s="291">
        <v>1.88</v>
      </c>
      <c r="AK403" s="292">
        <v>0.291</v>
      </c>
      <c r="AL403" s="316">
        <v>0.75</v>
      </c>
    </row>
    <row r="404" spans="32:38" ht="12.75">
      <c r="AF404" s="289" t="s">
        <v>911</v>
      </c>
      <c r="AG404" s="290">
        <v>1.95</v>
      </c>
      <c r="AH404" s="291">
        <v>6</v>
      </c>
      <c r="AI404" s="292">
        <v>0.155</v>
      </c>
      <c r="AJ404" s="291">
        <v>1.85</v>
      </c>
      <c r="AK404" s="292">
        <v>0.291</v>
      </c>
      <c r="AL404" s="316">
        <v>0.75</v>
      </c>
    </row>
    <row r="405" spans="32:38" ht="12.75">
      <c r="AF405" s="289" t="s">
        <v>912</v>
      </c>
      <c r="AG405" s="290">
        <v>4.03</v>
      </c>
      <c r="AH405" s="291">
        <v>4</v>
      </c>
      <c r="AI405" s="292">
        <v>0.5</v>
      </c>
      <c r="AJ405" s="291">
        <v>2.5</v>
      </c>
      <c r="AK405" s="292">
        <v>0.5</v>
      </c>
      <c r="AL405" s="316">
        <v>1</v>
      </c>
    </row>
    <row r="406" spans="32:38" ht="12.75">
      <c r="AF406" s="298" t="s">
        <v>913</v>
      </c>
      <c r="AG406" s="317">
        <v>2.11</v>
      </c>
      <c r="AH406" s="300">
        <v>3</v>
      </c>
      <c r="AI406" s="301">
        <v>0.312</v>
      </c>
      <c r="AJ406" s="300">
        <v>1.94</v>
      </c>
      <c r="AK406" s="301">
        <v>0.351</v>
      </c>
      <c r="AL406" s="318">
        <v>0.813</v>
      </c>
    </row>
    <row r="414" ht="12.75">
      <c r="V414" s="30"/>
    </row>
    <row r="415" ht="12.75">
      <c r="V415" s="30"/>
    </row>
    <row r="416" ht="12.75">
      <c r="V416" s="30"/>
    </row>
    <row r="417" ht="12.75">
      <c r="V417" s="30"/>
    </row>
    <row r="418" ht="12.75">
      <c r="V418" s="30"/>
    </row>
    <row r="419" ht="12.75">
      <c r="V419" s="30"/>
    </row>
    <row r="420" ht="12.75">
      <c r="V420" s="30"/>
    </row>
    <row r="421" ht="12.75">
      <c r="V421" s="30"/>
    </row>
    <row r="422" ht="12.75">
      <c r="V422" s="30"/>
    </row>
    <row r="428" ht="12.75">
      <c r="V428" s="30"/>
    </row>
    <row r="429" ht="12.75">
      <c r="V429" s="30"/>
    </row>
    <row r="430" ht="12.75">
      <c r="V430" s="30"/>
    </row>
    <row r="431" ht="12.75">
      <c r="V431" s="30"/>
    </row>
    <row r="432" ht="12.75">
      <c r="V432" s="30"/>
    </row>
    <row r="433" ht="12.75">
      <c r="V433" s="37"/>
    </row>
  </sheetData>
  <sheetProtection sheet="1" objects="1" scenarios="1"/>
  <conditionalFormatting sqref="AN71 AN211 AN176:AN177 AN166:AN173 AN141:AN144 AN204 AN202 AN74:AN75 AN77:AN88 AN90:AN92 AN94:AN97 AN99 AN101:AN105 AN107:AN113 AN115:AN124 AN147:AN164 AN126:AN138 AN179:AN200">
    <cfRule type="expression" priority="7" dxfId="0" stopIfTrue="1">
      <formula>IF(AO71="","",AO71&gt;1)</formula>
    </cfRule>
  </conditionalFormatting>
  <conditionalFormatting sqref="AO27:AO30 AO16:AO17 AO22:AO25 AO19 AO7:AO14">
    <cfRule type="expression" priority="8" dxfId="0" stopIfTrue="1">
      <formula>IF(AR7="","",AR7&gt;1)</formula>
    </cfRule>
  </conditionalFormatting>
  <conditionalFormatting sqref="I40">
    <cfRule type="expression" priority="9" dxfId="0" stopIfTrue="1">
      <formula>G40&gt;1</formula>
    </cfRule>
  </conditionalFormatting>
  <conditionalFormatting sqref="AO18 AO20">
    <cfRule type="expression" priority="10" dxfId="0" stopIfTrue="1">
      <formula>AR17&gt;1</formula>
    </cfRule>
  </conditionalFormatting>
  <conditionalFormatting sqref="AP18 AP20">
    <cfRule type="expression" priority="11" dxfId="0" stopIfTrue="1">
      <formula>AR17&gt;1</formula>
    </cfRule>
  </conditionalFormatting>
  <conditionalFormatting sqref="I74:I99 I109:I124 I143 I147 I161 I171:I172 I174:I177 I190:I202 I136:I137">
    <cfRule type="expression" priority="12" dxfId="0" stopIfTrue="1">
      <formula>AO74&gt;1</formula>
    </cfRule>
  </conditionalFormatting>
  <conditionalFormatting sqref="I131 I125 I103:I107">
    <cfRule type="expression" priority="13" dxfId="0" stopIfTrue="1">
      <formula>AO104&gt;1</formula>
    </cfRule>
  </conditionalFormatting>
  <conditionalFormatting sqref="I130">
    <cfRule type="expression" priority="14" dxfId="0" stopIfTrue="1">
      <formula>AO140&gt;1</formula>
    </cfRule>
  </conditionalFormatting>
  <conditionalFormatting sqref="I126">
    <cfRule type="expression" priority="15" dxfId="0" stopIfTrue="1">
      <formula>AO128&gt;1</formula>
    </cfRule>
  </conditionalFormatting>
  <conditionalFormatting sqref="I152">
    <cfRule type="expression" priority="16" dxfId="0" stopIfTrue="1">
      <formula>AO159&gt;1</formula>
    </cfRule>
  </conditionalFormatting>
  <conditionalFormatting sqref="I132:I133">
    <cfRule type="expression" priority="17" dxfId="0" stopIfTrue="1">
      <formula>AO141&gt;1</formula>
    </cfRule>
  </conditionalFormatting>
  <conditionalFormatting sqref="I248:I249">
    <cfRule type="expression" priority="18" dxfId="0" stopIfTrue="1">
      <formula>AO207&gt;1</formula>
    </cfRule>
  </conditionalFormatting>
  <conditionalFormatting sqref="I178 I163:I167">
    <cfRule type="expression" priority="19" dxfId="0" stopIfTrue="1">
      <formula>AO166&gt;1</formula>
    </cfRule>
  </conditionalFormatting>
  <conditionalFormatting sqref="I217">
    <cfRule type="expression" priority="20" dxfId="0" stopIfTrue="1">
      <formula>AO173&gt;1</formula>
    </cfRule>
  </conditionalFormatting>
  <conditionalFormatting sqref="I179:I185">
    <cfRule type="expression" priority="21" dxfId="0" stopIfTrue="1">
      <formula>AO183&gt;1</formula>
    </cfRule>
  </conditionalFormatting>
  <conditionalFormatting sqref="I138">
    <cfRule type="expression" priority="22" dxfId="0" stopIfTrue="1">
      <formula>AO149&gt;1</formula>
    </cfRule>
  </conditionalFormatting>
  <conditionalFormatting sqref="AO259:AO260 AO166:AO173 G40 AO211 AO197:AO209 AO71:AO75 AO77:AO88 AO90:AO92 AO94:AO97 AO99 AO101:AO105 AO176:AO177 AO107:AO113 AO126:AO138 AO147:AO164 AO141:AO144 AO115:AO124 AO179:AO195 AR7:AR32">
    <cfRule type="cellIs" priority="23" dxfId="0" operator="greaterThan" stopIfTrue="1">
      <formula>1</formula>
    </cfRule>
  </conditionalFormatting>
  <conditionalFormatting sqref="I186:I189">
    <cfRule type="expression" priority="24" dxfId="0" stopIfTrue="1">
      <formula>#REF!&gt;1</formula>
    </cfRule>
  </conditionalFormatting>
  <conditionalFormatting sqref="I154:I160">
    <cfRule type="expression" priority="25" dxfId="0" stopIfTrue="1">
      <formula>#REF!&gt;1</formula>
    </cfRule>
  </conditionalFormatting>
  <conditionalFormatting sqref="I168:I170">
    <cfRule type="expression" priority="26" dxfId="0" stopIfTrue="1">
      <formula>#REF!&gt;1</formula>
    </cfRule>
  </conditionalFormatting>
  <conditionalFormatting sqref="I173">
    <cfRule type="expression" priority="27" dxfId="0" stopIfTrue="1">
      <formula>#REF!&gt;1</formula>
    </cfRule>
  </conditionalFormatting>
  <conditionalFormatting sqref="I141:I142 I144:I146">
    <cfRule type="expression" priority="28" dxfId="0" stopIfTrue="1">
      <formula>#REF!&gt;1</formula>
    </cfRule>
  </conditionalFormatting>
  <conditionalFormatting sqref="I127:I128 I134">
    <cfRule type="expression" priority="29" dxfId="0" stopIfTrue="1">
      <formula>#REF!&gt;1</formula>
    </cfRule>
  </conditionalFormatting>
  <conditionalFormatting sqref="I129">
    <cfRule type="expression" priority="30" dxfId="0" stopIfTrue="1">
      <formula>#REF!&gt;1</formula>
    </cfRule>
  </conditionalFormatting>
  <conditionalFormatting sqref="I108">
    <cfRule type="expression" priority="31" dxfId="0" stopIfTrue="1">
      <formula>#REF!&gt;1</formula>
    </cfRule>
  </conditionalFormatting>
  <conditionalFormatting sqref="E25">
    <cfRule type="cellIs" priority="32" dxfId="0" operator="notEqual" stopIfTrue="1">
      <formula>"OK"</formula>
    </cfRule>
  </conditionalFormatting>
  <conditionalFormatting sqref="I102">
    <cfRule type="expression" priority="33" dxfId="0" stopIfTrue="1">
      <formula>#REF!&gt;1</formula>
    </cfRule>
  </conditionalFormatting>
  <conditionalFormatting sqref="G38:G39">
    <cfRule type="expression" priority="34" dxfId="0" stopIfTrue="1">
      <formula>$G$40&gt;1</formula>
    </cfRule>
  </conditionalFormatting>
  <dataValidations count="23">
    <dataValidation type="decimal" allowBlank="1" showInputMessage="1" showErrorMessage="1" prompt="The depth of the bottom flange cope (dc2) must be &lt;= 0.2*d.  If cope length (c) is input = 0, then cope depth (dc2) must be input = 0." errorTitle="Warning!" error="The value of dc2 MUST BE &lt;= 0.2*d" sqref="D36">
      <formula1>0</formula1>
      <formula2>0.2*$B$45</formula2>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4">
      <formula1>0</formula1>
      <formula2>2*$B$45</formula2>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5">
      <formula1>0</formula1>
    </dataValidation>
    <dataValidation type="list" allowBlank="1" showInputMessage="1" showErrorMessage="1" prompt="If beam has axial load (P) and there is no beam or brace on opposite side of column web, then the column web should be checked (Yes) for web bending and out-of-plane web shear.  For most cases the input here will be &quot;No&quot;." sqref="D39">
      <formula1>$K$45:$K$46</formula1>
    </dataValidation>
    <dataValidation type="list" allowBlank="1" showInputMessage="1" showErrorMessage="1" sqref="D38">
      <formula1>$K$3:$K$4</formula1>
    </dataValidation>
    <dataValidation type="decimal" operator="greaterThanOrEqual" allowBlank="1" showInputMessage="1" showErrorMessage="1" prompt="The minimum edge distance (ED) must be &gt;= Table J3.4." errorTitle="Warning!" error="Edge distance must be &gt;= Table J3.4" sqref="D32">
      <formula1>VLOOKUP($D$24,$AA$17:$AB$24,2,FALSE)</formula1>
    </dataValidation>
    <dataValidation allowBlank="1" showInputMessage="1" showErrorMessage="1" prompt="The distance, 'D1', is the distance from the top of the beam down to the top row of the bolts." sqref="D30"/>
    <dataValidation type="decimal" operator="greaterThanOrEqual" allowBlank="1" showInputMessage="1" showErrorMessage="1" prompt="The bolt vertical spacing (S) is typically = 3&quot;, and must be &gt;= 2.66*db." sqref="D31">
      <formula1>2.66*$D$24</formula1>
    </dataValidation>
    <dataValidation type="list" allowBlank="1" showInputMessage="1" showErrorMessage="1" errorTitle="Warning!" error="Invalid steel yield strength" sqref="D22 D12:D13">
      <formula1>$K$3:$K$4</formula1>
    </dataValidation>
    <dataValidation type="decimal" operator="greaterThanOrEqual" allowBlank="1" showInputMessage="1" showErrorMessage="1" error="The value input MUST BE &gt;= 0 !" sqref="D16">
      <formula1>0</formula1>
    </dataValidation>
    <dataValidation type="decimal" operator="greaterThanOrEqual" allowBlank="1" showInputMessage="1" showErrorMessage="1" prompt="The beam axial force, 'P', is the axial transfer or drag force which is to be considered in the connection analysis." error="The value input MUST BE &gt;= 0 !" sqref="D17">
      <formula1>0</formula1>
    </dataValidation>
    <dataValidation type="list" allowBlank="1" showInputMessage="1" showErrorMessage="1" prompt="User may either select desired size from pick box or type in the size designation.  Note:  input is not case sensitive." sqref="D11">
      <formula1>$AF$6:$AF$336</formula1>
    </dataValidation>
    <dataValidation operator="greaterThanOrEqual" allowBlank="1" showInputMessage="1" showErrorMessage="1" prompt="'Lc' is the width of the shear plate connected to the column web." sqref="D20"/>
    <dataValidation type="list" allowBlank="1" showInputMessage="1" showErrorMessage="1" prompt="Weld Size must be less than tp - 1/16&quot;, except for tp = 1/4&quot;, then Weld Size can be 1/4&quot;" error="Invalid fillet weld size!&#10;Must be less than ta-1/16&quot;" sqref="D23">
      <formula1>$K$40:$K$43</formula1>
    </dataValidation>
    <dataValidation type="list" allowBlank="1" showInputMessage="1" showErrorMessage="1" sqref="D21">
      <formula1>$K$5:$K$8</formula1>
    </dataValidation>
    <dataValidation type="list" allowBlank="1" showInputMessage="1" showErrorMessage="1" promptTitle="Bolt Hole Types:" prompt="   Standard (STD)&#10;   Oversized (OVS)&#10;Note: bolt hole type refers to the bolts in the legs of the angles, both at the support and at the beam web.  Standard holes are assumed in the support member and the beam web." errorTitle="warning!" error="Invalid bolt hole type" sqref="D28">
      <formula1>$K$24:$K$25</formula1>
    </dataValidation>
    <dataValidation type="list" allowBlank="1" showInputMessage="1" showErrorMessage="1" promptTitle="Number of Bolt Rows for Beams" prompt="W8   -  2             W10 -  2&#10;W12 -  2, 3          W14 -  3&#10;W16 -  3, 4          W18 -  3, 4, 5&#10;W21 -  4, 5, 6      W24 -  5, 6, 7&#10;W27 -  5, 6, 7      W30 -  6, 7, 8&#10;W33 -  6, 7, 8, 9   W36 -  6, 7, 8, 9, 10" errorTitle="Warning!" error="Invalid number of bolts in connection" sqref="D29">
      <formula1>$K$27:$K$37</formula1>
    </dataValidation>
    <dataValidation type="list" allowBlank="1" showInputMessage="1" showErrorMessage="1" prompt="The ASTM faying surface designation is either 'Class A' for unpainted clean mill scale steel surfaces or with Class A coatings, or 'Class B' for unpainted blast-cleaned steel surfaces or surfaces with Class B coatings." errorTitle="Warning!" error="Invalid faying surface type (must input A or B)" sqref="D27">
      <formula1>$K$21:$K$23</formula1>
    </dataValidation>
    <dataValidation type="list" allowBlank="1" showInputMessage="1" showErrorMessage="1" errorTitle="Warning!" error="Invalid bolt diameter" sqref="D24">
      <formula1>$K$9:$K$15</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$K$18:$K$20</formula1>
    </dataValidation>
    <dataValidation type="list" allowBlank="1" showInputMessage="1" showErrorMessage="1" errorTitle="warning!" error="Invalid ASTM bolt designation&#10;(must input A325 or A490)" sqref="D25">
      <formula1>$K$16:$K$17</formula1>
    </dataValidation>
    <dataValidation type="decimal" allowBlank="1" showInputMessage="1" showErrorMessage="1" prompt="The bolt gage is calculated automatically as g = Lc - 2*ED" sqref="D33">
      <formula1>3</formula1>
      <formula2>$D$20-2*$D$32</formula2>
    </dataValidation>
    <dataValidation type="list" allowBlank="1" showInputMessage="1" showErrorMessage="1" prompt="User may either select desired size from pick box or type in the size designation.  Note:  input is not case sensitive." sqref="D10">
      <formula1>$AF$6:$AF$406</formula1>
    </dataValidation>
  </dataValidations>
  <printOptions/>
  <pageMargins left="1" right="0.5" top="1.25" bottom="1" header="0.5" footer="0.5"/>
  <pageSetup horizontalDpi="300" verticalDpi="300" orientation="portrait" scale="95" r:id="rId4"/>
  <headerFooter alignWithMargins="0">
    <oddHeader>&amp;R&amp;8"SHEAR-END-PL-13.xls" Program
Created By: Joel Berg, P.E.
Version 1.1</oddHeader>
    <oddFooter>&amp;L&amp;8&amp;D
&amp;T&amp;C&amp;8&amp;Z
&amp;F&amp;R&amp;8Page &amp;P
of &amp;N</oddFooter>
  </headerFooter>
  <rowBreaks count="4" manualBreakCount="4">
    <brk id="50" max="8" man="1"/>
    <brk id="100" max="8" man="1"/>
    <brk id="150" max="8" man="1"/>
    <brk id="203" max="8" man="1"/>
  </rowBreaks>
  <colBreaks count="1" manualBreakCount="1">
    <brk id="9" max="199" man="1"/>
  </colBreaks>
  <ignoredErrors>
    <ignoredError sqref="AO19" formula="1"/>
  </ignoredErrors>
  <drawing r:id="rId3"/>
  <legacyDrawing r:id="rId2"/>
</worksheet>
</file>

<file path=xl/worksheets/sheet4.xml><?xml version="1.0" encoding="utf-8"?>
<worksheet xmlns="http://schemas.openxmlformats.org/spreadsheetml/2006/main" xmlns:r="http://schemas.openxmlformats.org/officeDocument/2006/relationships">
  <dimension ref="A1:AT467"/>
  <sheetViews>
    <sheetView zoomScalePageLayoutView="0" workbookViewId="0" topLeftCell="A1">
      <selection activeCell="A1" sqref="A1"/>
    </sheetView>
  </sheetViews>
  <sheetFormatPr defaultColWidth="9.140625" defaultRowHeight="12.75"/>
  <cols>
    <col min="1" max="1" width="12.7109375" style="8" customWidth="1"/>
    <col min="2" max="2" width="9.140625" style="8" customWidth="1"/>
    <col min="3" max="4" width="10.7109375" style="8" customWidth="1"/>
    <col min="5" max="8" width="9.140625" style="8" customWidth="1"/>
    <col min="9" max="9" width="12.421875" style="8" customWidth="1"/>
    <col min="10" max="22" width="0" style="28" hidden="1" customWidth="1"/>
    <col min="23" max="23" width="10.140625" style="28" hidden="1" customWidth="1"/>
    <col min="24" max="25" width="12.28125" style="28" hidden="1" customWidth="1"/>
    <col min="26" max="27" width="0" style="28" hidden="1" customWidth="1"/>
    <col min="28" max="28" width="15.140625" style="28" hidden="1" customWidth="1"/>
    <col min="29" max="31" width="0" style="28" hidden="1" customWidth="1"/>
    <col min="32" max="32" width="16.7109375" style="28" hidden="1" customWidth="1"/>
    <col min="33" max="38" width="0" style="28" hidden="1" customWidth="1"/>
    <col min="39" max="39" width="8.8515625" style="8" hidden="1" customWidth="1"/>
    <col min="40" max="16384" width="9.140625" style="8" customWidth="1"/>
  </cols>
  <sheetData>
    <row r="1" spans="1:40" ht="15.75">
      <c r="A1" s="235" t="s">
        <v>310</v>
      </c>
      <c r="B1" s="236"/>
      <c r="C1" s="237"/>
      <c r="D1" s="237"/>
      <c r="E1" s="237"/>
      <c r="F1" s="237"/>
      <c r="G1" s="236"/>
      <c r="H1" s="236"/>
      <c r="I1" s="238"/>
      <c r="J1" s="89"/>
      <c r="K1" s="124"/>
      <c r="L1" s="89"/>
      <c r="M1" s="29" t="s">
        <v>233</v>
      </c>
      <c r="P1" s="36"/>
      <c r="Q1" s="57"/>
      <c r="R1" s="140"/>
      <c r="S1" s="107"/>
      <c r="T1" s="89"/>
      <c r="U1" s="89"/>
      <c r="V1" s="89"/>
      <c r="AC1" s="89"/>
      <c r="AD1" s="89"/>
      <c r="AE1" s="89"/>
      <c r="AL1" s="121"/>
      <c r="AN1" s="175" t="s">
        <v>842</v>
      </c>
    </row>
    <row r="2" spans="1:38" ht="12.75">
      <c r="A2" s="241" t="s">
        <v>831</v>
      </c>
      <c r="B2" s="239"/>
      <c r="C2" s="239"/>
      <c r="D2" s="239"/>
      <c r="E2" s="239"/>
      <c r="F2" s="239"/>
      <c r="G2" s="239"/>
      <c r="H2" s="239"/>
      <c r="I2" s="240"/>
      <c r="J2" s="136"/>
      <c r="K2" s="25"/>
      <c r="L2" s="136"/>
      <c r="P2" s="36"/>
      <c r="Q2" s="43"/>
      <c r="R2" s="371"/>
      <c r="S2" s="107"/>
      <c r="T2" s="136"/>
      <c r="U2" s="136"/>
      <c r="V2" s="136"/>
      <c r="AC2" s="136"/>
      <c r="AD2" s="136"/>
      <c r="AE2" s="136"/>
      <c r="AG2" s="36"/>
      <c r="AL2" s="121"/>
    </row>
    <row r="3" spans="1:38" ht="12.75">
      <c r="A3" s="242" t="s">
        <v>195</v>
      </c>
      <c r="B3" s="252"/>
      <c r="C3" s="252"/>
      <c r="D3" s="252"/>
      <c r="E3" s="239"/>
      <c r="F3" s="239"/>
      <c r="G3" s="239"/>
      <c r="H3" s="239"/>
      <c r="I3" s="240"/>
      <c r="J3" s="36"/>
      <c r="K3" s="39">
        <v>36</v>
      </c>
      <c r="L3" s="36"/>
      <c r="M3" s="93" t="s">
        <v>191</v>
      </c>
      <c r="S3" s="36"/>
      <c r="T3" s="36"/>
      <c r="U3" s="36"/>
      <c r="V3" s="36"/>
      <c r="W3" s="260" t="s">
        <v>440</v>
      </c>
      <c r="X3" s="261"/>
      <c r="Z3" s="260" t="s">
        <v>441</v>
      </c>
      <c r="AA3" s="262"/>
      <c r="AB3" s="261"/>
      <c r="AC3" s="36"/>
      <c r="AD3" s="36"/>
      <c r="AE3" s="36"/>
      <c r="AF3" s="212" t="s">
        <v>452</v>
      </c>
      <c r="AG3" s="213"/>
      <c r="AH3" s="213"/>
      <c r="AI3" s="213"/>
      <c r="AJ3" s="213"/>
      <c r="AK3" s="213"/>
      <c r="AL3" s="214"/>
    </row>
    <row r="4" spans="1:44" ht="12.75">
      <c r="A4" s="243" t="s">
        <v>372</v>
      </c>
      <c r="B4" s="246"/>
      <c r="C4" s="247"/>
      <c r="D4" s="247"/>
      <c r="E4" s="248"/>
      <c r="F4" s="177" t="s">
        <v>373</v>
      </c>
      <c r="G4" s="244"/>
      <c r="H4" s="245"/>
      <c r="I4" s="249"/>
      <c r="J4" s="24"/>
      <c r="K4" s="39">
        <v>50</v>
      </c>
      <c r="L4" s="24"/>
      <c r="M4" s="56" t="s">
        <v>10</v>
      </c>
      <c r="O4" s="33"/>
      <c r="S4" s="24"/>
      <c r="T4" s="24"/>
      <c r="V4" s="24"/>
      <c r="W4" s="263" t="s">
        <v>442</v>
      </c>
      <c r="X4" s="263" t="s">
        <v>443</v>
      </c>
      <c r="Z4" s="263" t="s">
        <v>442</v>
      </c>
      <c r="AA4" s="263" t="s">
        <v>444</v>
      </c>
      <c r="AB4" s="263" t="s">
        <v>445</v>
      </c>
      <c r="AC4" s="24"/>
      <c r="AD4" s="24"/>
      <c r="AE4" s="24"/>
      <c r="AF4" s="217" t="s">
        <v>453</v>
      </c>
      <c r="AG4" s="218"/>
      <c r="AH4" s="218"/>
      <c r="AI4" s="218"/>
      <c r="AJ4" s="218"/>
      <c r="AK4" s="218"/>
      <c r="AL4" s="219"/>
      <c r="AN4" s="31" t="s">
        <v>294</v>
      </c>
      <c r="AO4" s="28"/>
      <c r="AP4" s="28"/>
      <c r="AQ4" s="28"/>
      <c r="AR4" s="35"/>
    </row>
    <row r="5" spans="1:44" ht="12.75">
      <c r="A5" s="243" t="s">
        <v>374</v>
      </c>
      <c r="B5" s="246"/>
      <c r="C5" s="247"/>
      <c r="D5" s="247"/>
      <c r="E5" s="247"/>
      <c r="F5" s="177" t="s">
        <v>375</v>
      </c>
      <c r="G5" s="244"/>
      <c r="H5" s="177" t="s">
        <v>376</v>
      </c>
      <c r="I5" s="250"/>
      <c r="J5" s="24"/>
      <c r="K5" s="110">
        <v>0.25</v>
      </c>
      <c r="L5" s="24"/>
      <c r="M5" s="49" t="s">
        <v>254</v>
      </c>
      <c r="N5" s="254">
        <f>IF(AND($D$26&lt;&gt;"SC",$D$28="Oversized"),"ERROR",IF($D$28="Standard",VLOOKUP($D$24,$W$17:$X$22,2,FALSE),IF($D$28="Oversized",VLOOKUP($D$24,$W$17:$Y$22,3,FALSE),0)))</f>
        <v>0.9375</v>
      </c>
      <c r="O5" s="37" t="s">
        <v>229</v>
      </c>
      <c r="P5" s="37" t="s">
        <v>78</v>
      </c>
      <c r="S5" s="24"/>
      <c r="T5" s="24"/>
      <c r="V5" s="24"/>
      <c r="W5" s="264">
        <v>0.5</v>
      </c>
      <c r="X5" s="265">
        <v>13</v>
      </c>
      <c r="Z5" s="266">
        <v>0.5</v>
      </c>
      <c r="AA5" s="267">
        <v>12</v>
      </c>
      <c r="AB5" s="265">
        <v>15</v>
      </c>
      <c r="AC5" s="24"/>
      <c r="AD5" s="24"/>
      <c r="AE5" s="24"/>
      <c r="AF5" s="215" t="s">
        <v>207</v>
      </c>
      <c r="AG5" s="216" t="s">
        <v>208</v>
      </c>
      <c r="AH5" s="216" t="s">
        <v>246</v>
      </c>
      <c r="AI5" s="216" t="s">
        <v>247</v>
      </c>
      <c r="AJ5" s="216" t="s">
        <v>248</v>
      </c>
      <c r="AK5" s="216" t="s">
        <v>249</v>
      </c>
      <c r="AL5" s="216" t="s">
        <v>250</v>
      </c>
      <c r="AN5" s="6" t="s">
        <v>293</v>
      </c>
      <c r="AO5" s="83" t="s">
        <v>205</v>
      </c>
      <c r="AP5" s="28"/>
      <c r="AQ5" s="28"/>
      <c r="AR5" s="83" t="s">
        <v>35</v>
      </c>
    </row>
    <row r="6" spans="1:44" ht="12.75">
      <c r="A6" s="18"/>
      <c r="B6" s="101"/>
      <c r="C6" s="101"/>
      <c r="D6" s="101"/>
      <c r="E6" s="101"/>
      <c r="F6" s="101"/>
      <c r="G6" s="124"/>
      <c r="H6" s="25"/>
      <c r="I6" s="186"/>
      <c r="J6" s="36"/>
      <c r="K6" s="110">
        <f>5/16</f>
        <v>0.3125</v>
      </c>
      <c r="L6" s="36"/>
      <c r="M6" s="49" t="s">
        <v>194</v>
      </c>
      <c r="N6" s="255">
        <f>IF(AND($D$26&lt;&gt;"SC",$D$28="Oversized"),"ERROR",IF($D$28="Standard",VLOOKUP($D$24,$W$17:$X$22,2,FALSE),IF($D$28="Oversized",VLOOKUP($D$24,$W$17:$Y$22,3,FALSE),0)))</f>
        <v>0.9375</v>
      </c>
      <c r="O6" s="37" t="s">
        <v>229</v>
      </c>
      <c r="P6" s="37" t="s">
        <v>838</v>
      </c>
      <c r="S6" s="36"/>
      <c r="T6" s="36"/>
      <c r="V6" s="36"/>
      <c r="W6" s="268">
        <v>0.625</v>
      </c>
      <c r="X6" s="269">
        <v>11</v>
      </c>
      <c r="Y6" s="37"/>
      <c r="Z6" s="270">
        <v>0.625</v>
      </c>
      <c r="AA6" s="271">
        <v>19</v>
      </c>
      <c r="AB6" s="269">
        <v>24</v>
      </c>
      <c r="AC6" s="36"/>
      <c r="AD6" s="36"/>
      <c r="AE6" s="36"/>
      <c r="AF6" s="284" t="s">
        <v>454</v>
      </c>
      <c r="AG6" s="285">
        <v>98.5</v>
      </c>
      <c r="AH6" s="286">
        <v>44</v>
      </c>
      <c r="AI6" s="287">
        <v>1.03</v>
      </c>
      <c r="AJ6" s="286">
        <v>15.9</v>
      </c>
      <c r="AK6" s="287">
        <v>1.77</v>
      </c>
      <c r="AL6" s="288">
        <v>2.56</v>
      </c>
      <c r="AN6" s="92" t="s">
        <v>109</v>
      </c>
      <c r="AO6" s="28"/>
      <c r="AP6" s="28"/>
      <c r="AQ6" s="28"/>
      <c r="AR6" s="120"/>
    </row>
    <row r="7" spans="1:46" ht="12.75">
      <c r="A7" s="10" t="s">
        <v>204</v>
      </c>
      <c r="B7" s="101"/>
      <c r="C7" s="101"/>
      <c r="D7" s="101"/>
      <c r="E7" s="101"/>
      <c r="F7" s="101"/>
      <c r="G7" s="22"/>
      <c r="H7" s="25"/>
      <c r="I7" s="187"/>
      <c r="J7" s="36"/>
      <c r="K7" s="110">
        <v>0.375</v>
      </c>
      <c r="L7" s="36"/>
      <c r="M7" s="49" t="s">
        <v>41</v>
      </c>
      <c r="N7" s="69">
        <f>PI()*$D$24^2/4</f>
        <v>0.6013204688511713</v>
      </c>
      <c r="O7" s="37" t="s">
        <v>210</v>
      </c>
      <c r="P7" s="30" t="s">
        <v>172</v>
      </c>
      <c r="S7" s="36"/>
      <c r="T7" s="36"/>
      <c r="V7" s="36"/>
      <c r="W7" s="268">
        <v>0.75</v>
      </c>
      <c r="X7" s="269">
        <v>10</v>
      </c>
      <c r="Y7" s="37"/>
      <c r="Z7" s="270">
        <v>0.75</v>
      </c>
      <c r="AA7" s="271">
        <v>28</v>
      </c>
      <c r="AB7" s="269">
        <v>35</v>
      </c>
      <c r="AC7" s="36"/>
      <c r="AD7" s="36"/>
      <c r="AE7" s="36"/>
      <c r="AF7" s="289" t="s">
        <v>455</v>
      </c>
      <c r="AG7" s="290">
        <v>85.4</v>
      </c>
      <c r="AH7" s="291">
        <v>43.6</v>
      </c>
      <c r="AI7" s="292">
        <v>0.865</v>
      </c>
      <c r="AJ7" s="291">
        <v>15.8</v>
      </c>
      <c r="AK7" s="293">
        <v>1.58</v>
      </c>
      <c r="AL7" s="294">
        <v>2.36</v>
      </c>
      <c r="AN7" s="34">
        <v>74</v>
      </c>
      <c r="AO7" s="47" t="str">
        <f>IF($B$74&gt;=$D$16,"Rbv &gt;= R,  O.K.","Rbv &lt; R, N.G.")</f>
        <v>Rbv &gt;= R,  O.K.</v>
      </c>
      <c r="AP7" s="28"/>
      <c r="AQ7" s="28"/>
      <c r="AR7" s="5">
        <f>$D$16/$B$74</f>
        <v>0.3464597400639899</v>
      </c>
      <c r="AS7" s="384"/>
      <c r="AT7" s="98"/>
    </row>
    <row r="8" spans="1:46" ht="12.75">
      <c r="A8" s="18"/>
      <c r="B8" s="101"/>
      <c r="C8" s="101"/>
      <c r="D8" s="101"/>
      <c r="E8" s="188"/>
      <c r="F8" s="46"/>
      <c r="G8" s="113" t="s">
        <v>177</v>
      </c>
      <c r="H8" s="44"/>
      <c r="I8" s="45"/>
      <c r="J8" s="36"/>
      <c r="K8" s="110">
        <v>0.5</v>
      </c>
      <c r="L8" s="36"/>
      <c r="M8" s="49" t="s">
        <v>80</v>
      </c>
      <c r="N8" s="104">
        <f>IF($D$22=36,58,IF($D$22=50,65))</f>
        <v>58</v>
      </c>
      <c r="O8" s="37" t="s">
        <v>212</v>
      </c>
      <c r="P8" s="37" t="str">
        <f>IF($D$22=36,"Fup = 58 for Fyp = 36","Fup = 65 for Fyp = 50")&amp;" (for shear plate)"</f>
        <v>Fup = 58 for Fyp = 36 (for shear plate)</v>
      </c>
      <c r="S8" s="36"/>
      <c r="T8" s="36"/>
      <c r="V8" s="36"/>
      <c r="W8" s="268">
        <v>0.875</v>
      </c>
      <c r="X8" s="269">
        <v>9</v>
      </c>
      <c r="Y8" s="37"/>
      <c r="Z8" s="270">
        <v>0.875</v>
      </c>
      <c r="AA8" s="271">
        <v>39</v>
      </c>
      <c r="AB8" s="269">
        <v>49</v>
      </c>
      <c r="AC8" s="36"/>
      <c r="AD8" s="36"/>
      <c r="AE8" s="36"/>
      <c r="AF8" s="289" t="s">
        <v>456</v>
      </c>
      <c r="AG8" s="290">
        <v>76.9</v>
      </c>
      <c r="AH8" s="291">
        <v>43.3</v>
      </c>
      <c r="AI8" s="292">
        <v>0.785</v>
      </c>
      <c r="AJ8" s="291">
        <v>15.8</v>
      </c>
      <c r="AK8" s="293">
        <v>1.42</v>
      </c>
      <c r="AL8" s="294">
        <v>2.2</v>
      </c>
      <c r="AN8" s="34">
        <v>82</v>
      </c>
      <c r="AO8" s="47" t="str">
        <f>IF($D$17&gt;0,IF($B$82&gt;=$D$17,"Rba &gt;= P,  O.K.","Rba &lt; P, N.G."),"N.A.")</f>
        <v>Rba &gt;= P,  O.K.</v>
      </c>
      <c r="AP8" s="28"/>
      <c r="AQ8" s="28"/>
      <c r="AR8" s="5">
        <f>IF($D$17&gt;0,$D$17/$B$82,"")</f>
        <v>0.04619463200853199</v>
      </c>
      <c r="AS8" s="384"/>
      <c r="AT8" s="98"/>
    </row>
    <row r="9" spans="1:46" ht="12.75">
      <c r="A9" s="10" t="s">
        <v>21</v>
      </c>
      <c r="B9" s="24"/>
      <c r="C9" s="24"/>
      <c r="D9" s="24"/>
      <c r="E9" s="137"/>
      <c r="F9" s="23"/>
      <c r="G9" s="130" t="str">
        <f>"g="&amp;$D$33</f>
        <v>g=3.5</v>
      </c>
      <c r="H9" s="27" t="str">
        <f>"      tp="&amp;$D$21</f>
        <v>      tp=0.375</v>
      </c>
      <c r="I9" s="13"/>
      <c r="J9" s="36"/>
      <c r="K9" s="110">
        <v>0.75</v>
      </c>
      <c r="L9" s="36"/>
      <c r="M9" s="49" t="s">
        <v>188</v>
      </c>
      <c r="N9" s="104">
        <f>IF($D$12=36,58,IF($D$12=50,65))</f>
        <v>65</v>
      </c>
      <c r="O9" s="37" t="s">
        <v>212</v>
      </c>
      <c r="P9" s="37" t="str">
        <f>IF($D$12=36,"Fub = 58 for Fyb = 36","Fub = 65 for Fyb = 50")&amp;" (for beam)"</f>
        <v>Fub = 65 for Fyb = 50 (for beam)</v>
      </c>
      <c r="S9" s="36"/>
      <c r="T9" s="36"/>
      <c r="V9" s="36"/>
      <c r="W9" s="268">
        <v>1</v>
      </c>
      <c r="X9" s="269">
        <v>8</v>
      </c>
      <c r="Y9" s="37"/>
      <c r="Z9" s="270">
        <v>1</v>
      </c>
      <c r="AA9" s="271">
        <v>51</v>
      </c>
      <c r="AB9" s="269">
        <v>64</v>
      </c>
      <c r="AC9" s="36"/>
      <c r="AD9" s="36"/>
      <c r="AE9" s="36"/>
      <c r="AF9" s="289" t="s">
        <v>457</v>
      </c>
      <c r="AG9" s="290">
        <v>67.7</v>
      </c>
      <c r="AH9" s="291">
        <v>42.9</v>
      </c>
      <c r="AI9" s="292">
        <v>0.71</v>
      </c>
      <c r="AJ9" s="291">
        <v>15.8</v>
      </c>
      <c r="AK9" s="293">
        <v>1.22</v>
      </c>
      <c r="AL9" s="294">
        <v>2.01</v>
      </c>
      <c r="AN9" s="34">
        <v>95</v>
      </c>
      <c r="AO9" s="47" t="str">
        <f>IF($D$17&gt;0,IF($D$21&gt;=$B$95,"tp &gt;= tp(req'd),  O.K.","tp &lt; tp(req'd), N.G."),"N.A.")</f>
        <v>tp &gt;= tp(req'd),  O.K.</v>
      </c>
      <c r="AP9" s="28"/>
      <c r="AQ9" s="28"/>
      <c r="AR9" s="5">
        <f>IF($D$17&gt;0,$B$95/$D$21,"")</f>
        <v>0.5038988284236494</v>
      </c>
      <c r="AS9" s="384"/>
      <c r="AT9" s="98"/>
    </row>
    <row r="10" spans="1:46" ht="12.75">
      <c r="A10" s="18"/>
      <c r="B10" s="9"/>
      <c r="C10" s="43" t="s">
        <v>173</v>
      </c>
      <c r="D10" s="157" t="s">
        <v>325</v>
      </c>
      <c r="E10" s="44"/>
      <c r="F10" s="14" t="str">
        <f>"ED="&amp;$D$32</f>
        <v>ED=1.25</v>
      </c>
      <c r="G10" s="9"/>
      <c r="H10" s="14"/>
      <c r="I10" s="128" t="s">
        <v>234</v>
      </c>
      <c r="J10" s="25"/>
      <c r="K10" s="110">
        <v>0.875</v>
      </c>
      <c r="L10" s="43"/>
      <c r="M10" s="49" t="s">
        <v>825</v>
      </c>
      <c r="N10" s="108">
        <f>IF($D$13=36,58,IF($D$13=50,65))</f>
        <v>65</v>
      </c>
      <c r="O10" s="37" t="s">
        <v>212</v>
      </c>
      <c r="P10" s="37" t="str">
        <f>IF($D$13=36,"Fug = 58 for Fyg = 36","Fug = 65 for Fyg = 50")&amp;" (for column)"</f>
        <v>Fug = 65 for Fyg = 50 (for column)</v>
      </c>
      <c r="S10" s="25"/>
      <c r="T10" s="25"/>
      <c r="V10" s="25"/>
      <c r="W10" s="268">
        <v>1.125</v>
      </c>
      <c r="X10" s="269">
        <v>7</v>
      </c>
      <c r="Y10" s="37"/>
      <c r="Z10" s="270">
        <v>1.125</v>
      </c>
      <c r="AA10" s="271">
        <v>56</v>
      </c>
      <c r="AB10" s="269">
        <v>80</v>
      </c>
      <c r="AC10" s="25"/>
      <c r="AD10" s="25"/>
      <c r="AE10" s="25"/>
      <c r="AF10" s="289" t="s">
        <v>458</v>
      </c>
      <c r="AG10" s="295">
        <v>174</v>
      </c>
      <c r="AH10" s="291">
        <v>43</v>
      </c>
      <c r="AI10" s="293">
        <v>1.79</v>
      </c>
      <c r="AJ10" s="291">
        <v>16.7</v>
      </c>
      <c r="AK10" s="293">
        <v>3.23</v>
      </c>
      <c r="AL10" s="294">
        <v>4.41</v>
      </c>
      <c r="AN10" s="34">
        <v>98</v>
      </c>
      <c r="AO10" s="47" t="str">
        <f>IF($D$17&gt;0,IF($B$98&gt;=$D$17,"Ra &gt;= P,  O.K.","Ra &lt; P, N.G."),"N.A.")</f>
        <v>Ra &gt;= P,  O.K.</v>
      </c>
      <c r="AP10" s="28"/>
      <c r="AQ10" s="28"/>
      <c r="AR10" s="5">
        <f>IF($D$17&gt;0,$D$17/$B$98,"")</f>
        <v>0.2539140292867266</v>
      </c>
      <c r="AS10" s="384"/>
      <c r="AT10" s="98"/>
    </row>
    <row r="11" spans="1:46" ht="12.75">
      <c r="A11" s="18"/>
      <c r="B11" s="9"/>
      <c r="C11" s="43" t="s">
        <v>175</v>
      </c>
      <c r="D11" s="158" t="s">
        <v>326</v>
      </c>
      <c r="E11" s="44"/>
      <c r="F11" s="14"/>
      <c r="G11" s="36"/>
      <c r="H11" s="9"/>
      <c r="I11" s="126" t="str">
        <f>"        D1="&amp;$D$30</f>
        <v>        D1=3.25</v>
      </c>
      <c r="K11" s="110">
        <v>1</v>
      </c>
      <c r="L11" s="43"/>
      <c r="M11" s="93" t="s">
        <v>264</v>
      </c>
      <c r="N11" s="47"/>
      <c r="O11" s="47"/>
      <c r="P11" s="47"/>
      <c r="Q11" s="47"/>
      <c r="R11" s="47"/>
      <c r="W11" s="268">
        <v>1.25</v>
      </c>
      <c r="X11" s="269">
        <v>7</v>
      </c>
      <c r="Y11" s="37"/>
      <c r="Z11" s="270">
        <v>1.25</v>
      </c>
      <c r="AA11" s="271">
        <v>71</v>
      </c>
      <c r="AB11" s="269">
        <v>102</v>
      </c>
      <c r="AF11" s="289" t="s">
        <v>459</v>
      </c>
      <c r="AG11" s="295">
        <v>148</v>
      </c>
      <c r="AH11" s="291">
        <v>42.1</v>
      </c>
      <c r="AI11" s="293">
        <v>1.54</v>
      </c>
      <c r="AJ11" s="291">
        <v>16.4</v>
      </c>
      <c r="AK11" s="293">
        <v>2.76</v>
      </c>
      <c r="AL11" s="294">
        <v>3.94</v>
      </c>
      <c r="AN11" s="34">
        <v>109</v>
      </c>
      <c r="AO11" s="47" t="str">
        <f>IF($B$109&gt;=$D$16,"Rpv &gt;= R,  O.K.","Rpv &lt; R, N.G.")</f>
        <v>Rpv &gt;= R,  O.K.</v>
      </c>
      <c r="AP11" s="28"/>
      <c r="AQ11" s="28"/>
      <c r="AR11" s="5">
        <f>$D$16/$B$109</f>
        <v>0.2541043813153872</v>
      </c>
      <c r="AS11" s="384"/>
      <c r="AT11" s="98"/>
    </row>
    <row r="12" spans="1:46" ht="12.75">
      <c r="A12" s="48"/>
      <c r="B12" s="9"/>
      <c r="C12" s="43" t="s">
        <v>783</v>
      </c>
      <c r="D12" s="153">
        <v>50</v>
      </c>
      <c r="E12" s="105" t="s">
        <v>212</v>
      </c>
      <c r="F12" s="113" t="str">
        <f>"Nr="&amp;$D$29&amp;"    "</f>
        <v>Nr=4    </v>
      </c>
      <c r="G12" s="14"/>
      <c r="H12" s="27" t="s">
        <v>263</v>
      </c>
      <c r="I12" s="131"/>
      <c r="K12" s="110">
        <v>1.125</v>
      </c>
      <c r="L12" s="43"/>
      <c r="M12" s="56" t="s">
        <v>257</v>
      </c>
      <c r="O12" s="56"/>
      <c r="P12" s="47"/>
      <c r="W12" s="268">
        <v>1.375</v>
      </c>
      <c r="X12" s="269">
        <v>6</v>
      </c>
      <c r="Y12" s="37"/>
      <c r="Z12" s="270">
        <v>1.375</v>
      </c>
      <c r="AA12" s="271">
        <v>85</v>
      </c>
      <c r="AB12" s="269">
        <v>121</v>
      </c>
      <c r="AF12" s="289" t="s">
        <v>460</v>
      </c>
      <c r="AG12" s="295">
        <v>127</v>
      </c>
      <c r="AH12" s="291">
        <v>41.3</v>
      </c>
      <c r="AI12" s="293">
        <v>1.34</v>
      </c>
      <c r="AJ12" s="291">
        <v>16.2</v>
      </c>
      <c r="AK12" s="293">
        <v>2.36</v>
      </c>
      <c r="AL12" s="294">
        <v>3.54</v>
      </c>
      <c r="AN12" s="34">
        <v>113</v>
      </c>
      <c r="AO12" s="47" t="str">
        <f>IF($B$113&gt;=$D$16,"Rvg &gt;= R,  O.K.","Rvg &lt; R, N.G.")</f>
        <v>Rvg &gt;= R,  O.K.</v>
      </c>
      <c r="AP12" s="28"/>
      <c r="AQ12" s="28"/>
      <c r="AR12" s="5">
        <f>$D$16/$B$113</f>
        <v>0.32206119162640906</v>
      </c>
      <c r="AS12" s="384"/>
      <c r="AT12" s="98"/>
    </row>
    <row r="13" spans="1:46" ht="12.75">
      <c r="A13" s="18"/>
      <c r="B13" s="9"/>
      <c r="C13" s="43" t="s">
        <v>176</v>
      </c>
      <c r="D13" s="154">
        <v>50</v>
      </c>
      <c r="E13" s="105" t="s">
        <v>212</v>
      </c>
      <c r="F13" s="113"/>
      <c r="G13" s="111"/>
      <c r="H13" s="14" t="s">
        <v>263</v>
      </c>
      <c r="I13" s="134" t="str">
        <f>"      P="&amp;$D$17&amp;" k"</f>
        <v>      P=10 k</v>
      </c>
      <c r="K13" s="110">
        <v>1.25</v>
      </c>
      <c r="L13" s="43"/>
      <c r="M13" s="32" t="s">
        <v>261</v>
      </c>
      <c r="N13" s="33">
        <f>2*$D$29</f>
        <v>8</v>
      </c>
      <c r="O13" s="30" t="s">
        <v>277</v>
      </c>
      <c r="P13" s="30" t="s">
        <v>121</v>
      </c>
      <c r="W13" s="272">
        <v>1.5</v>
      </c>
      <c r="X13" s="273">
        <v>6</v>
      </c>
      <c r="Y13" s="47"/>
      <c r="Z13" s="274">
        <v>1.5</v>
      </c>
      <c r="AA13" s="275">
        <v>103</v>
      </c>
      <c r="AB13" s="273">
        <v>148</v>
      </c>
      <c r="AF13" s="289" t="s">
        <v>461</v>
      </c>
      <c r="AG13" s="295">
        <v>117</v>
      </c>
      <c r="AH13" s="291">
        <v>41</v>
      </c>
      <c r="AI13" s="293">
        <v>1.22</v>
      </c>
      <c r="AJ13" s="291">
        <v>16.1</v>
      </c>
      <c r="AK13" s="293">
        <v>2.2</v>
      </c>
      <c r="AL13" s="294">
        <v>3.38</v>
      </c>
      <c r="AN13" s="34">
        <v>117</v>
      </c>
      <c r="AO13" s="47" t="str">
        <f>IF($B$117&gt;=$D$16,"Rvn &gt;= R,  O.K.","Rvn &lt; R, N.G.")</f>
        <v>Rvn &gt;= R,  O.K.</v>
      </c>
      <c r="AP13" s="28"/>
      <c r="AQ13" s="28"/>
      <c r="AR13" s="5">
        <f>$D$16/$B$117</f>
        <v>0.4086845466155812</v>
      </c>
      <c r="AS13" s="384"/>
      <c r="AT13" s="98"/>
    </row>
    <row r="14" spans="1:46" ht="12.75">
      <c r="A14" s="18"/>
      <c r="B14" s="9"/>
      <c r="C14" s="9"/>
      <c r="D14" s="9"/>
      <c r="E14" s="9"/>
      <c r="F14" s="23"/>
      <c r="G14" s="115"/>
      <c r="H14" s="14" t="str">
        <f>"                 R=  "&amp;$D$16&amp;" k"</f>
        <v>                 R=  40 k</v>
      </c>
      <c r="I14" s="45"/>
      <c r="K14" s="110">
        <v>1.375</v>
      </c>
      <c r="L14" s="9"/>
      <c r="M14" s="32" t="s">
        <v>279</v>
      </c>
      <c r="N14" s="40">
        <f>$D$16/$N$13</f>
        <v>5</v>
      </c>
      <c r="O14" s="30" t="s">
        <v>211</v>
      </c>
      <c r="P14" s="30" t="s">
        <v>382</v>
      </c>
      <c r="Y14" s="37"/>
      <c r="AF14" s="289" t="s">
        <v>462</v>
      </c>
      <c r="AG14" s="295">
        <v>109</v>
      </c>
      <c r="AH14" s="291">
        <v>40.6</v>
      </c>
      <c r="AI14" s="293">
        <v>1.16</v>
      </c>
      <c r="AJ14" s="291">
        <v>16.1</v>
      </c>
      <c r="AK14" s="293">
        <v>2.05</v>
      </c>
      <c r="AL14" s="294">
        <v>3.23</v>
      </c>
      <c r="AN14" s="34">
        <v>123</v>
      </c>
      <c r="AO14" s="47" t="str">
        <f>IF($B$123&gt;=$D$16,"Rbs &gt;= R,  O.K.","Rbs &lt; R, N.G.")</f>
        <v>Rbs &gt;= R,  O.K.</v>
      </c>
      <c r="AP14" s="28"/>
      <c r="AQ14" s="28"/>
      <c r="AR14" s="5">
        <f>$D$16/$B$123</f>
        <v>0.40266767333585</v>
      </c>
      <c r="AS14" s="384"/>
      <c r="AT14" s="98"/>
    </row>
    <row r="15" spans="1:45" ht="12.75">
      <c r="A15" s="10" t="s">
        <v>199</v>
      </c>
      <c r="B15" s="9"/>
      <c r="C15" s="9"/>
      <c r="D15" s="9"/>
      <c r="E15" s="106"/>
      <c r="F15" s="113"/>
      <c r="G15" s="14"/>
      <c r="H15" s="9"/>
      <c r="I15" s="127"/>
      <c r="K15" s="110">
        <v>1.5</v>
      </c>
      <c r="L15" s="9"/>
      <c r="M15" s="32" t="s">
        <v>201</v>
      </c>
      <c r="N15" s="40">
        <f>$N$14/$N$7</f>
        <v>8.315033761535757</v>
      </c>
      <c r="O15" s="30" t="s">
        <v>212</v>
      </c>
      <c r="P15" s="30" t="s">
        <v>383</v>
      </c>
      <c r="W15" s="276" t="s">
        <v>446</v>
      </c>
      <c r="X15" s="277"/>
      <c r="Y15" s="278"/>
      <c r="AA15" s="375" t="s">
        <v>447</v>
      </c>
      <c r="AB15" s="376"/>
      <c r="AC15" s="377"/>
      <c r="AF15" s="289" t="s">
        <v>463</v>
      </c>
      <c r="AG15" s="295">
        <v>107</v>
      </c>
      <c r="AH15" s="291">
        <v>40.6</v>
      </c>
      <c r="AI15" s="293">
        <v>1.12</v>
      </c>
      <c r="AJ15" s="291">
        <v>16</v>
      </c>
      <c r="AK15" s="293">
        <v>2.01</v>
      </c>
      <c r="AL15" s="294">
        <v>3.19</v>
      </c>
      <c r="AN15" s="92" t="s">
        <v>110</v>
      </c>
      <c r="AR15" s="5"/>
      <c r="AS15" s="384"/>
    </row>
    <row r="16" spans="1:46" ht="12.75">
      <c r="A16" s="18"/>
      <c r="B16" s="43"/>
      <c r="C16" s="43" t="s">
        <v>302</v>
      </c>
      <c r="D16" s="155">
        <v>40</v>
      </c>
      <c r="E16" s="117" t="s">
        <v>206</v>
      </c>
      <c r="F16" s="9"/>
      <c r="G16" s="130" t="str">
        <f>"Lc="&amp;$D$20&amp;"  "</f>
        <v>Lc=6  </v>
      </c>
      <c r="H16" s="113"/>
      <c r="I16" s="100"/>
      <c r="K16" s="33" t="s">
        <v>215</v>
      </c>
      <c r="L16" s="43"/>
      <c r="M16" s="49" t="s">
        <v>40</v>
      </c>
      <c r="N16" s="60">
        <f>$D$17/$N$13</f>
        <v>1.25</v>
      </c>
      <c r="O16" s="37" t="s">
        <v>211</v>
      </c>
      <c r="P16" s="37" t="s">
        <v>235</v>
      </c>
      <c r="W16" s="279" t="s">
        <v>448</v>
      </c>
      <c r="X16" s="279" t="s">
        <v>449</v>
      </c>
      <c r="Y16" s="279" t="s">
        <v>450</v>
      </c>
      <c r="AA16" s="263" t="s">
        <v>442</v>
      </c>
      <c r="AB16" s="263" t="s">
        <v>451</v>
      </c>
      <c r="AC16" s="263" t="s">
        <v>836</v>
      </c>
      <c r="AF16" s="289" t="s">
        <v>464</v>
      </c>
      <c r="AG16" s="290">
        <v>95.3</v>
      </c>
      <c r="AH16" s="291">
        <v>40.2</v>
      </c>
      <c r="AI16" s="293">
        <v>1</v>
      </c>
      <c r="AJ16" s="291">
        <v>15.9</v>
      </c>
      <c r="AK16" s="293">
        <v>1.81</v>
      </c>
      <c r="AL16" s="294">
        <v>2.99</v>
      </c>
      <c r="AN16" s="34">
        <v>136</v>
      </c>
      <c r="AO16" s="47" t="str">
        <f>IF($B$136&gt;=$B$127,"Rwr' &gt;= Pr,  O.K.","Rwr' &lt; Pr, N.G.")</f>
        <v>Rwr' &gt;= Pr,  O.K.</v>
      </c>
      <c r="AP16" s="28"/>
      <c r="AQ16" s="28"/>
      <c r="AR16" s="5">
        <f>$B$127/$B$136</f>
        <v>0.5417912580757798</v>
      </c>
      <c r="AS16" s="384"/>
      <c r="AT16" s="98"/>
    </row>
    <row r="17" spans="1:46" ht="12.75">
      <c r="A17" s="18"/>
      <c r="B17" s="43"/>
      <c r="C17" s="43" t="s">
        <v>269</v>
      </c>
      <c r="D17" s="156">
        <v>10</v>
      </c>
      <c r="E17" s="117" t="s">
        <v>206</v>
      </c>
      <c r="F17" s="54"/>
      <c r="G17" s="9"/>
      <c r="H17" s="27"/>
      <c r="I17" s="53"/>
      <c r="K17" s="33" t="s">
        <v>58</v>
      </c>
      <c r="L17" s="43"/>
      <c r="M17" s="49" t="s">
        <v>39</v>
      </c>
      <c r="N17" s="60">
        <f>$N$16/$N$7</f>
        <v>2.078758440383939</v>
      </c>
      <c r="O17" s="37" t="s">
        <v>212</v>
      </c>
      <c r="P17" s="37" t="s">
        <v>171</v>
      </c>
      <c r="W17" s="280">
        <v>0.5</v>
      </c>
      <c r="X17" s="280">
        <v>0.5625</v>
      </c>
      <c r="Y17" s="280">
        <v>0.625</v>
      </c>
      <c r="AA17" s="264">
        <v>0.5</v>
      </c>
      <c r="AB17" s="378">
        <v>0.875</v>
      </c>
      <c r="AC17" s="379">
        <v>0.75</v>
      </c>
      <c r="AF17" s="289" t="s">
        <v>465</v>
      </c>
      <c r="AG17" s="290">
        <v>87.4</v>
      </c>
      <c r="AH17" s="291">
        <v>39.8</v>
      </c>
      <c r="AI17" s="292">
        <v>0.93</v>
      </c>
      <c r="AJ17" s="291">
        <v>15.8</v>
      </c>
      <c r="AK17" s="293">
        <v>1.65</v>
      </c>
      <c r="AL17" s="294">
        <v>2.83</v>
      </c>
      <c r="AN17" s="34">
        <v>130</v>
      </c>
      <c r="AO17" s="47" t="str">
        <f>IF($D$23&gt;=$B$130,"Weld(used) &gt;= weld(req'd), O.K.","Weld(used) &lt; weld(req'd), N.G.")</f>
        <v>Weld(used) &gt;= weld(req'd), O.K.</v>
      </c>
      <c r="AP17" s="28"/>
      <c r="AQ17" s="28"/>
      <c r="AR17" s="5">
        <f>$B$130/$D$23</f>
        <v>0.5049205686631104</v>
      </c>
      <c r="AS17" s="384"/>
      <c r="AT17" s="98"/>
    </row>
    <row r="18" spans="1:46" ht="12.75">
      <c r="A18" s="52"/>
      <c r="B18" s="43"/>
      <c r="C18" s="9"/>
      <c r="D18" s="9"/>
      <c r="E18" s="9"/>
      <c r="F18" s="54"/>
      <c r="G18" s="9"/>
      <c r="H18" s="9"/>
      <c r="I18" s="53"/>
      <c r="K18" s="33" t="s">
        <v>216</v>
      </c>
      <c r="L18" s="9"/>
      <c r="M18" s="73" t="s">
        <v>384</v>
      </c>
      <c r="N18" s="33" t="str">
        <f>IF($D$26="SC",IF($D$27="Class A",0.35,IF($D$27="Class B",0.5,"N.A.")),"N.A.")</f>
        <v>N.A.</v>
      </c>
      <c r="O18" s="33"/>
      <c r="P18" s="28">
        <f>IF($N$18="N.A.","",IF($N$18=0.35,"For unpainted clean mill scale steel surfaces","For unpainted blast-cleaned steel surfaces"))</f>
      </c>
      <c r="W18" s="281">
        <v>0.625</v>
      </c>
      <c r="X18" s="281">
        <v>0.6875</v>
      </c>
      <c r="Y18" s="281">
        <v>0.8125</v>
      </c>
      <c r="AA18" s="268">
        <v>0.625</v>
      </c>
      <c r="AB18" s="380">
        <v>1.125</v>
      </c>
      <c r="AC18" s="381">
        <v>0.875</v>
      </c>
      <c r="AF18" s="289" t="s">
        <v>466</v>
      </c>
      <c r="AG18" s="290">
        <v>81.4</v>
      </c>
      <c r="AH18" s="291">
        <v>39.7</v>
      </c>
      <c r="AI18" s="292">
        <v>0.83</v>
      </c>
      <c r="AJ18" s="291">
        <v>15.8</v>
      </c>
      <c r="AK18" s="293">
        <v>1.58</v>
      </c>
      <c r="AL18" s="294">
        <v>2.76</v>
      </c>
      <c r="AN18" s="34"/>
      <c r="AO18" s="42">
        <f>$D$23</f>
        <v>0.25</v>
      </c>
      <c r="AP18" s="42">
        <f>$B$130</f>
        <v>0.1262301421657776</v>
      </c>
      <c r="AQ18" s="28"/>
      <c r="AR18" s="5"/>
      <c r="AS18" s="384"/>
      <c r="AT18" s="98"/>
    </row>
    <row r="19" spans="1:46" ht="12.75">
      <c r="A19" s="10" t="s">
        <v>283</v>
      </c>
      <c r="B19" s="9"/>
      <c r="C19" s="9"/>
      <c r="D19" s="20"/>
      <c r="E19" s="106"/>
      <c r="F19" s="99" t="s">
        <v>202</v>
      </c>
      <c r="G19" s="21"/>
      <c r="H19" s="1"/>
      <c r="I19" s="11"/>
      <c r="K19" s="33" t="s">
        <v>59</v>
      </c>
      <c r="L19" s="9"/>
      <c r="M19" s="32" t="s">
        <v>313</v>
      </c>
      <c r="N19" s="40" t="str">
        <f>IF($D$26="SC",IF($D$25="A325",VLOOKUP($D$24,$Z$5:$AA$13,2,FALSE),VLOOKUP($D$24,$Z$5:$AB$13,3,FALSE)),"N.A.")</f>
        <v>N.A.</v>
      </c>
      <c r="O19" s="30" t="s">
        <v>206</v>
      </c>
      <c r="P19" s="28">
        <f>IF($N$19="N.A.","","Tb = Minimum Bolt Pretension per Table J3.1, for SC bolts only")</f>
      </c>
      <c r="W19" s="281">
        <v>0.75</v>
      </c>
      <c r="X19" s="281">
        <v>0.8125</v>
      </c>
      <c r="Y19" s="281">
        <v>0.9375</v>
      </c>
      <c r="AA19" s="268">
        <v>0.75</v>
      </c>
      <c r="AB19" s="380">
        <v>1.25</v>
      </c>
      <c r="AC19" s="381">
        <v>1</v>
      </c>
      <c r="AF19" s="289" t="s">
        <v>467</v>
      </c>
      <c r="AG19" s="290">
        <v>73.3</v>
      </c>
      <c r="AH19" s="291">
        <v>39.4</v>
      </c>
      <c r="AI19" s="292">
        <v>0.75</v>
      </c>
      <c r="AJ19" s="291">
        <v>15.8</v>
      </c>
      <c r="AK19" s="293">
        <v>1.42</v>
      </c>
      <c r="AL19" s="294">
        <v>2.6</v>
      </c>
      <c r="AN19" s="34">
        <v>132</v>
      </c>
      <c r="AO19" s="47" t="str">
        <f>IF($D$23&lt;=$B$132,"Weld(used) &lt;= weld(max), O.K.","Weld(used) &gt; weld(max), N.G.")</f>
        <v>Weld(used) &lt;= weld(max), O.K.</v>
      </c>
      <c r="AP19" s="28"/>
      <c r="AQ19" s="28"/>
      <c r="AR19" s="5">
        <f>$D$23/$B$132</f>
        <v>0.8</v>
      </c>
      <c r="AS19" s="384"/>
      <c r="AT19" s="98"/>
    </row>
    <row r="20" spans="1:46" ht="12.75">
      <c r="A20" s="18"/>
      <c r="B20" s="9"/>
      <c r="C20" s="57" t="s">
        <v>824</v>
      </c>
      <c r="D20" s="358">
        <v>6</v>
      </c>
      <c r="E20" s="107" t="s">
        <v>229</v>
      </c>
      <c r="F20" s="9"/>
      <c r="G20" s="9"/>
      <c r="H20" s="9"/>
      <c r="I20" s="13"/>
      <c r="K20" s="33" t="s">
        <v>7</v>
      </c>
      <c r="L20" s="57"/>
      <c r="M20" s="49" t="s">
        <v>385</v>
      </c>
      <c r="N20" s="2">
        <f>IF($D$25="A325",IF($D$26="N",48,IF($D$26="X",60,IF($D$26="SC","N.A.","ERROR"))),IF($D$25="A490",IF($D$26="N",60,IF($D$26="X",75,IF($D$26="SC","N.A.","ERROR"))),"ERROR"))</f>
        <v>48</v>
      </c>
      <c r="O20" s="37" t="s">
        <v>212</v>
      </c>
      <c r="P20" s="71" t="str">
        <f>IF($D$25="A325",IF($D$26="N","Fnv  = Nominal shear stress for A325-N from AISC Table J3.2, page 16.1-104",IF($D$26="X","Fnv  = Nominal shear stress for A325-X from AISC Table J3.2, page 16.1-104",IF($D$26="SC","Fnv = not applicable for SC bolts","ERROR"))),IF($D$25="A490",IF($D$26="N","Fnv  = Nominal shear stress for A490-N from AISC Table J3.2, page 16.1-104",IF($D$26="X","Fnv  = Nominal shear stress for A490-X from AISC Table J3.2, page 16.1-104",IF($D$26="SC","Fnv = not applicable for SC bolts","ERROR"))),"ERROR"))</f>
        <v>Fnv  = Nominal shear stress for A325-N from AISC Table J3.2, page 16.1-104</v>
      </c>
      <c r="Q20" s="8"/>
      <c r="R20" s="8"/>
      <c r="W20" s="281">
        <v>0.875</v>
      </c>
      <c r="X20" s="281">
        <v>0.9375</v>
      </c>
      <c r="Y20" s="281">
        <v>1.0625</v>
      </c>
      <c r="AA20" s="268">
        <v>0.875</v>
      </c>
      <c r="AB20" s="380">
        <v>1.25</v>
      </c>
      <c r="AC20" s="381">
        <v>1.125</v>
      </c>
      <c r="AF20" s="289" t="s">
        <v>468</v>
      </c>
      <c r="AG20" s="290">
        <v>63.4</v>
      </c>
      <c r="AH20" s="291">
        <v>39</v>
      </c>
      <c r="AI20" s="292">
        <v>0.65</v>
      </c>
      <c r="AJ20" s="291">
        <v>15.8</v>
      </c>
      <c r="AK20" s="293">
        <v>1.22</v>
      </c>
      <c r="AL20" s="294">
        <v>2.4</v>
      </c>
      <c r="AN20" s="34"/>
      <c r="AO20" s="42">
        <f>$D$23</f>
        <v>0.25</v>
      </c>
      <c r="AP20" s="42">
        <f>$B$132</f>
        <v>0.3125</v>
      </c>
      <c r="AQ20" s="28"/>
      <c r="AR20" s="5"/>
      <c r="AS20" s="384"/>
      <c r="AT20" s="98"/>
    </row>
    <row r="21" spans="1:46" ht="12.75">
      <c r="A21" s="18"/>
      <c r="B21" s="9"/>
      <c r="C21" s="43" t="s">
        <v>73</v>
      </c>
      <c r="D21" s="160">
        <v>0.375</v>
      </c>
      <c r="E21" s="107" t="s">
        <v>229</v>
      </c>
      <c r="F21" s="23"/>
      <c r="G21" s="130" t="str">
        <f>"tw="&amp;$B$46</f>
        <v>tw=0.355</v>
      </c>
      <c r="H21" s="14" t="str">
        <f>"      c="&amp;$D$34</f>
        <v>      c=0</v>
      </c>
      <c r="I21" s="128"/>
      <c r="K21" s="33" t="s">
        <v>391</v>
      </c>
      <c r="L21" s="57"/>
      <c r="M21" s="49" t="s">
        <v>386</v>
      </c>
      <c r="N21" s="2">
        <f>IF($D$26="SC","N.A.",IF(OR($N$17/($N$27/2)&lt;=0.2,$N$15/($N$20/2)&lt;=0.2),$N$20,MIN($N$20,1.3*$N$20-(2*$N$20/$N$27)*$N$17)))</f>
        <v>48</v>
      </c>
      <c r="O21" s="37" t="s">
        <v>212</v>
      </c>
      <c r="P21" s="71" t="str">
        <f>IF($N$21=$N$20,"Fnv' = Fnv (no reduction needed for comb. effects)","Fnv' = 1.3*Fnv - (2*Fnv/Fnt)*ft")</f>
        <v>Fnv' = Fnv (no reduction needed for comb. effects)</v>
      </c>
      <c r="Q21" s="8"/>
      <c r="R21" s="8"/>
      <c r="W21" s="281">
        <v>1</v>
      </c>
      <c r="X21" s="281">
        <v>1.0625</v>
      </c>
      <c r="Y21" s="281">
        <v>1.25</v>
      </c>
      <c r="AA21" s="268">
        <v>1</v>
      </c>
      <c r="AB21" s="380">
        <v>1.25</v>
      </c>
      <c r="AC21" s="381">
        <v>1.25</v>
      </c>
      <c r="AF21" s="289" t="s">
        <v>469</v>
      </c>
      <c r="AG21" s="290">
        <v>58.5</v>
      </c>
      <c r="AH21" s="291">
        <v>38.7</v>
      </c>
      <c r="AI21" s="292">
        <v>0.65</v>
      </c>
      <c r="AJ21" s="291">
        <v>15.8</v>
      </c>
      <c r="AK21" s="293">
        <v>1.07</v>
      </c>
      <c r="AL21" s="294">
        <v>2.25</v>
      </c>
      <c r="AN21" s="353" t="str">
        <f>IF(AND($D$34=0,$D$35=0,$D$36=0),$M$78,IF(AND($D$34&gt;0,$D$35&gt;0,$D$36=0),$M$87,IF(AND($D$34&gt;0,$D$35&gt;0,$D$36&gt;0),$M$109)))</f>
        <v>Beam Checks for Uncoped Flanges:</v>
      </c>
      <c r="AR21" s="5"/>
      <c r="AS21" s="384"/>
      <c r="AT21" s="98"/>
    </row>
    <row r="22" spans="1:46" ht="12.75">
      <c r="A22" s="18"/>
      <c r="B22" s="9"/>
      <c r="C22" s="43" t="s">
        <v>74</v>
      </c>
      <c r="D22" s="153">
        <v>36</v>
      </c>
      <c r="E22" s="105" t="s">
        <v>212</v>
      </c>
      <c r="F22" s="14" t="str">
        <f>"tf="&amp;$B$48</f>
        <v>tf=0.57</v>
      </c>
      <c r="G22" s="27"/>
      <c r="H22" s="14"/>
      <c r="I22" s="128" t="str">
        <f>"        dc1="&amp;$D$35</f>
        <v>        dc1=0</v>
      </c>
      <c r="K22" s="33" t="s">
        <v>393</v>
      </c>
      <c r="L22" s="43"/>
      <c r="M22" s="32" t="s">
        <v>214</v>
      </c>
      <c r="N22" s="60">
        <f>IF($D$25="A325",IF($D$26="SC",IF($D$28="Standard",(1/1.76)*$N$18*1.13*1*$N$19*1/$N$7,(1/1.76)*$N$18*1.13*0.85*$N$19*1/$N$7),$N$21/2),IF($D$25="A490",IF($D$26="SC",IF($D$28="Standard",(1/1.76)*$N$18*1.13*1*$N$19*1/$N$7,(1/1.76)*$N$18*1.13*0.85*$N$19*1/$N$7),$N$21/2)))</f>
        <v>24</v>
      </c>
      <c r="O22" s="30" t="s">
        <v>212</v>
      </c>
      <c r="P22" s="71" t="str">
        <f>IF($C$14="SC","Fv = Rn / Ab, see Sect. J3.8 (allowable bolt shear stress)","Fv = Fnv' / 2 (allowable bolt shear stress)")</f>
        <v>Fv = Fnv' / 2 (allowable bolt shear stress)</v>
      </c>
      <c r="R22" s="8"/>
      <c r="W22" s="282" t="str">
        <f>IF($D$24&gt;=1.125,$D$24,"N.A.")</f>
        <v>N.A.</v>
      </c>
      <c r="X22" s="283" t="str">
        <f>IF($W$22="N.A.","N.A.",$W$22+1/16)</f>
        <v>N.A.</v>
      </c>
      <c r="Y22" s="283" t="str">
        <f>IF($W$22="N.A.","N.A.",$W$22+5/16)</f>
        <v>N.A.</v>
      </c>
      <c r="AA22" s="268">
        <v>1.125</v>
      </c>
      <c r="AB22" s="380">
        <v>2</v>
      </c>
      <c r="AC22" s="381">
        <v>1.5</v>
      </c>
      <c r="AF22" s="289" t="s">
        <v>470</v>
      </c>
      <c r="AG22" s="295">
        <v>115</v>
      </c>
      <c r="AH22" s="291">
        <v>41.6</v>
      </c>
      <c r="AI22" s="293">
        <v>1.42</v>
      </c>
      <c r="AJ22" s="291">
        <v>12.4</v>
      </c>
      <c r="AK22" s="293">
        <v>2.52</v>
      </c>
      <c r="AL22" s="294">
        <v>3.7</v>
      </c>
      <c r="AN22" s="34">
        <v>143</v>
      </c>
      <c r="AO22" s="47" t="str">
        <f>IF($AR$22="","N.A.",IF($B$143&gt;=$D$16,"Rvn &gt;= R,  O.K.","Rvn &lt; R, N.G."))</f>
        <v>N.A.</v>
      </c>
      <c r="AP22" s="28"/>
      <c r="AQ22" s="28"/>
      <c r="AR22" s="5">
        <f>IF(AND($D$34=0,$D$35=0,$D$36=0),"",$D$16/$B$143)</f>
      </c>
      <c r="AS22" s="384"/>
      <c r="AT22" s="98"/>
    </row>
    <row r="23" spans="1:46" ht="12.75">
      <c r="A23" s="18"/>
      <c r="B23" s="9"/>
      <c r="C23" s="43" t="s">
        <v>3</v>
      </c>
      <c r="D23" s="359">
        <v>0.25</v>
      </c>
      <c r="E23" s="106" t="s">
        <v>229</v>
      </c>
      <c r="F23" s="14"/>
      <c r="G23" s="36"/>
      <c r="H23" s="9"/>
      <c r="I23" s="126"/>
      <c r="K23" s="33" t="s">
        <v>395</v>
      </c>
      <c r="L23" s="43"/>
      <c r="M23" s="32" t="s">
        <v>387</v>
      </c>
      <c r="N23" s="60" t="str">
        <f>IF($D$26="SC",1-(1.5*$D$17)/(1.13*$N$19*$N$13),"N.A.")</f>
        <v>N.A.</v>
      </c>
      <c r="O23" s="8"/>
      <c r="P23" s="37" t="str">
        <f>IF($D$26="SC","ks = 1- (1.5*P) / (1.13*Tb*Nb) (Eqn J3-5b)","ks = not applicable for N or X bolts")</f>
        <v>ks = not applicable for N or X bolts</v>
      </c>
      <c r="Q23" s="8"/>
      <c r="R23" s="8"/>
      <c r="W23" s="38"/>
      <c r="X23" s="38"/>
      <c r="Y23" s="38"/>
      <c r="AA23" s="268">
        <v>1.25</v>
      </c>
      <c r="AB23" s="380">
        <v>2.25</v>
      </c>
      <c r="AC23" s="381">
        <v>1.625</v>
      </c>
      <c r="AF23" s="289" t="s">
        <v>471</v>
      </c>
      <c r="AG23" s="290">
        <v>97.5</v>
      </c>
      <c r="AH23" s="291">
        <v>40.8</v>
      </c>
      <c r="AI23" s="293">
        <v>1.22</v>
      </c>
      <c r="AJ23" s="291">
        <v>12.2</v>
      </c>
      <c r="AK23" s="293">
        <v>2.13</v>
      </c>
      <c r="AL23" s="294">
        <v>3.31</v>
      </c>
      <c r="AN23" s="15">
        <v>147</v>
      </c>
      <c r="AO23" s="47" t="str">
        <f>IF($D$17&gt;0,IF($B$147&gt;=$D$17,"Rtn &gt;= P,  O.K.","Rtn &lt; P, N.G."),"N.A.")</f>
        <v>Rtn &gt;= P,  O.K.</v>
      </c>
      <c r="AR23" s="5">
        <f>IF($D$17&gt;0,$D$17/$B$147,"")</f>
        <v>0.08536064874093044</v>
      </c>
      <c r="AS23" s="384"/>
      <c r="AT23" s="98"/>
    </row>
    <row r="24" spans="1:46" ht="12.75">
      <c r="A24" s="18"/>
      <c r="B24" s="9"/>
      <c r="C24" s="43" t="s">
        <v>116</v>
      </c>
      <c r="D24" s="160">
        <v>0.875</v>
      </c>
      <c r="E24" s="107" t="s">
        <v>229</v>
      </c>
      <c r="F24" s="113"/>
      <c r="G24" s="14"/>
      <c r="H24" s="27"/>
      <c r="I24" s="131"/>
      <c r="J24" s="36"/>
      <c r="K24" s="33" t="s">
        <v>8</v>
      </c>
      <c r="L24" s="43"/>
      <c r="M24" s="32" t="s">
        <v>198</v>
      </c>
      <c r="N24" s="40">
        <f>IF($D$26="SC",$N$23*$N$22*$N$7,$N$7*$N$22)</f>
        <v>14.431691252428111</v>
      </c>
      <c r="O24" s="37" t="s">
        <v>211</v>
      </c>
      <c r="P24" s="37" t="str">
        <f>IF($C$14="SC","Vb = ks*Ab*Fv (see Sect. J3.8, allowable shear/bolt)","Vb = Ab*Fv (allowable shear/bolt)")</f>
        <v>Vb = Ab*Fv (allowable shear/bolt)</v>
      </c>
      <c r="R24" s="8"/>
      <c r="S24" s="36"/>
      <c r="T24" s="36"/>
      <c r="U24" s="36"/>
      <c r="V24" s="36"/>
      <c r="W24" s="49"/>
      <c r="X24" s="49"/>
      <c r="Y24" s="49"/>
      <c r="AA24" s="272" t="str">
        <f>IF($D$24&gt;1.25,$D$24,"N.A.")</f>
        <v>N.A.</v>
      </c>
      <c r="AB24" s="382" t="str">
        <f>IF($D$24&gt;1.25,1.75*$D$24,"N.A.")</f>
        <v>N.A.</v>
      </c>
      <c r="AC24" s="383" t="str">
        <f>IF($D$24&gt;1.25,1.25*$D$24,"N.A.")</f>
        <v>N.A.</v>
      </c>
      <c r="AD24" s="36"/>
      <c r="AE24" s="36"/>
      <c r="AF24" s="289" t="s">
        <v>472</v>
      </c>
      <c r="AG24" s="290">
        <v>96</v>
      </c>
      <c r="AH24" s="291">
        <v>40.8</v>
      </c>
      <c r="AI24" s="293">
        <v>1.18</v>
      </c>
      <c r="AJ24" s="291">
        <v>12.1</v>
      </c>
      <c r="AK24" s="293">
        <v>2.13</v>
      </c>
      <c r="AL24" s="294">
        <v>3.31</v>
      </c>
      <c r="AN24" s="15">
        <v>161</v>
      </c>
      <c r="AO24" s="47" t="str">
        <f>IF(AND($D$34=0,$D$35=0,$D$36=0),"N.A.",IF($B$161&gt;=$D$16,"Rwb &gt;= R,  O.K.","Rwb &lt; R, N.G."))</f>
        <v>N.A.</v>
      </c>
      <c r="AR24" s="5">
        <f>IF(AND($D$34=0,$D$35=0,$D$36=0),"",$D$16/$B$161)</f>
      </c>
      <c r="AS24" s="384"/>
      <c r="AT24" s="98"/>
    </row>
    <row r="25" spans="1:46" ht="12.75">
      <c r="A25" s="18"/>
      <c r="B25" s="9"/>
      <c r="C25" s="61" t="s">
        <v>56</v>
      </c>
      <c r="D25" s="153" t="s">
        <v>215</v>
      </c>
      <c r="E25" s="114"/>
      <c r="F25" s="113" t="str">
        <f>"d="&amp;$B$45&amp;"       "</f>
        <v>d=18       </v>
      </c>
      <c r="G25" s="111"/>
      <c r="H25" s="27"/>
      <c r="I25" s="134"/>
      <c r="J25" s="36"/>
      <c r="K25" s="33" t="s">
        <v>118</v>
      </c>
      <c r="L25" s="43"/>
      <c r="M25" s="32" t="s">
        <v>303</v>
      </c>
      <c r="N25" s="40">
        <f>$N$13*$N$24</f>
        <v>115.45353001942489</v>
      </c>
      <c r="O25" s="30" t="s">
        <v>206</v>
      </c>
      <c r="P25" s="28" t="s">
        <v>388</v>
      </c>
      <c r="R25" s="60"/>
      <c r="S25" s="36"/>
      <c r="T25" s="36"/>
      <c r="U25" s="36"/>
      <c r="V25" s="36"/>
      <c r="W25" s="36"/>
      <c r="X25" s="36"/>
      <c r="Y25" s="36"/>
      <c r="Z25" s="36"/>
      <c r="AA25" s="36"/>
      <c r="AB25" s="36"/>
      <c r="AC25" s="36"/>
      <c r="AD25" s="36"/>
      <c r="AE25" s="36"/>
      <c r="AF25" s="289" t="s">
        <v>473</v>
      </c>
      <c r="AG25" s="290">
        <v>86.3</v>
      </c>
      <c r="AH25" s="291">
        <v>40.4</v>
      </c>
      <c r="AI25" s="293">
        <v>1.06</v>
      </c>
      <c r="AJ25" s="291">
        <v>12</v>
      </c>
      <c r="AK25" s="293">
        <v>1.93</v>
      </c>
      <c r="AL25" s="294">
        <v>3.11</v>
      </c>
      <c r="AN25" s="15">
        <v>172</v>
      </c>
      <c r="AO25" s="47" t="str">
        <f>IF(AND($D$34=0,$D$35=0,$D$36=0),"N.A.",IF($B$172&gt;=$D$16,"Rwb &gt;= R,  O.K.","Rwb &lt; R, N.G."))</f>
        <v>N.A.</v>
      </c>
      <c r="AR25" s="5">
        <f>IF(AND($D$34=0,$D$35=0,$D$36=0),"",$D$16/$B$172)</f>
      </c>
      <c r="AS25" s="384"/>
      <c r="AT25" s="98"/>
    </row>
    <row r="26" spans="1:46" ht="12.75">
      <c r="A26" s="18"/>
      <c r="B26" s="9"/>
      <c r="C26" s="43" t="s">
        <v>57</v>
      </c>
      <c r="D26" s="153" t="s">
        <v>216</v>
      </c>
      <c r="E26" s="114"/>
      <c r="F26" s="23"/>
      <c r="G26" s="115"/>
      <c r="H26" s="27"/>
      <c r="I26" s="45"/>
      <c r="J26" s="36"/>
      <c r="K26" s="33">
        <v>1</v>
      </c>
      <c r="L26" s="43"/>
      <c r="M26" s="32" t="s">
        <v>290</v>
      </c>
      <c r="N26" s="70">
        <f>PI()/4*($D$24-0.9743/VLOOKUP($D$24,$W$5:$X$13,2,FALSE))^2</f>
        <v>0.4617332579068646</v>
      </c>
      <c r="O26" s="30" t="s">
        <v>210</v>
      </c>
      <c r="P26" s="30" t="s">
        <v>389</v>
      </c>
      <c r="Q26" s="8"/>
      <c r="R26" s="8"/>
      <c r="S26" s="36"/>
      <c r="T26" s="36"/>
      <c r="U26" s="36"/>
      <c r="V26" s="36"/>
      <c r="W26" s="36"/>
      <c r="X26" s="36"/>
      <c r="Y26" s="36"/>
      <c r="Z26" s="36"/>
      <c r="AA26" s="36"/>
      <c r="AB26" s="36"/>
      <c r="AC26" s="36"/>
      <c r="AD26" s="36"/>
      <c r="AE26" s="36"/>
      <c r="AF26" s="289" t="s">
        <v>474</v>
      </c>
      <c r="AG26" s="290">
        <v>82</v>
      </c>
      <c r="AH26" s="291">
        <v>40.2</v>
      </c>
      <c r="AI26" s="293">
        <v>1.03</v>
      </c>
      <c r="AJ26" s="291">
        <v>12</v>
      </c>
      <c r="AK26" s="293">
        <v>1.81</v>
      </c>
      <c r="AL26" s="294">
        <v>2.99</v>
      </c>
      <c r="AN26" s="31" t="s">
        <v>179</v>
      </c>
      <c r="AO26" s="37"/>
      <c r="AR26" s="5"/>
      <c r="AS26" s="384"/>
      <c r="AT26" s="98"/>
    </row>
    <row r="27" spans="1:46" ht="12.75">
      <c r="A27" s="18"/>
      <c r="B27" s="9"/>
      <c r="C27" s="43" t="s">
        <v>380</v>
      </c>
      <c r="D27" s="153" t="s">
        <v>391</v>
      </c>
      <c r="E27" s="9"/>
      <c r="F27" s="14"/>
      <c r="G27" s="14"/>
      <c r="H27" s="9"/>
      <c r="I27" s="127"/>
      <c r="J27" s="36"/>
      <c r="K27" s="33">
        <v>2</v>
      </c>
      <c r="L27" s="43"/>
      <c r="M27" s="49" t="s">
        <v>390</v>
      </c>
      <c r="N27" s="2">
        <f>IF($D$25="A325",90,IF($D$25="A490",113,"ERROR"))</f>
        <v>90</v>
      </c>
      <c r="O27" s="37" t="s">
        <v>212</v>
      </c>
      <c r="P27" s="71" t="str">
        <f>IF($D$25="A325","Fnt  = Nominal tension stress for A325 bolts from AISC Table J3.2, page 16.1-104",IF($D$25="A490","Fnt  = Nominal tension stress for A490 bolts from AISC Table J3.2, page 16.1-104","ERROR"))</f>
        <v>Fnt  = Nominal tension stress for A325 bolts from AISC Table J3.2, page 16.1-104</v>
      </c>
      <c r="Q27" s="8"/>
      <c r="R27" s="8"/>
      <c r="S27" s="36"/>
      <c r="T27" s="36"/>
      <c r="U27" s="36"/>
      <c r="V27" s="36"/>
      <c r="W27" s="36"/>
      <c r="X27" s="36"/>
      <c r="Y27" s="36"/>
      <c r="Z27" s="36"/>
      <c r="AA27" s="36"/>
      <c r="AB27" s="36"/>
      <c r="AC27" s="36"/>
      <c r="AD27" s="36"/>
      <c r="AE27" s="36"/>
      <c r="AF27" s="289" t="s">
        <v>475</v>
      </c>
      <c r="AG27" s="290">
        <v>77.6</v>
      </c>
      <c r="AH27" s="291">
        <v>40</v>
      </c>
      <c r="AI27" s="292">
        <v>0.96</v>
      </c>
      <c r="AJ27" s="291">
        <v>11.9</v>
      </c>
      <c r="AK27" s="293">
        <v>1.73</v>
      </c>
      <c r="AL27" s="294">
        <v>2.91</v>
      </c>
      <c r="AN27" s="15">
        <v>193</v>
      </c>
      <c r="AO27" s="37" t="str">
        <f>IF($D$16&gt;0,IF($B$177&gt;=$D$16,"Rpc &gt;= R,  O.K.","Rpc &lt; R, N.G."),"N.A.")</f>
        <v>Rpc &gt;= R,  O.K.</v>
      </c>
      <c r="AR27" s="5">
        <f>IF($D$16&gt;0,$D$16/$B$177,"")</f>
        <v>0.1831501831501831</v>
      </c>
      <c r="AS27" s="384"/>
      <c r="AT27" s="98"/>
    </row>
    <row r="28" spans="1:46" ht="12.75">
      <c r="A28" s="18"/>
      <c r="B28" s="9"/>
      <c r="C28" s="43" t="s">
        <v>105</v>
      </c>
      <c r="D28" s="153" t="s">
        <v>8</v>
      </c>
      <c r="E28" s="114"/>
      <c r="F28" s="9"/>
      <c r="G28" s="12" t="str">
        <f>"  bf="&amp;$B$47</f>
        <v>  bf=7.5</v>
      </c>
      <c r="H28" s="12"/>
      <c r="I28" s="116" t="str">
        <f>"        dc2="&amp;$D$36</f>
        <v>        dc2=0</v>
      </c>
      <c r="J28" s="36"/>
      <c r="K28" s="33">
        <v>3</v>
      </c>
      <c r="L28" s="43"/>
      <c r="M28" s="49" t="s">
        <v>392</v>
      </c>
      <c r="N28" s="2">
        <f>IF($D$26="SC","N.A.",IF(OR($N$17/($N$27/2)&lt;=0.2,$N$15/($N$20/2)&lt;=0.2),$N$27,MIN($N$27,1.3*$N$27-(2*$N$27/$N$20)*$N$15)))</f>
        <v>90</v>
      </c>
      <c r="O28" s="37" t="s">
        <v>212</v>
      </c>
      <c r="P28" s="71" t="str">
        <f>IF($N$28=$N$27,"Fnt' = Fnt (no reduction needed for comb. effects","Fnt' = 1.3*Fnt - (2*Fnt/Fnv)*fv")</f>
        <v>Fnt' = Fnt (no reduction needed for comb. effects</v>
      </c>
      <c r="Q28" s="8"/>
      <c r="R28" s="8"/>
      <c r="S28" s="36"/>
      <c r="T28" s="36"/>
      <c r="U28" s="36"/>
      <c r="V28" s="36"/>
      <c r="W28" s="36"/>
      <c r="X28" s="36"/>
      <c r="Y28" s="36"/>
      <c r="Z28" s="36"/>
      <c r="AA28" s="36"/>
      <c r="AB28" s="36"/>
      <c r="AC28" s="36"/>
      <c r="AD28" s="36"/>
      <c r="AE28" s="36"/>
      <c r="AF28" s="289" t="s">
        <v>476</v>
      </c>
      <c r="AG28" s="290">
        <v>69</v>
      </c>
      <c r="AH28" s="291">
        <v>39.7</v>
      </c>
      <c r="AI28" s="292">
        <v>0.83</v>
      </c>
      <c r="AJ28" s="291">
        <v>11.9</v>
      </c>
      <c r="AK28" s="293">
        <v>1.58</v>
      </c>
      <c r="AL28" s="294">
        <v>2.76</v>
      </c>
      <c r="AN28" s="15">
        <v>215</v>
      </c>
      <c r="AO28" s="37" t="str">
        <f>IF($D$17&gt;0,IF($D$39="Yes",IF($B$189&gt;=$D$17,"Pa &gt;= P,  O.K.","Pa &lt; P, N.G."),"N.A."),"N.A.")</f>
        <v>Pa &gt;= P,  O.K.</v>
      </c>
      <c r="AR28" s="5">
        <f>IF($D$17&gt;0,IF($D$39="Yes",$D$17/$B$189,""),"")</f>
        <v>0.3951459661880689</v>
      </c>
      <c r="AS28" s="384"/>
      <c r="AT28" s="98"/>
    </row>
    <row r="29" spans="1:46" ht="12.75">
      <c r="A29" s="18"/>
      <c r="B29" s="9"/>
      <c r="C29" s="43" t="s">
        <v>190</v>
      </c>
      <c r="D29" s="153">
        <v>4</v>
      </c>
      <c r="E29" s="107"/>
      <c r="F29" s="54"/>
      <c r="G29" s="9"/>
      <c r="H29" s="27" t="str">
        <f>"      c="&amp;IF($D$36&gt;0,$D$34,0)</f>
        <v>      c=0</v>
      </c>
      <c r="I29" s="53"/>
      <c r="J29" s="36"/>
      <c r="K29" s="33">
        <v>4</v>
      </c>
      <c r="L29" s="43"/>
      <c r="M29" s="49" t="s">
        <v>300</v>
      </c>
      <c r="N29" s="60">
        <f>IF($D$26="SC",$N$27/2,$N$28/2)</f>
        <v>45</v>
      </c>
      <c r="O29" s="37" t="s">
        <v>212</v>
      </c>
      <c r="P29" s="47" t="s">
        <v>394</v>
      </c>
      <c r="Q29" s="8"/>
      <c r="R29" s="8"/>
      <c r="S29" s="36"/>
      <c r="T29" s="36"/>
      <c r="U29" s="36"/>
      <c r="V29" s="36"/>
      <c r="W29" s="36"/>
      <c r="X29" s="36"/>
      <c r="Y29" s="36"/>
      <c r="Z29" s="36"/>
      <c r="AA29" s="36"/>
      <c r="AB29" s="36"/>
      <c r="AC29" s="36"/>
      <c r="AD29" s="36"/>
      <c r="AE29" s="36"/>
      <c r="AF29" s="289" t="s">
        <v>477</v>
      </c>
      <c r="AG29" s="290">
        <v>62</v>
      </c>
      <c r="AH29" s="291">
        <v>39.4</v>
      </c>
      <c r="AI29" s="292">
        <v>0.75</v>
      </c>
      <c r="AJ29" s="291">
        <v>11.8</v>
      </c>
      <c r="AK29" s="293">
        <v>1.42</v>
      </c>
      <c r="AL29" s="294">
        <v>2.6</v>
      </c>
      <c r="AN29" s="15">
        <v>220</v>
      </c>
      <c r="AO29" s="37" t="str">
        <f>IF($D$17&gt;0,IF($D$39="Yes",IF($B$196&gt;=$B$195,"Fv &gt;= fv,  O.K.","Fv &lt; fv, N.G."),"N.A."),"N.A.")</f>
        <v>Fv &gt;= fv,  O.K.</v>
      </c>
      <c r="AR29" s="5">
        <f>IF($D$17&gt;0,IF($D$39="Yes",$B$195/$B$196,""),"")</f>
        <v>0.15770450881481093</v>
      </c>
      <c r="AS29" s="384"/>
      <c r="AT29" s="98"/>
    </row>
    <row r="30" spans="1:46" ht="12.75">
      <c r="A30" s="18"/>
      <c r="B30" s="9"/>
      <c r="C30" s="91" t="s">
        <v>2</v>
      </c>
      <c r="D30" s="159">
        <v>3.25</v>
      </c>
      <c r="E30" s="107" t="s">
        <v>229</v>
      </c>
      <c r="F30" s="54"/>
      <c r="G30" s="9"/>
      <c r="H30" s="9"/>
      <c r="I30" s="53"/>
      <c r="J30" s="36"/>
      <c r="K30" s="33">
        <v>5</v>
      </c>
      <c r="L30" s="43"/>
      <c r="M30" s="49" t="s">
        <v>779</v>
      </c>
      <c r="N30" s="2">
        <f>$N$29*$N$7</f>
        <v>27.059421098302707</v>
      </c>
      <c r="O30" s="37" t="s">
        <v>211</v>
      </c>
      <c r="P30" s="71" t="s">
        <v>112</v>
      </c>
      <c r="R30" s="8"/>
      <c r="S30" s="36"/>
      <c r="T30" s="36"/>
      <c r="U30" s="36"/>
      <c r="V30" s="36"/>
      <c r="W30" s="36"/>
      <c r="X30" s="36"/>
      <c r="Y30" s="36"/>
      <c r="Z30" s="36"/>
      <c r="AA30" s="36"/>
      <c r="AB30" s="36"/>
      <c r="AC30" s="36"/>
      <c r="AD30" s="36"/>
      <c r="AE30" s="36"/>
      <c r="AF30" s="289" t="s">
        <v>478</v>
      </c>
      <c r="AG30" s="290">
        <v>53.3</v>
      </c>
      <c r="AH30" s="291">
        <v>39</v>
      </c>
      <c r="AI30" s="292">
        <v>0.65</v>
      </c>
      <c r="AJ30" s="291">
        <v>11.8</v>
      </c>
      <c r="AK30" s="293">
        <v>1.2</v>
      </c>
      <c r="AL30" s="294">
        <v>2.38</v>
      </c>
      <c r="AN30" s="15">
        <v>227</v>
      </c>
      <c r="AO30" s="37" t="str">
        <f>IF($D$17&gt;0,IF($D$39="Yes",IF($D$37&gt;0,IF($B$201&lt;=$B$202,"Weld size &lt;= weld max., O.K.","Weld size &gt; weld max."),"N.A."),"N.A."),"N.A.")</f>
        <v>N.A.</v>
      </c>
      <c r="AR30" s="5">
        <f>IF($D$17&gt;0,IF($D$39="Yes",IF($D$37&gt;0,$B$201/$B$202,""),""),"")</f>
      </c>
      <c r="AT30" s="98"/>
    </row>
    <row r="31" spans="1:46" ht="12.75">
      <c r="A31" s="18"/>
      <c r="B31" s="9"/>
      <c r="C31" s="43" t="s">
        <v>106</v>
      </c>
      <c r="D31" s="159">
        <v>3</v>
      </c>
      <c r="E31" s="107" t="s">
        <v>229</v>
      </c>
      <c r="F31" s="99" t="s">
        <v>203</v>
      </c>
      <c r="G31" s="21"/>
      <c r="H31" s="1"/>
      <c r="I31" s="11"/>
      <c r="J31" s="36"/>
      <c r="K31" s="33">
        <v>6</v>
      </c>
      <c r="L31" s="91"/>
      <c r="M31" s="32" t="s">
        <v>268</v>
      </c>
      <c r="N31" s="60">
        <f>$N$13*$N$30</f>
        <v>216.47536878642165</v>
      </c>
      <c r="O31" s="30" t="s">
        <v>206</v>
      </c>
      <c r="P31" s="30" t="s">
        <v>327</v>
      </c>
      <c r="S31" s="36"/>
      <c r="T31" s="36"/>
      <c r="U31" s="36"/>
      <c r="V31" s="36"/>
      <c r="W31" s="36"/>
      <c r="X31" s="36"/>
      <c r="Y31" s="36"/>
      <c r="Z31" s="36"/>
      <c r="AA31" s="36"/>
      <c r="AB31" s="36"/>
      <c r="AC31" s="36"/>
      <c r="AD31" s="36"/>
      <c r="AE31" s="36"/>
      <c r="AF31" s="289" t="s">
        <v>479</v>
      </c>
      <c r="AG31" s="290">
        <v>49.2</v>
      </c>
      <c r="AH31" s="291">
        <v>38.6</v>
      </c>
      <c r="AI31" s="292">
        <v>0.65</v>
      </c>
      <c r="AJ31" s="291">
        <v>11.8</v>
      </c>
      <c r="AK31" s="293">
        <v>1.03</v>
      </c>
      <c r="AL31" s="294">
        <v>2.21</v>
      </c>
      <c r="AO31" s="60" t="str">
        <f>$B$201</f>
        <v>N.A.</v>
      </c>
      <c r="AP31" s="60" t="str">
        <f>$B$202</f>
        <v>N.A.</v>
      </c>
      <c r="AR31" s="5"/>
      <c r="AT31" s="98"/>
    </row>
    <row r="32" spans="1:46" ht="12.75">
      <c r="A32" s="18"/>
      <c r="B32" s="9"/>
      <c r="C32" s="43" t="s">
        <v>107</v>
      </c>
      <c r="D32" s="159">
        <v>1.25</v>
      </c>
      <c r="E32" s="105" t="s">
        <v>229</v>
      </c>
      <c r="F32" s="9"/>
      <c r="G32" s="9"/>
      <c r="H32" s="9"/>
      <c r="I32" s="13"/>
      <c r="J32" s="36"/>
      <c r="K32" s="33">
        <v>7</v>
      </c>
      <c r="L32" s="43"/>
      <c r="M32" s="37" t="s">
        <v>114</v>
      </c>
      <c r="S32" s="36"/>
      <c r="T32" s="36"/>
      <c r="U32" s="36"/>
      <c r="V32" s="36"/>
      <c r="W32" s="36"/>
      <c r="X32" s="36"/>
      <c r="Y32" s="36"/>
      <c r="Z32" s="36"/>
      <c r="AA32" s="36"/>
      <c r="AB32" s="36"/>
      <c r="AC32" s="36"/>
      <c r="AD32" s="36"/>
      <c r="AE32" s="36"/>
      <c r="AF32" s="289" t="s">
        <v>480</v>
      </c>
      <c r="AG32" s="290">
        <v>43.8</v>
      </c>
      <c r="AH32" s="291">
        <v>38.2</v>
      </c>
      <c r="AI32" s="292">
        <v>0.63</v>
      </c>
      <c r="AJ32" s="291">
        <v>11.8</v>
      </c>
      <c r="AK32" s="292">
        <v>0.83</v>
      </c>
      <c r="AL32" s="294">
        <v>2.01</v>
      </c>
      <c r="AR32" s="5"/>
      <c r="AT32" s="98"/>
    </row>
    <row r="33" spans="1:46" ht="12.75">
      <c r="A33" s="18"/>
      <c r="B33" s="9"/>
      <c r="C33" s="57" t="s">
        <v>108</v>
      </c>
      <c r="D33" s="163">
        <f>$D$20-2*$D$32</f>
        <v>3.5</v>
      </c>
      <c r="E33" s="105" t="s">
        <v>229</v>
      </c>
      <c r="F33" s="9"/>
      <c r="G33" s="9"/>
      <c r="H33" s="9"/>
      <c r="I33" s="13"/>
      <c r="J33" s="36"/>
      <c r="K33" s="33">
        <v>8</v>
      </c>
      <c r="L33" s="43"/>
      <c r="M33" s="32" t="s">
        <v>16</v>
      </c>
      <c r="N33" s="38">
        <f>IF($D$17&gt;0,MIN($D$31,$D$31/2+$D$32),"N.A.")</f>
        <v>2.75</v>
      </c>
      <c r="O33" s="37" t="s">
        <v>229</v>
      </c>
      <c r="P33" s="30" t="s">
        <v>236</v>
      </c>
      <c r="S33" s="36"/>
      <c r="T33" s="36"/>
      <c r="U33" s="36"/>
      <c r="V33" s="36"/>
      <c r="W33" s="36"/>
      <c r="X33" s="36"/>
      <c r="Y33" s="36"/>
      <c r="Z33" s="36"/>
      <c r="AA33" s="36"/>
      <c r="AB33" s="36"/>
      <c r="AC33" s="36"/>
      <c r="AD33" s="36"/>
      <c r="AE33" s="36"/>
      <c r="AF33" s="289" t="s">
        <v>481</v>
      </c>
      <c r="AG33" s="295">
        <v>236</v>
      </c>
      <c r="AH33" s="291">
        <v>42.6</v>
      </c>
      <c r="AI33" s="293">
        <v>2.38</v>
      </c>
      <c r="AJ33" s="291">
        <v>18</v>
      </c>
      <c r="AK33" s="293">
        <v>4.29</v>
      </c>
      <c r="AL33" s="294">
        <v>5.24</v>
      </c>
      <c r="AT33" s="98"/>
    </row>
    <row r="34" spans="1:46" ht="12.75">
      <c r="A34" s="18"/>
      <c r="B34" s="9"/>
      <c r="C34" s="43" t="s">
        <v>28</v>
      </c>
      <c r="D34" s="159">
        <v>0</v>
      </c>
      <c r="E34" s="107" t="s">
        <v>229</v>
      </c>
      <c r="F34" s="9"/>
      <c r="G34" s="9"/>
      <c r="H34" s="9"/>
      <c r="I34" s="13"/>
      <c r="J34" s="36"/>
      <c r="K34" s="33">
        <v>9</v>
      </c>
      <c r="L34" s="57"/>
      <c r="M34" s="49" t="s">
        <v>780</v>
      </c>
      <c r="N34" s="7">
        <f>IF($D$17&gt;0,($D$33-$B$46)/2,"N.A.")</f>
        <v>1.5725</v>
      </c>
      <c r="O34" s="30" t="s">
        <v>229</v>
      </c>
      <c r="P34" s="30" t="s">
        <v>396</v>
      </c>
      <c r="R34" s="8"/>
      <c r="S34" s="36"/>
      <c r="T34" s="36"/>
      <c r="U34" s="36"/>
      <c r="V34" s="36"/>
      <c r="W34" s="36"/>
      <c r="X34" s="36"/>
      <c r="Y34" s="36"/>
      <c r="Z34" s="36"/>
      <c r="AA34" s="36"/>
      <c r="AB34" s="36"/>
      <c r="AC34" s="36"/>
      <c r="AD34" s="36"/>
      <c r="AE34" s="36"/>
      <c r="AF34" s="289" t="s">
        <v>482</v>
      </c>
      <c r="AG34" s="295">
        <v>192</v>
      </c>
      <c r="AH34" s="291">
        <v>41.1</v>
      </c>
      <c r="AI34" s="293">
        <v>1.97</v>
      </c>
      <c r="AJ34" s="291">
        <v>17.6</v>
      </c>
      <c r="AK34" s="293">
        <v>3.54</v>
      </c>
      <c r="AL34" s="294">
        <v>4.49</v>
      </c>
      <c r="AT34" s="98"/>
    </row>
    <row r="35" spans="1:46" ht="12.75">
      <c r="A35" s="18"/>
      <c r="B35" s="9"/>
      <c r="C35" s="43" t="s">
        <v>11</v>
      </c>
      <c r="D35" s="159">
        <v>0</v>
      </c>
      <c r="E35" s="107" t="s">
        <v>229</v>
      </c>
      <c r="F35" s="9"/>
      <c r="G35" s="9"/>
      <c r="H35" s="9"/>
      <c r="I35" s="13"/>
      <c r="J35" s="36"/>
      <c r="K35" s="33">
        <v>10</v>
      </c>
      <c r="L35" s="43"/>
      <c r="M35" s="49" t="s">
        <v>781</v>
      </c>
      <c r="N35" s="69">
        <f>IF($D$17&gt;0,$N$34-$D$24/2,"N.A.")</f>
        <v>1.135</v>
      </c>
      <c r="O35" s="30" t="s">
        <v>229</v>
      </c>
      <c r="P35" s="30" t="s">
        <v>226</v>
      </c>
      <c r="R35" s="8"/>
      <c r="S35" s="36"/>
      <c r="T35" s="36"/>
      <c r="U35" s="36"/>
      <c r="V35" s="36"/>
      <c r="W35" s="36"/>
      <c r="X35" s="36"/>
      <c r="Y35" s="36"/>
      <c r="Z35" s="36"/>
      <c r="AA35" s="36"/>
      <c r="AB35" s="36"/>
      <c r="AC35" s="36"/>
      <c r="AD35" s="36"/>
      <c r="AE35" s="36"/>
      <c r="AF35" s="289" t="s">
        <v>483</v>
      </c>
      <c r="AG35" s="295">
        <v>156</v>
      </c>
      <c r="AH35" s="291">
        <v>39.8</v>
      </c>
      <c r="AI35" s="293">
        <v>1.61</v>
      </c>
      <c r="AJ35" s="291">
        <v>17.2</v>
      </c>
      <c r="AK35" s="293">
        <v>2.91</v>
      </c>
      <c r="AL35" s="294">
        <v>3.86</v>
      </c>
      <c r="AT35" s="98"/>
    </row>
    <row r="36" spans="1:46" ht="12.75">
      <c r="A36" s="18"/>
      <c r="B36" s="9"/>
      <c r="C36" s="43" t="s">
        <v>12</v>
      </c>
      <c r="D36" s="159">
        <v>0</v>
      </c>
      <c r="E36" s="107" t="s">
        <v>229</v>
      </c>
      <c r="F36" s="9"/>
      <c r="G36" s="9"/>
      <c r="H36" s="9"/>
      <c r="I36" s="13"/>
      <c r="J36" s="36"/>
      <c r="K36" s="83">
        <v>11</v>
      </c>
      <c r="L36" s="57"/>
      <c r="M36" s="49" t="s">
        <v>782</v>
      </c>
      <c r="N36" s="69">
        <f>IF($D$17&gt;0,MIN(($D$47-$D$33)/2,($D$20-$D$33)/2,1.25*$N$34),"N.A.")</f>
        <v>1.25</v>
      </c>
      <c r="O36" s="30" t="s">
        <v>229</v>
      </c>
      <c r="P36" s="30" t="s">
        <v>76</v>
      </c>
      <c r="R36" s="8"/>
      <c r="S36" s="36"/>
      <c r="T36" s="36"/>
      <c r="U36" s="36"/>
      <c r="V36" s="36"/>
      <c r="W36" s="36"/>
      <c r="X36" s="36"/>
      <c r="Y36" s="36"/>
      <c r="Z36" s="36"/>
      <c r="AA36" s="36"/>
      <c r="AB36" s="36"/>
      <c r="AC36" s="36"/>
      <c r="AD36" s="36"/>
      <c r="AE36" s="36"/>
      <c r="AF36" s="289" t="s">
        <v>484</v>
      </c>
      <c r="AG36" s="295">
        <v>143</v>
      </c>
      <c r="AH36" s="291">
        <v>39.3</v>
      </c>
      <c r="AI36" s="293">
        <v>1.5</v>
      </c>
      <c r="AJ36" s="291">
        <v>17.1</v>
      </c>
      <c r="AK36" s="293">
        <v>2.68</v>
      </c>
      <c r="AL36" s="294">
        <v>3.63</v>
      </c>
      <c r="AT36" s="98"/>
    </row>
    <row r="37" spans="1:46" ht="12.75">
      <c r="A37" s="18"/>
      <c r="B37" s="9"/>
      <c r="C37" s="43" t="s">
        <v>351</v>
      </c>
      <c r="D37" s="159">
        <v>0</v>
      </c>
      <c r="E37" s="106" t="s">
        <v>229</v>
      </c>
      <c r="F37" s="351" t="s">
        <v>238</v>
      </c>
      <c r="G37" s="9"/>
      <c r="H37" s="9"/>
      <c r="I37" s="13"/>
      <c r="J37" s="36"/>
      <c r="K37" s="83">
        <v>12</v>
      </c>
      <c r="L37" s="57"/>
      <c r="M37" s="32" t="s">
        <v>125</v>
      </c>
      <c r="N37" s="70">
        <f>IF($D$17&gt;0,$N$36+$D$24/2,"N.A.")</f>
        <v>1.6875</v>
      </c>
      <c r="O37" s="30" t="s">
        <v>229</v>
      </c>
      <c r="P37" s="30" t="s">
        <v>231</v>
      </c>
      <c r="R37" s="8"/>
      <c r="S37" s="36"/>
      <c r="T37" s="36"/>
      <c r="U37" s="36"/>
      <c r="V37" s="36"/>
      <c r="W37" s="36"/>
      <c r="X37" s="36"/>
      <c r="Y37" s="36"/>
      <c r="Z37" s="36"/>
      <c r="AA37" s="36"/>
      <c r="AB37" s="36"/>
      <c r="AC37" s="36"/>
      <c r="AD37" s="36"/>
      <c r="AE37" s="36"/>
      <c r="AF37" s="289" t="s">
        <v>485</v>
      </c>
      <c r="AG37" s="295">
        <v>130</v>
      </c>
      <c r="AH37" s="291">
        <v>38.9</v>
      </c>
      <c r="AI37" s="293">
        <v>1.36</v>
      </c>
      <c r="AJ37" s="291">
        <v>17</v>
      </c>
      <c r="AK37" s="293">
        <v>2.44</v>
      </c>
      <c r="AL37" s="294">
        <v>3.39</v>
      </c>
      <c r="AT37" s="98"/>
    </row>
    <row r="38" spans="1:46" ht="12.75">
      <c r="A38" s="18"/>
      <c r="B38" s="9"/>
      <c r="C38" s="43" t="s">
        <v>51</v>
      </c>
      <c r="D38" s="174">
        <v>36</v>
      </c>
      <c r="E38" s="106" t="s">
        <v>229</v>
      </c>
      <c r="F38" s="57" t="s">
        <v>239</v>
      </c>
      <c r="G38" s="144">
        <f>MIN($B$74,$B$109,$B$113,$B$117,$B$123,$B$136,$B$143,$B$161,$B$172,$B$177)</f>
        <v>76.10136863893375</v>
      </c>
      <c r="H38" s="115" t="s">
        <v>206</v>
      </c>
      <c r="I38" s="352"/>
      <c r="K38" s="83" t="s">
        <v>267</v>
      </c>
      <c r="L38" s="57"/>
      <c r="M38" s="73" t="s">
        <v>126</v>
      </c>
      <c r="N38" s="70">
        <f>IF($D$17&gt;0,$N$35/$N$37,"N.A.")</f>
        <v>0.6725925925925926</v>
      </c>
      <c r="P38" s="74" t="s">
        <v>220</v>
      </c>
      <c r="R38" s="8"/>
      <c r="AF38" s="289" t="s">
        <v>486</v>
      </c>
      <c r="AG38" s="295">
        <v>116</v>
      </c>
      <c r="AH38" s="291">
        <v>38.4</v>
      </c>
      <c r="AI38" s="293">
        <v>1.22</v>
      </c>
      <c r="AJ38" s="291">
        <v>16.8</v>
      </c>
      <c r="AK38" s="293">
        <v>2.2</v>
      </c>
      <c r="AL38" s="294">
        <v>3.15</v>
      </c>
      <c r="AT38" s="98"/>
    </row>
    <row r="39" spans="1:38" ht="12.75">
      <c r="A39" s="18"/>
      <c r="B39" s="9"/>
      <c r="C39" s="43" t="s">
        <v>54</v>
      </c>
      <c r="D39" s="340" t="s">
        <v>267</v>
      </c>
      <c r="E39" s="9"/>
      <c r="F39" s="57" t="s">
        <v>240</v>
      </c>
      <c r="G39" s="168">
        <f>$D$16</f>
        <v>40</v>
      </c>
      <c r="H39" s="115" t="s">
        <v>206</v>
      </c>
      <c r="I39" s="352"/>
      <c r="K39" s="83" t="s">
        <v>53</v>
      </c>
      <c r="L39" s="43"/>
      <c r="M39" s="32" t="s">
        <v>217</v>
      </c>
      <c r="N39" s="110">
        <f>IF($D$17&gt;0,IF($D$28="Standard",VLOOKUP($D$24,$W$17:$X$22,2,FALSE),IF($D$28="Oversized",VLOOKUP($D$24,$W$17:$Y$22,3,FALSE),0)),"N.A.")</f>
        <v>0.9375</v>
      </c>
      <c r="O39" s="30" t="s">
        <v>229</v>
      </c>
      <c r="P39" s="30" t="s">
        <v>397</v>
      </c>
      <c r="R39" s="8"/>
      <c r="AF39" s="289" t="s">
        <v>487</v>
      </c>
      <c r="AG39" s="295">
        <v>106</v>
      </c>
      <c r="AH39" s="291">
        <v>38</v>
      </c>
      <c r="AI39" s="293">
        <v>1.12</v>
      </c>
      <c r="AJ39" s="291">
        <v>16.7</v>
      </c>
      <c r="AK39" s="293">
        <v>2.01</v>
      </c>
      <c r="AL39" s="294">
        <v>2.96</v>
      </c>
    </row>
    <row r="40" spans="1:46" ht="12.75">
      <c r="A40" s="18"/>
      <c r="B40" s="9"/>
      <c r="C40" s="9"/>
      <c r="D40" s="9"/>
      <c r="E40" s="9"/>
      <c r="F40" s="57" t="s">
        <v>241</v>
      </c>
      <c r="G40" s="144">
        <f>$G$39/$G$38</f>
        <v>0.5256147256665217</v>
      </c>
      <c r="H40" s="85"/>
      <c r="I40" s="251" t="str">
        <f>IF($G$40&lt;=1,"S.R. &lt;= 1.0,  O.K.","S.R. &gt; 1.0, N.G.")</f>
        <v>S.R. &lt;= 1.0,  O.K.</v>
      </c>
      <c r="K40" s="110">
        <v>0.125</v>
      </c>
      <c r="L40" s="43"/>
      <c r="M40" s="73" t="s">
        <v>127</v>
      </c>
      <c r="N40" s="70">
        <f>IF($D$17&gt;0,1-$N$39/$N$33,"N.A.")</f>
        <v>0.6590909090909092</v>
      </c>
      <c r="P40" s="74" t="s">
        <v>299</v>
      </c>
      <c r="R40" s="8"/>
      <c r="AF40" s="289" t="s">
        <v>488</v>
      </c>
      <c r="AG40" s="290">
        <v>97</v>
      </c>
      <c r="AH40" s="291">
        <v>37.7</v>
      </c>
      <c r="AI40" s="293">
        <v>1.02</v>
      </c>
      <c r="AJ40" s="291">
        <v>16.6</v>
      </c>
      <c r="AK40" s="293">
        <v>1.85</v>
      </c>
      <c r="AL40" s="294">
        <v>2.8</v>
      </c>
      <c r="AT40" s="98"/>
    </row>
    <row r="41" spans="1:46" ht="12.75">
      <c r="A41" s="18"/>
      <c r="B41" s="9"/>
      <c r="C41" s="9"/>
      <c r="D41" s="9"/>
      <c r="E41" s="9"/>
      <c r="F41" s="79">
        <f>IF(($D$29-1)*$D$31+2*$D$32&lt;($B$45-2*$B$49)/2,"Connection Length &lt; (d-2*k)/2","")</f>
      </c>
      <c r="G41" s="9"/>
      <c r="H41" s="9"/>
      <c r="I41" s="53"/>
      <c r="K41" s="110">
        <v>0.1875</v>
      </c>
      <c r="L41" s="43"/>
      <c r="M41" s="73" t="s">
        <v>192</v>
      </c>
      <c r="N41" s="42">
        <f>IF($N$16&gt;0,(1/$N$38)*(MAX($N$30,$N$30)/$N$16-1),"N.A.")</f>
        <v>30.6984303812411</v>
      </c>
      <c r="P41" s="74" t="s">
        <v>281</v>
      </c>
      <c r="R41" s="8"/>
      <c r="AF41" s="289" t="s">
        <v>489</v>
      </c>
      <c r="AG41" s="290">
        <v>88.8</v>
      </c>
      <c r="AH41" s="291">
        <v>37.3</v>
      </c>
      <c r="AI41" s="292">
        <v>0.945</v>
      </c>
      <c r="AJ41" s="291">
        <v>16.7</v>
      </c>
      <c r="AK41" s="293">
        <v>1.68</v>
      </c>
      <c r="AL41" s="294">
        <v>2.63</v>
      </c>
      <c r="AT41" s="98"/>
    </row>
    <row r="42" spans="1:46" ht="12.75">
      <c r="A42" s="63" t="s">
        <v>64</v>
      </c>
      <c r="B42" s="9"/>
      <c r="C42" s="9"/>
      <c r="D42" s="9"/>
      <c r="E42" s="9"/>
      <c r="F42" s="96">
        <f>IF(AND($D$34=0,$D$35=0,$D$36=0),IF($B$45&lt;($D$29-1)*$D$31+2*$D$32+2*$D$23+2*$B$49,"Connection too long, reduce Nr!",""),IF(AND($D$34&gt;0,$D$35&gt;0,$D$36=0),IF($B$45-$D$35&lt;($D$29-1)*$D$31+2*$D$32+2*$D$23+1*$B$49,"Connection too long, reduce Nr!",""),IF(AND($D$34&gt;0,$D$35&gt;0,$D$36&gt;0),IF($B$45-($D$35+$D$36)&lt;($D$29-1)*$D$31+2*$D$32+2*$D$23,"Connection too long, reduce Nr!",""))))</f>
      </c>
      <c r="G42" s="9"/>
      <c r="H42" s="9"/>
      <c r="I42" s="53"/>
      <c r="J42" s="36"/>
      <c r="K42" s="110">
        <v>0.25</v>
      </c>
      <c r="L42" s="36"/>
      <c r="M42" s="73" t="s">
        <v>219</v>
      </c>
      <c r="N42" s="70">
        <f>IF($N$16&gt;0,IF($N$41&gt;=1,1,MIN(1,(1/$N$40)*($N$41/(1-$N$41)))),"N.A.")</f>
        <v>1</v>
      </c>
      <c r="P42" s="47" t="s">
        <v>258</v>
      </c>
      <c r="R42" s="8"/>
      <c r="S42" s="36"/>
      <c r="T42" s="36"/>
      <c r="U42" s="36"/>
      <c r="V42" s="36"/>
      <c r="W42" s="36"/>
      <c r="X42" s="36"/>
      <c r="Y42" s="36"/>
      <c r="Z42" s="36"/>
      <c r="AA42" s="36"/>
      <c r="AB42" s="36"/>
      <c r="AC42" s="36"/>
      <c r="AD42" s="36"/>
      <c r="AE42" s="36"/>
      <c r="AF42" s="289" t="s">
        <v>490</v>
      </c>
      <c r="AG42" s="290">
        <v>82.9</v>
      </c>
      <c r="AH42" s="291">
        <v>37.1</v>
      </c>
      <c r="AI42" s="292">
        <v>0.885</v>
      </c>
      <c r="AJ42" s="291">
        <v>16.6</v>
      </c>
      <c r="AK42" s="293">
        <v>1.57</v>
      </c>
      <c r="AL42" s="294">
        <v>2.52</v>
      </c>
      <c r="AT42" s="98"/>
    </row>
    <row r="43" spans="1:46" ht="12.75">
      <c r="A43" s="18"/>
      <c r="B43" s="87" t="s">
        <v>65</v>
      </c>
      <c r="C43" s="9"/>
      <c r="D43" s="87" t="s">
        <v>178</v>
      </c>
      <c r="E43" s="9"/>
      <c r="F43" s="79">
        <f>IF(AND($D$34&gt;0,$D$34&gt;2*$B$45),"c MUST BE &lt;= 2*d = "&amp;2*$B$45&amp;" in.!","")</f>
      </c>
      <c r="G43" s="95"/>
      <c r="H43" s="9"/>
      <c r="I43" s="53"/>
      <c r="J43" s="36"/>
      <c r="K43" s="110">
        <v>0.3125</v>
      </c>
      <c r="L43" s="36"/>
      <c r="M43" s="32" t="s">
        <v>800</v>
      </c>
      <c r="N43" s="38">
        <f>IF($N$16&gt;0,SQRT(6.66*$N$16*$N$35/($N$33*$N$8*(1+$N$40*$N$42))),"N.A.")</f>
        <v>0.18896206065886853</v>
      </c>
      <c r="O43" s="30" t="s">
        <v>229</v>
      </c>
      <c r="P43" s="30" t="s">
        <v>826</v>
      </c>
      <c r="R43" s="8"/>
      <c r="S43" s="36"/>
      <c r="T43" s="36"/>
      <c r="U43" s="36"/>
      <c r="V43" s="36"/>
      <c r="W43" s="36"/>
      <c r="X43" s="36"/>
      <c r="Y43" s="36"/>
      <c r="Z43" s="36"/>
      <c r="AA43" s="36"/>
      <c r="AB43" s="36"/>
      <c r="AC43" s="36"/>
      <c r="AD43" s="36"/>
      <c r="AE43" s="36"/>
      <c r="AF43" s="289" t="s">
        <v>491</v>
      </c>
      <c r="AG43" s="290">
        <v>77</v>
      </c>
      <c r="AH43" s="291">
        <v>36.9</v>
      </c>
      <c r="AI43" s="292">
        <v>0.84</v>
      </c>
      <c r="AJ43" s="291">
        <v>16.6</v>
      </c>
      <c r="AK43" s="293">
        <v>1.44</v>
      </c>
      <c r="AL43" s="294">
        <v>2.39</v>
      </c>
      <c r="AT43" s="98"/>
    </row>
    <row r="44" spans="1:46" ht="12.75">
      <c r="A44" s="61" t="s">
        <v>200</v>
      </c>
      <c r="B44" s="162">
        <f>VLOOKUP($D$10,$AF$6:$AL$406,ROWS(B$44:B44)+1,FALSE)</f>
        <v>14.7</v>
      </c>
      <c r="C44" s="57" t="s">
        <v>200</v>
      </c>
      <c r="D44" s="162">
        <f>VLOOKUP($D$11,$AF$6:$AL$336,ROWS(D$44:D44)+1,FALSE)</f>
        <v>18.3</v>
      </c>
      <c r="E44" s="107" t="s">
        <v>210</v>
      </c>
      <c r="F44" s="79">
        <f>IF(AND($D$35&gt;0,$D$36=0,$D$35&gt;$B$45/2),"dc1 MUST BE &lt;= d/2 = "&amp;$B$45/2&amp;" in.!",IF(AND($D$35&gt;0,$D$36&gt;0,$D$35&gt;0.2*$B$45),"dc1 MUST BE &lt;= 0.2*d = "&amp;0.2*$B$45&amp;" in.!",""))</f>
      </c>
      <c r="G44" s="9"/>
      <c r="H44" s="9"/>
      <c r="I44" s="64"/>
      <c r="J44" s="36"/>
      <c r="K44" s="83">
        <v>12</v>
      </c>
      <c r="L44" s="36"/>
      <c r="M44" s="32" t="s">
        <v>218</v>
      </c>
      <c r="N44" s="38">
        <f>IF($N$16&gt;0,SQRT(6.66*IF($D$26="SC",$N$30,$N$30)*$N$35/($N$33*$N$8)),"N.A.")</f>
        <v>1.1324367435790952</v>
      </c>
      <c r="O44" s="30" t="s">
        <v>229</v>
      </c>
      <c r="P44" s="47" t="s">
        <v>84</v>
      </c>
      <c r="R44" s="8"/>
      <c r="S44" s="36"/>
      <c r="T44" s="36"/>
      <c r="U44" s="36"/>
      <c r="V44" s="36"/>
      <c r="W44" s="36"/>
      <c r="X44" s="36"/>
      <c r="Y44" s="36"/>
      <c r="Z44" s="36"/>
      <c r="AA44" s="36"/>
      <c r="AB44" s="36"/>
      <c r="AC44" s="36"/>
      <c r="AD44" s="36"/>
      <c r="AE44" s="36"/>
      <c r="AF44" s="289" t="s">
        <v>492</v>
      </c>
      <c r="AG44" s="290">
        <v>72.5</v>
      </c>
      <c r="AH44" s="291">
        <v>36.7</v>
      </c>
      <c r="AI44" s="292">
        <v>0.8</v>
      </c>
      <c r="AJ44" s="291">
        <v>16.5</v>
      </c>
      <c r="AK44" s="293">
        <v>1.35</v>
      </c>
      <c r="AL44" s="294">
        <v>2.3</v>
      </c>
      <c r="AT44" s="98"/>
    </row>
    <row r="45" spans="1:46" ht="12.75">
      <c r="A45" s="68" t="s">
        <v>115</v>
      </c>
      <c r="B45" s="320">
        <f>VLOOKUP($D$10,$AF$6:$AL$406,ROWS(B$44:B45)+1,FALSE)</f>
        <v>18</v>
      </c>
      <c r="C45" s="57" t="s">
        <v>115</v>
      </c>
      <c r="D45" s="320">
        <f>VLOOKUP($D$11,$AF$6:$AL$336,ROWS(D$44:D45)+1,FALSE)</f>
        <v>21</v>
      </c>
      <c r="E45" s="107" t="s">
        <v>229</v>
      </c>
      <c r="F45" s="79">
        <f>IF(AND($D$36&gt;0,$D$36&gt;0.2*$B$45),"dc2 MUST BE &lt;= 0.2*d = "&amp;0.2*$B$45&amp;" in.!","")</f>
      </c>
      <c r="G45" s="9"/>
      <c r="H45" s="9"/>
      <c r="I45" s="53"/>
      <c r="J45" s="36"/>
      <c r="K45" s="83" t="s">
        <v>267</v>
      </c>
      <c r="L45" s="36"/>
      <c r="M45" s="73" t="s">
        <v>219</v>
      </c>
      <c r="N45" s="70">
        <f>IF($N$16&gt;0,1/($N$40*(1+$N$38))*(($N$44/$D$21)^2-1),"N.A.")</f>
        <v>7.365249106549433</v>
      </c>
      <c r="P45" s="74" t="s">
        <v>830</v>
      </c>
      <c r="R45" s="8"/>
      <c r="S45" s="36"/>
      <c r="T45" s="36"/>
      <c r="U45" s="36"/>
      <c r="V45" s="36"/>
      <c r="W45" s="36"/>
      <c r="X45" s="36"/>
      <c r="Y45" s="36"/>
      <c r="Z45" s="36"/>
      <c r="AA45" s="36"/>
      <c r="AB45" s="36"/>
      <c r="AC45" s="36"/>
      <c r="AD45" s="36"/>
      <c r="AE45" s="36"/>
      <c r="AF45" s="289" t="s">
        <v>493</v>
      </c>
      <c r="AG45" s="290">
        <v>68.1</v>
      </c>
      <c r="AH45" s="291">
        <v>36.5</v>
      </c>
      <c r="AI45" s="292">
        <v>0.76</v>
      </c>
      <c r="AJ45" s="291">
        <v>16.5</v>
      </c>
      <c r="AK45" s="293">
        <v>1.26</v>
      </c>
      <c r="AL45" s="294">
        <v>2.21</v>
      </c>
      <c r="AT45" s="98"/>
    </row>
    <row r="46" spans="1:46" ht="12.75">
      <c r="A46" s="68" t="s">
        <v>312</v>
      </c>
      <c r="B46" s="163">
        <f>VLOOKUP($D$10,$AF$6:$AL$406,ROWS(B$44:B46)+1,FALSE)</f>
        <v>0.355</v>
      </c>
      <c r="C46" s="57" t="s">
        <v>312</v>
      </c>
      <c r="D46" s="163">
        <f>VLOOKUP($D$11,$AF$6:$AL$336,ROWS(D$44:D46)+1,FALSE)</f>
        <v>0.4</v>
      </c>
      <c r="E46" s="107" t="s">
        <v>229</v>
      </c>
      <c r="F46" s="79">
        <f>IF(AND($D$35&gt;0,$D$35&lt;$B$49),"dc1 MUST BE &gt;= k = "&amp;$B$49&amp;" in.!","")</f>
      </c>
      <c r="G46" s="9"/>
      <c r="H46" s="9"/>
      <c r="I46" s="65"/>
      <c r="J46" s="36"/>
      <c r="K46" s="83" t="s">
        <v>53</v>
      </c>
      <c r="L46" s="36"/>
      <c r="M46" s="32" t="s">
        <v>237</v>
      </c>
      <c r="N46" s="40">
        <f>IF($N$16&gt;0,IF($N$45&lt;0,IF($D$26="SC",$N$13*$N$30,$N$13*$N$30),IF($N$45&lt;=1,IF($D$26="SC",$N$13*$N$30,$N$13*$N$30)*($D$21/$N$44)^2*(1+$N$40*$N$45),IF($N$45&gt;1,IF($D$26="SC",$N$13*$N$30,$N$13*$N$30)*($D$21/$N$44)^2*(1+$N$40)))),"N.A.")</f>
        <v>39.3834087391356</v>
      </c>
      <c r="O46" s="30" t="s">
        <v>206</v>
      </c>
      <c r="P46" s="36" t="s">
        <v>805</v>
      </c>
      <c r="R46" s="8"/>
      <c r="S46" s="36"/>
      <c r="T46" s="36"/>
      <c r="U46" s="36"/>
      <c r="V46" s="36"/>
      <c r="W46" s="36"/>
      <c r="X46" s="36"/>
      <c r="Y46" s="36"/>
      <c r="Z46" s="36"/>
      <c r="AA46" s="36"/>
      <c r="AB46" s="36"/>
      <c r="AC46" s="36"/>
      <c r="AD46" s="36"/>
      <c r="AE46" s="36"/>
      <c r="AF46" s="289" t="s">
        <v>494</v>
      </c>
      <c r="AG46" s="290">
        <v>75.4</v>
      </c>
      <c r="AH46" s="291">
        <v>37.4</v>
      </c>
      <c r="AI46" s="292">
        <v>0.96</v>
      </c>
      <c r="AJ46" s="291">
        <v>12.2</v>
      </c>
      <c r="AK46" s="293">
        <v>1.73</v>
      </c>
      <c r="AL46" s="294">
        <v>2.48</v>
      </c>
      <c r="AT46" s="98"/>
    </row>
    <row r="47" spans="1:46" ht="12.75">
      <c r="A47" s="68" t="s">
        <v>255</v>
      </c>
      <c r="B47" s="163">
        <f>VLOOKUP($D$10,$AF$6:$AL$406,ROWS(B$44:B47)+1,FALSE)</f>
        <v>7.5</v>
      </c>
      <c r="C47" s="57" t="s">
        <v>255</v>
      </c>
      <c r="D47" s="163">
        <f>VLOOKUP($D$11,$AF$6:$AL$336,ROWS(D$44:D47)+1,FALSE)</f>
        <v>8.24</v>
      </c>
      <c r="E47" s="107" t="s">
        <v>229</v>
      </c>
      <c r="F47" s="79">
        <f>IF(AND($D$36&gt;0,$D$36&lt;$B$49),"dc2 MUST BE &gt;= k = "&amp;$B$49&amp;" in.!","")</f>
      </c>
      <c r="G47" s="9"/>
      <c r="H47" s="9"/>
      <c r="I47" s="65"/>
      <c r="J47" s="36"/>
      <c r="L47" s="36"/>
      <c r="M47" s="49"/>
      <c r="N47" s="83"/>
      <c r="O47" s="37"/>
      <c r="P47" s="36" t="s">
        <v>806</v>
      </c>
      <c r="R47" s="8"/>
      <c r="S47" s="36"/>
      <c r="T47" s="36"/>
      <c r="U47" s="36"/>
      <c r="V47" s="36"/>
      <c r="W47" s="36"/>
      <c r="X47" s="36"/>
      <c r="Y47" s="36"/>
      <c r="Z47" s="36"/>
      <c r="AA47" s="36"/>
      <c r="AB47" s="36"/>
      <c r="AC47" s="36"/>
      <c r="AD47" s="36"/>
      <c r="AE47" s="36"/>
      <c r="AF47" s="289" t="s">
        <v>495</v>
      </c>
      <c r="AG47" s="290">
        <v>68.1</v>
      </c>
      <c r="AH47" s="291">
        <v>37.1</v>
      </c>
      <c r="AI47" s="292">
        <v>0.87</v>
      </c>
      <c r="AJ47" s="291">
        <v>12.1</v>
      </c>
      <c r="AK47" s="293">
        <v>1.57</v>
      </c>
      <c r="AL47" s="294">
        <v>2.32</v>
      </c>
      <c r="AT47" s="98"/>
    </row>
    <row r="48" spans="1:46" ht="12.75">
      <c r="A48" s="68" t="s">
        <v>174</v>
      </c>
      <c r="B48" s="163">
        <f>VLOOKUP($D$10,$AF$6:$AL$406,ROWS(B$44:B48)+1,FALSE)</f>
        <v>0.57</v>
      </c>
      <c r="C48" s="57" t="s">
        <v>174</v>
      </c>
      <c r="D48" s="163">
        <f>VLOOKUP($D$11,$AF$6:$AL$336,ROWS(D$44:D48)+1,FALSE)</f>
        <v>0.615</v>
      </c>
      <c r="E48" s="107" t="s">
        <v>229</v>
      </c>
      <c r="F48" s="79">
        <f>IF($D$23&lt;$N$72,"Fillet weld size &lt; "&amp;$N$72&amp;" in. (min.)!","")</f>
      </c>
      <c r="G48" s="9"/>
      <c r="H48" s="9"/>
      <c r="I48" s="13"/>
      <c r="J48" s="36"/>
      <c r="L48" s="36"/>
      <c r="M48" s="37" t="s">
        <v>77</v>
      </c>
      <c r="N48" s="83"/>
      <c r="O48" s="30"/>
      <c r="S48" s="36"/>
      <c r="V48" s="36"/>
      <c r="W48" s="36"/>
      <c r="X48" s="36"/>
      <c r="Y48" s="36"/>
      <c r="Z48" s="36"/>
      <c r="AA48" s="36"/>
      <c r="AB48" s="36"/>
      <c r="AC48" s="36"/>
      <c r="AD48" s="36"/>
      <c r="AE48" s="36"/>
      <c r="AF48" s="289" t="s">
        <v>496</v>
      </c>
      <c r="AG48" s="290">
        <v>61.8</v>
      </c>
      <c r="AH48" s="291">
        <v>36.7</v>
      </c>
      <c r="AI48" s="292">
        <v>0.83</v>
      </c>
      <c r="AJ48" s="291">
        <v>12.2</v>
      </c>
      <c r="AK48" s="293">
        <v>1.36</v>
      </c>
      <c r="AL48" s="294">
        <v>2.11</v>
      </c>
      <c r="AT48" s="98"/>
    </row>
    <row r="49" spans="1:46" ht="12.75">
      <c r="A49" s="86" t="s">
        <v>292</v>
      </c>
      <c r="B49" s="321">
        <f>VLOOKUP($D$10,$AF$6:$AL$406,ROWS(B$44:B49)+1,FALSE)</f>
        <v>0.972</v>
      </c>
      <c r="C49" s="57" t="s">
        <v>292</v>
      </c>
      <c r="D49" s="321">
        <f>VLOOKUP($D$11,$AF$6:$AL$336,ROWS(D$44:D49)+1,FALSE)</f>
        <v>1.12</v>
      </c>
      <c r="E49" s="107" t="s">
        <v>229</v>
      </c>
      <c r="F49" s="79">
        <f>IF($D$32&lt;VLOOKUP($D$24,$AA$17:$AB$24,2,FALSE),"Edge distance does not meet Table J3.2!","")</f>
      </c>
      <c r="G49" s="9"/>
      <c r="H49" s="9"/>
      <c r="I49" s="13"/>
      <c r="M49" s="49" t="s">
        <v>260</v>
      </c>
      <c r="N49" s="255" t="str">
        <f>IF($D$28="Oversized",IF($D$24&lt;=0.875,0.0625,IF($D$24=1,0.125,IF($D$24&gt;=1.125,0.125))),"N.A.")</f>
        <v>N.A.</v>
      </c>
      <c r="O49" s="37" t="s">
        <v>229</v>
      </c>
      <c r="P49" s="56">
        <f>IF($N$49="N.A.","","C2 = Edge distance increment from AISC Table J3.5, page 16.1-108")</f>
      </c>
      <c r="AF49" s="289" t="s">
        <v>497</v>
      </c>
      <c r="AG49" s="290">
        <v>57</v>
      </c>
      <c r="AH49" s="291">
        <v>36.5</v>
      </c>
      <c r="AI49" s="292">
        <v>0.765</v>
      </c>
      <c r="AJ49" s="291">
        <v>12.1</v>
      </c>
      <c r="AK49" s="293">
        <v>1.26</v>
      </c>
      <c r="AL49" s="294">
        <v>2.01</v>
      </c>
      <c r="AT49" s="98"/>
    </row>
    <row r="50" spans="1:46" ht="12.75">
      <c r="A50" s="149"/>
      <c r="B50" s="152"/>
      <c r="C50" s="150"/>
      <c r="D50" s="152"/>
      <c r="E50" s="151"/>
      <c r="F50" s="20"/>
      <c r="G50" s="20"/>
      <c r="H50" s="20"/>
      <c r="I50" s="122" t="s">
        <v>122</v>
      </c>
      <c r="M50" s="49" t="s">
        <v>398</v>
      </c>
      <c r="N50" s="42">
        <f>IF($N$49="N.A.",$D$32-0.5*$N$5,$D$32-0.5*$N$5-$N$49)</f>
        <v>0.78125</v>
      </c>
      <c r="O50" s="37" t="s">
        <v>229</v>
      </c>
      <c r="P50" s="56" t="str">
        <f>IF($N$49="N.A.","Lce = Clear distance between edge bolt hole and edge","Lce = Clear distance between edge bolt hole and edge - C2")</f>
        <v>Lce = Clear distance between edge bolt hole and edge</v>
      </c>
      <c r="AF50" s="289" t="s">
        <v>498</v>
      </c>
      <c r="AG50" s="290">
        <v>53.6</v>
      </c>
      <c r="AH50" s="291">
        <v>36.3</v>
      </c>
      <c r="AI50" s="292">
        <v>0.725</v>
      </c>
      <c r="AJ50" s="291">
        <v>12.1</v>
      </c>
      <c r="AK50" s="293">
        <v>1.18</v>
      </c>
      <c r="AL50" s="294">
        <v>1.93</v>
      </c>
      <c r="AT50" s="98"/>
    </row>
    <row r="51" spans="1:46" ht="12.75">
      <c r="A51" s="342" t="s">
        <v>205</v>
      </c>
      <c r="B51" s="17"/>
      <c r="C51" s="118"/>
      <c r="D51" s="17"/>
      <c r="E51" s="17"/>
      <c r="F51" s="17"/>
      <c r="G51" s="17"/>
      <c r="H51" s="184"/>
      <c r="I51" s="178"/>
      <c r="M51" s="49" t="s">
        <v>399</v>
      </c>
      <c r="N51" s="42">
        <f>$D$31-$N$5</f>
        <v>2.0625</v>
      </c>
      <c r="O51" s="37" t="s">
        <v>229</v>
      </c>
      <c r="P51" s="56" t="s">
        <v>400</v>
      </c>
      <c r="AF51" s="289" t="s">
        <v>499</v>
      </c>
      <c r="AG51" s="290">
        <v>50.1</v>
      </c>
      <c r="AH51" s="291">
        <v>36.2</v>
      </c>
      <c r="AI51" s="292">
        <v>0.68</v>
      </c>
      <c r="AJ51" s="291">
        <v>12</v>
      </c>
      <c r="AK51" s="293">
        <v>1.1</v>
      </c>
      <c r="AL51" s="294">
        <v>1.85</v>
      </c>
      <c r="AT51" s="98"/>
    </row>
    <row r="52" spans="1:38" ht="12.75">
      <c r="A52" s="18"/>
      <c r="B52" s="51"/>
      <c r="C52" s="44"/>
      <c r="D52" s="44"/>
      <c r="E52" s="44"/>
      <c r="F52" s="44"/>
      <c r="G52" s="44"/>
      <c r="H52" s="87"/>
      <c r="I52" s="179"/>
      <c r="M52" s="256" t="s">
        <v>119</v>
      </c>
      <c r="N52" s="60">
        <f>MIN(1.2*$N$50*$N$8*$D$21,2.4*$D$24*$D$21*$N$8)/2</f>
        <v>10.1953125</v>
      </c>
      <c r="O52" s="37" t="s">
        <v>206</v>
      </c>
      <c r="P52" s="71" t="s">
        <v>807</v>
      </c>
      <c r="AF52" s="289" t="s">
        <v>500</v>
      </c>
      <c r="AG52" s="290">
        <v>47</v>
      </c>
      <c r="AH52" s="291">
        <v>36</v>
      </c>
      <c r="AI52" s="292">
        <v>0.65</v>
      </c>
      <c r="AJ52" s="291">
        <v>12</v>
      </c>
      <c r="AK52" s="293">
        <v>1.02</v>
      </c>
      <c r="AL52" s="294">
        <v>1.77</v>
      </c>
    </row>
    <row r="53" spans="1:38" ht="12.75">
      <c r="A53" s="10" t="s">
        <v>191</v>
      </c>
      <c r="B53" s="9"/>
      <c r="C53" s="9"/>
      <c r="D53" s="9"/>
      <c r="E53" s="36"/>
      <c r="F53" s="36"/>
      <c r="G53" s="36"/>
      <c r="H53" s="87"/>
      <c r="I53" s="183"/>
      <c r="M53" s="256" t="s">
        <v>291</v>
      </c>
      <c r="N53" s="60">
        <f>MIN(1.2*$N$51*$N$8*$D$21,2.4*$D$24*$D$21*$N$8)/2</f>
        <v>22.837500000000002</v>
      </c>
      <c r="O53" s="37" t="s">
        <v>206</v>
      </c>
      <c r="P53" s="71" t="s">
        <v>808</v>
      </c>
      <c r="AF53" s="289" t="s">
        <v>501</v>
      </c>
      <c r="AG53" s="290">
        <v>44.2</v>
      </c>
      <c r="AH53" s="291">
        <v>35.9</v>
      </c>
      <c r="AI53" s="292">
        <v>0.625</v>
      </c>
      <c r="AJ53" s="291">
        <v>12</v>
      </c>
      <c r="AK53" s="292">
        <v>0.94</v>
      </c>
      <c r="AL53" s="294">
        <v>1.69</v>
      </c>
    </row>
    <row r="54" spans="1:38" ht="12.75">
      <c r="A54" s="72" t="s">
        <v>10</v>
      </c>
      <c r="B54" s="9"/>
      <c r="C54" s="9"/>
      <c r="D54" s="9"/>
      <c r="E54" s="9"/>
      <c r="F54" s="9"/>
      <c r="G54" s="9"/>
      <c r="H54" s="9"/>
      <c r="I54" s="13"/>
      <c r="M54" s="49" t="s">
        <v>301</v>
      </c>
      <c r="N54" s="60">
        <f>2*($N$52+($D$29-1)*$N$53)</f>
        <v>157.415625</v>
      </c>
      <c r="O54" s="37" t="s">
        <v>206</v>
      </c>
      <c r="P54" s="47" t="s">
        <v>401</v>
      </c>
      <c r="AF54" s="289" t="s">
        <v>502</v>
      </c>
      <c r="AG54" s="290">
        <v>39.7</v>
      </c>
      <c r="AH54" s="291">
        <v>35.6</v>
      </c>
      <c r="AI54" s="292">
        <v>0.6</v>
      </c>
      <c r="AJ54" s="291">
        <v>12</v>
      </c>
      <c r="AK54" s="292">
        <v>0.79</v>
      </c>
      <c r="AL54" s="294">
        <v>1.54</v>
      </c>
    </row>
    <row r="55" spans="1:38" ht="12.75">
      <c r="A55" s="68" t="s">
        <v>254</v>
      </c>
      <c r="B55" s="338">
        <f>$N$5</f>
        <v>0.9375</v>
      </c>
      <c r="C55" s="107" t="s">
        <v>229</v>
      </c>
      <c r="D55" s="51" t="str">
        <f>$P$5</f>
        <v>dh1 = Nominal hole dimensions from Table J3.3 (in shear plate)</v>
      </c>
      <c r="E55" s="9"/>
      <c r="F55" s="9"/>
      <c r="G55" s="9"/>
      <c r="H55" s="9"/>
      <c r="I55" s="13"/>
      <c r="K55" s="33"/>
      <c r="M55" s="28" t="s">
        <v>82</v>
      </c>
      <c r="O55" s="33"/>
      <c r="AF55" s="289" t="s">
        <v>503</v>
      </c>
      <c r="AG55" s="295">
        <v>114</v>
      </c>
      <c r="AH55" s="291">
        <v>36</v>
      </c>
      <c r="AI55" s="293">
        <v>1.26</v>
      </c>
      <c r="AJ55" s="291">
        <v>16.2</v>
      </c>
      <c r="AK55" s="293">
        <v>2.28</v>
      </c>
      <c r="AL55" s="294">
        <v>3.07</v>
      </c>
    </row>
    <row r="56" spans="1:38" ht="12.75">
      <c r="A56" s="68" t="s">
        <v>194</v>
      </c>
      <c r="B56" s="322">
        <f>$N$6</f>
        <v>0.9375</v>
      </c>
      <c r="C56" s="107" t="s">
        <v>229</v>
      </c>
      <c r="D56" s="51" t="str">
        <f>$P$6</f>
        <v>dh2 = Nominal hole dimensions from Table J3.3 (in girder web)</v>
      </c>
      <c r="E56" s="9"/>
      <c r="F56" s="9"/>
      <c r="G56" s="9"/>
      <c r="H56" s="9"/>
      <c r="I56" s="13"/>
      <c r="K56" s="33"/>
      <c r="M56" s="32" t="s">
        <v>117</v>
      </c>
      <c r="N56" s="38">
        <f>2*(($D$29-1)*$D$31+(2*$D$32))*$D$21</f>
        <v>8.625</v>
      </c>
      <c r="O56" s="30" t="s">
        <v>210</v>
      </c>
      <c r="P56" s="47" t="s">
        <v>81</v>
      </c>
      <c r="AF56" s="289" t="s">
        <v>504</v>
      </c>
      <c r="AG56" s="295">
        <v>104</v>
      </c>
      <c r="AH56" s="291">
        <v>35.6</v>
      </c>
      <c r="AI56" s="293">
        <v>1.16</v>
      </c>
      <c r="AJ56" s="291">
        <v>16.1</v>
      </c>
      <c r="AK56" s="293">
        <v>2.09</v>
      </c>
      <c r="AL56" s="294">
        <v>2.88</v>
      </c>
    </row>
    <row r="57" spans="1:38" ht="12.75">
      <c r="A57" s="68" t="s">
        <v>41</v>
      </c>
      <c r="B57" s="164">
        <f>$N$7</f>
        <v>0.6013204688511713</v>
      </c>
      <c r="C57" s="107" t="s">
        <v>210</v>
      </c>
      <c r="D57" s="51" t="s">
        <v>256</v>
      </c>
      <c r="E57" s="9"/>
      <c r="F57" s="9"/>
      <c r="G57" s="9"/>
      <c r="H57" s="9"/>
      <c r="I57" s="13"/>
      <c r="M57" s="32" t="s">
        <v>221</v>
      </c>
      <c r="N57" s="40">
        <f>(1/1.5)*0.6*$D$22*$N$56</f>
        <v>124.19999999999999</v>
      </c>
      <c r="O57" s="30" t="s">
        <v>206</v>
      </c>
      <c r="P57" s="28" t="s">
        <v>83</v>
      </c>
      <c r="AF57" s="289" t="s">
        <v>505</v>
      </c>
      <c r="AG57" s="290">
        <v>93.6</v>
      </c>
      <c r="AH57" s="291">
        <v>35.2</v>
      </c>
      <c r="AI57" s="293">
        <v>1.04</v>
      </c>
      <c r="AJ57" s="291">
        <v>16</v>
      </c>
      <c r="AK57" s="293">
        <v>1.89</v>
      </c>
      <c r="AL57" s="294">
        <v>2.68</v>
      </c>
    </row>
    <row r="58" spans="1:38" ht="12.75">
      <c r="A58" s="68" t="s">
        <v>80</v>
      </c>
      <c r="B58" s="165">
        <f>$N$8</f>
        <v>58</v>
      </c>
      <c r="C58" s="107" t="s">
        <v>212</v>
      </c>
      <c r="D58" s="51" t="str">
        <f>$P$8</f>
        <v>Fup = 58 for Fyp = 36 (for shear plate)</v>
      </c>
      <c r="E58" s="9"/>
      <c r="F58" s="9"/>
      <c r="G58" s="9"/>
      <c r="H58" s="9"/>
      <c r="I58" s="13"/>
      <c r="M58" s="28" t="s">
        <v>87</v>
      </c>
      <c r="O58" s="33"/>
      <c r="AF58" s="289" t="s">
        <v>506</v>
      </c>
      <c r="AG58" s="290">
        <v>85.7</v>
      </c>
      <c r="AH58" s="291">
        <v>34.8</v>
      </c>
      <c r="AI58" s="292">
        <v>0.96</v>
      </c>
      <c r="AJ58" s="291">
        <v>15.9</v>
      </c>
      <c r="AK58" s="293">
        <v>1.73</v>
      </c>
      <c r="AL58" s="294">
        <v>2.52</v>
      </c>
    </row>
    <row r="59" spans="1:38" ht="12.75">
      <c r="A59" s="68" t="s">
        <v>188</v>
      </c>
      <c r="B59" s="165">
        <f>$N$9</f>
        <v>65</v>
      </c>
      <c r="C59" s="107" t="s">
        <v>212</v>
      </c>
      <c r="D59" s="51" t="str">
        <f>$P$9</f>
        <v>Fub = 65 for Fyb = 50 (for beam)</v>
      </c>
      <c r="E59" s="9"/>
      <c r="F59" s="9"/>
      <c r="G59" s="9"/>
      <c r="H59" s="9"/>
      <c r="I59" s="13"/>
      <c r="M59" s="32" t="s">
        <v>222</v>
      </c>
      <c r="N59" s="38">
        <f>$N$56-2*($D$29*($N$5+1/16)*$D$21)</f>
        <v>5.625</v>
      </c>
      <c r="O59" s="30" t="s">
        <v>210</v>
      </c>
      <c r="P59" s="37" t="s">
        <v>89</v>
      </c>
      <c r="AF59" s="289" t="s">
        <v>507</v>
      </c>
      <c r="AG59" s="290">
        <v>77.5</v>
      </c>
      <c r="AH59" s="291">
        <v>34.5</v>
      </c>
      <c r="AI59" s="292">
        <v>0.87</v>
      </c>
      <c r="AJ59" s="291">
        <v>15.8</v>
      </c>
      <c r="AK59" s="293">
        <v>1.57</v>
      </c>
      <c r="AL59" s="294">
        <v>2.36</v>
      </c>
    </row>
    <row r="60" spans="1:38" ht="12.75">
      <c r="A60" s="61" t="s">
        <v>825</v>
      </c>
      <c r="B60" s="166">
        <f>$N$10</f>
        <v>65</v>
      </c>
      <c r="C60" s="107" t="s">
        <v>212</v>
      </c>
      <c r="D60" s="51" t="str">
        <f>$P$10</f>
        <v>Fug = 65 for Fyg = 50 (for column)</v>
      </c>
      <c r="E60" s="9"/>
      <c r="F60" s="9"/>
      <c r="G60" s="9"/>
      <c r="H60" s="9"/>
      <c r="I60" s="13"/>
      <c r="M60" s="32" t="s">
        <v>223</v>
      </c>
      <c r="N60" s="40">
        <f>0.5*0.6*$N$8*$N$59</f>
        <v>97.87499999999999</v>
      </c>
      <c r="O60" s="30" t="s">
        <v>206</v>
      </c>
      <c r="P60" s="30" t="s">
        <v>85</v>
      </c>
      <c r="AF60" s="289" t="s">
        <v>508</v>
      </c>
      <c r="AG60" s="290">
        <v>71</v>
      </c>
      <c r="AH60" s="291">
        <v>34.2</v>
      </c>
      <c r="AI60" s="292">
        <v>0.83</v>
      </c>
      <c r="AJ60" s="291">
        <v>15.9</v>
      </c>
      <c r="AK60" s="293">
        <v>1.4</v>
      </c>
      <c r="AL60" s="294">
        <v>2.19</v>
      </c>
    </row>
    <row r="61" spans="1:38" ht="12.75">
      <c r="A61" s="18"/>
      <c r="B61" s="9"/>
      <c r="C61" s="9"/>
      <c r="D61" s="9"/>
      <c r="E61" s="9"/>
      <c r="F61" s="9"/>
      <c r="G61" s="9"/>
      <c r="H61" s="9"/>
      <c r="I61" s="13"/>
      <c r="M61" s="36" t="s">
        <v>91</v>
      </c>
      <c r="O61" s="33"/>
      <c r="AF61" s="289" t="s">
        <v>509</v>
      </c>
      <c r="AG61" s="290">
        <v>65.2</v>
      </c>
      <c r="AH61" s="291">
        <v>33.9</v>
      </c>
      <c r="AI61" s="292">
        <v>0.775</v>
      </c>
      <c r="AJ61" s="291">
        <v>15.8</v>
      </c>
      <c r="AK61" s="293">
        <v>1.28</v>
      </c>
      <c r="AL61" s="294">
        <v>2.06</v>
      </c>
    </row>
    <row r="62" spans="1:38" ht="12.75">
      <c r="A62" s="84" t="s">
        <v>109</v>
      </c>
      <c r="B62" s="9"/>
      <c r="C62" s="9"/>
      <c r="D62" s="9"/>
      <c r="E62" s="9"/>
      <c r="F62" s="9"/>
      <c r="G62" s="9"/>
      <c r="H62" s="9"/>
      <c r="I62" s="13"/>
      <c r="M62" s="32" t="s">
        <v>402</v>
      </c>
      <c r="N62" s="38">
        <f>2*((($D$32+($D$29-1)*$D$31)-(($D$29-1)*($N$5+1/16)+($N$5+1/16)/2))*$D$21)</f>
        <v>5.0625</v>
      </c>
      <c r="O62" s="30" t="s">
        <v>210</v>
      </c>
      <c r="P62" s="30" t="s">
        <v>88</v>
      </c>
      <c r="AF62" s="289" t="s">
        <v>510</v>
      </c>
      <c r="AG62" s="290">
        <v>59.2</v>
      </c>
      <c r="AH62" s="291">
        <v>33.7</v>
      </c>
      <c r="AI62" s="292">
        <v>0.715</v>
      </c>
      <c r="AJ62" s="291">
        <v>15.7</v>
      </c>
      <c r="AK62" s="293">
        <v>1.15</v>
      </c>
      <c r="AL62" s="294">
        <v>1.94</v>
      </c>
    </row>
    <row r="63" spans="1:38" ht="12.75">
      <c r="A63" s="72" t="s">
        <v>257</v>
      </c>
      <c r="B63" s="20"/>
      <c r="C63" s="106"/>
      <c r="D63" s="51" t="s">
        <v>196</v>
      </c>
      <c r="E63" s="54"/>
      <c r="F63" s="54"/>
      <c r="G63" s="9"/>
      <c r="H63" s="9"/>
      <c r="I63" s="13"/>
      <c r="M63" s="32" t="s">
        <v>403</v>
      </c>
      <c r="N63" s="38">
        <f>2*($D$32+($D$29-1)*$D$31)*$D$21</f>
        <v>7.6875</v>
      </c>
      <c r="O63" s="30" t="s">
        <v>210</v>
      </c>
      <c r="P63" s="30" t="s">
        <v>90</v>
      </c>
      <c r="AF63" s="289" t="s">
        <v>511</v>
      </c>
      <c r="AG63" s="290">
        <v>49.5</v>
      </c>
      <c r="AH63" s="291">
        <v>33.8</v>
      </c>
      <c r="AI63" s="292">
        <v>0.67</v>
      </c>
      <c r="AJ63" s="291">
        <v>11.5</v>
      </c>
      <c r="AK63" s="293">
        <v>1.22</v>
      </c>
      <c r="AL63" s="294">
        <v>1.92</v>
      </c>
    </row>
    <row r="64" spans="1:38" ht="12.75">
      <c r="A64" s="68" t="s">
        <v>261</v>
      </c>
      <c r="B64" s="167">
        <f>$N$13</f>
        <v>8</v>
      </c>
      <c r="C64" s="107" t="s">
        <v>277</v>
      </c>
      <c r="D64" s="51" t="str">
        <f>$P$13</f>
        <v>Nb = 2*Nr  (total number of bolts at support connection)</v>
      </c>
      <c r="E64" s="54"/>
      <c r="F64" s="54"/>
      <c r="G64" s="9"/>
      <c r="H64" s="9"/>
      <c r="I64" s="13"/>
      <c r="M64" s="32" t="s">
        <v>404</v>
      </c>
      <c r="N64" s="38">
        <f>2*(($D$20-$D$33)/2-(($N$5+1/16)/2))*$D$21</f>
        <v>0.5625</v>
      </c>
      <c r="O64" s="30" t="s">
        <v>210</v>
      </c>
      <c r="P64" s="28" t="s">
        <v>92</v>
      </c>
      <c r="AF64" s="289" t="s">
        <v>512</v>
      </c>
      <c r="AG64" s="290">
        <v>44.8</v>
      </c>
      <c r="AH64" s="291">
        <v>33.5</v>
      </c>
      <c r="AI64" s="292">
        <v>0.635</v>
      </c>
      <c r="AJ64" s="291">
        <v>11.6</v>
      </c>
      <c r="AK64" s="293">
        <v>1.06</v>
      </c>
      <c r="AL64" s="294">
        <v>1.76</v>
      </c>
    </row>
    <row r="65" spans="1:38" ht="12.75">
      <c r="A65" s="68" t="s">
        <v>279</v>
      </c>
      <c r="B65" s="168">
        <f>$N$14</f>
        <v>5</v>
      </c>
      <c r="C65" s="107" t="s">
        <v>211</v>
      </c>
      <c r="D65" s="51" t="str">
        <f>$P$14</f>
        <v>vb = R/Nb (actual shear/bolt)</v>
      </c>
      <c r="E65" s="54"/>
      <c r="F65" s="36"/>
      <c r="G65" s="9"/>
      <c r="H65" s="9"/>
      <c r="I65" s="13"/>
      <c r="M65" s="32" t="s">
        <v>193</v>
      </c>
      <c r="N65" s="40">
        <f>MIN(0.3*$N$8*$N$62+0.5*$N$8*$N$64,0.3*$D$22*$N$63+0.5*$N$8*$N$64)</f>
        <v>99.33749999999999</v>
      </c>
      <c r="O65" s="30" t="s">
        <v>206</v>
      </c>
      <c r="P65" s="30" t="s">
        <v>86</v>
      </c>
      <c r="AF65" s="289" t="s">
        <v>513</v>
      </c>
      <c r="AG65" s="290">
        <v>41.6</v>
      </c>
      <c r="AH65" s="291">
        <v>33.3</v>
      </c>
      <c r="AI65" s="292">
        <v>0.605</v>
      </c>
      <c r="AJ65" s="291">
        <v>11.5</v>
      </c>
      <c r="AK65" s="292">
        <v>0.96</v>
      </c>
      <c r="AL65" s="294">
        <v>1.66</v>
      </c>
    </row>
    <row r="66" spans="1:38" ht="12.75">
      <c r="A66" s="68" t="s">
        <v>201</v>
      </c>
      <c r="B66" s="169">
        <f>$N$15</f>
        <v>8.315033761535757</v>
      </c>
      <c r="C66" s="107" t="s">
        <v>212</v>
      </c>
      <c r="D66" s="51" t="str">
        <f>$P$15</f>
        <v>fv = vb/Ab (actual bolt shear stress)</v>
      </c>
      <c r="E66" s="54"/>
      <c r="F66" s="54"/>
      <c r="G66" s="9"/>
      <c r="H66" s="9"/>
      <c r="I66" s="53"/>
      <c r="M66" s="93" t="s">
        <v>110</v>
      </c>
      <c r="V66" s="133"/>
      <c r="AF66" s="289" t="s">
        <v>514</v>
      </c>
      <c r="AG66" s="290">
        <v>38.3</v>
      </c>
      <c r="AH66" s="291">
        <v>33.1</v>
      </c>
      <c r="AI66" s="292">
        <v>0.58</v>
      </c>
      <c r="AJ66" s="291">
        <v>11.5</v>
      </c>
      <c r="AK66" s="292">
        <v>0.855</v>
      </c>
      <c r="AL66" s="294">
        <v>1.56</v>
      </c>
    </row>
    <row r="67" spans="1:38" ht="12.75">
      <c r="A67" s="325" t="s">
        <v>407</v>
      </c>
      <c r="B67" s="169" t="str">
        <f>$N$18</f>
        <v>N.A.</v>
      </c>
      <c r="C67" s="9"/>
      <c r="D67" s="9">
        <f>$P$18</f>
      </c>
      <c r="E67" s="9"/>
      <c r="F67" s="9"/>
      <c r="G67" s="9"/>
      <c r="H67" s="9"/>
      <c r="I67" s="13"/>
      <c r="K67" s="32"/>
      <c r="M67" s="32" t="s">
        <v>282</v>
      </c>
      <c r="N67" s="42">
        <f>($D$29-1)*$D$31+2*$D$32-2*$D$23</f>
        <v>11</v>
      </c>
      <c r="O67" s="30" t="s">
        <v>43</v>
      </c>
      <c r="P67" s="37" t="s">
        <v>96</v>
      </c>
      <c r="V67" s="133"/>
      <c r="AF67" s="289" t="s">
        <v>515</v>
      </c>
      <c r="AG67" s="290">
        <v>34.7</v>
      </c>
      <c r="AH67" s="291">
        <v>32.9</v>
      </c>
      <c r="AI67" s="292">
        <v>0.55</v>
      </c>
      <c r="AJ67" s="291">
        <v>11.5</v>
      </c>
      <c r="AK67" s="292">
        <v>0.74</v>
      </c>
      <c r="AL67" s="294">
        <v>1.44</v>
      </c>
    </row>
    <row r="68" spans="1:38" ht="12.75">
      <c r="A68" s="68" t="s">
        <v>313</v>
      </c>
      <c r="B68" s="168" t="str">
        <f>$N$19</f>
        <v>N.A.</v>
      </c>
      <c r="C68" s="115" t="s">
        <v>287</v>
      </c>
      <c r="D68" s="4">
        <f>$P$19</f>
      </c>
      <c r="E68" s="36"/>
      <c r="F68" s="54"/>
      <c r="G68" s="9"/>
      <c r="H68" s="9"/>
      <c r="I68" s="53"/>
      <c r="K68" s="32"/>
      <c r="M68" s="32" t="s">
        <v>42</v>
      </c>
      <c r="N68" s="60">
        <f>SQRT($D$16^2+$D$17^2)</f>
        <v>41.23105625617661</v>
      </c>
      <c r="O68" s="30" t="s">
        <v>206</v>
      </c>
      <c r="P68" s="36" t="s">
        <v>93</v>
      </c>
      <c r="V68" s="133"/>
      <c r="AF68" s="289" t="s">
        <v>516</v>
      </c>
      <c r="AG68" s="295">
        <v>115</v>
      </c>
      <c r="AH68" s="291">
        <v>33.2</v>
      </c>
      <c r="AI68" s="293">
        <v>1.36</v>
      </c>
      <c r="AJ68" s="291">
        <v>15.6</v>
      </c>
      <c r="AK68" s="293">
        <v>2.44</v>
      </c>
      <c r="AL68" s="294">
        <v>3.23</v>
      </c>
    </row>
    <row r="69" spans="1:38" ht="12.75">
      <c r="A69" s="50" t="s">
        <v>385</v>
      </c>
      <c r="B69" s="169">
        <f>$N$20</f>
        <v>48</v>
      </c>
      <c r="C69" s="107" t="s">
        <v>212</v>
      </c>
      <c r="D69" s="343" t="str">
        <f>$P$20</f>
        <v>Fnv  = Nominal shear stress for A325-N from AISC Table J3.2, page 16.1-104</v>
      </c>
      <c r="E69" s="9"/>
      <c r="F69" s="9"/>
      <c r="G69" s="9"/>
      <c r="H69" s="9"/>
      <c r="I69" s="13"/>
      <c r="K69" s="73"/>
      <c r="M69" s="73" t="s">
        <v>61</v>
      </c>
      <c r="N69" s="42">
        <f>IF($D$17&gt;0,90-(ATAN($D$16/$D$17)*(180/PI())),0)</f>
        <v>14.036243467926468</v>
      </c>
      <c r="O69" s="30" t="s">
        <v>230</v>
      </c>
      <c r="P69" s="109" t="s">
        <v>62</v>
      </c>
      <c r="V69" s="132"/>
      <c r="AF69" s="289" t="s">
        <v>517</v>
      </c>
      <c r="AG69" s="295">
        <v>105</v>
      </c>
      <c r="AH69" s="291">
        <v>32.8</v>
      </c>
      <c r="AI69" s="293">
        <v>1.24</v>
      </c>
      <c r="AJ69" s="291">
        <v>15.5</v>
      </c>
      <c r="AK69" s="293">
        <v>2.24</v>
      </c>
      <c r="AL69" s="294">
        <v>3.03</v>
      </c>
    </row>
    <row r="70" spans="1:38" ht="12.75">
      <c r="A70" s="50" t="s">
        <v>386</v>
      </c>
      <c r="B70" s="169">
        <f>$N$21</f>
        <v>48</v>
      </c>
      <c r="C70" s="107" t="s">
        <v>212</v>
      </c>
      <c r="D70" s="4" t="str">
        <f>$P$21</f>
        <v>Fnv' = Fnv (no reduction needed for comb. effects)</v>
      </c>
      <c r="E70" s="9"/>
      <c r="F70" s="9"/>
      <c r="G70" s="9"/>
      <c r="H70" s="9"/>
      <c r="I70" s="13"/>
      <c r="K70" s="32"/>
      <c r="M70" s="32" t="s">
        <v>815</v>
      </c>
      <c r="N70" s="40">
        <f>1+0.5*(SIN(RADIANS($N$69)))^1.5</f>
        <v>1.059721858378498</v>
      </c>
      <c r="P70" s="30" t="s">
        <v>816</v>
      </c>
      <c r="V70" s="132"/>
      <c r="AF70" s="289" t="s">
        <v>518</v>
      </c>
      <c r="AG70" s="290">
        <v>95.8</v>
      </c>
      <c r="AH70" s="291">
        <v>32.4</v>
      </c>
      <c r="AI70" s="293">
        <v>1.14</v>
      </c>
      <c r="AJ70" s="291">
        <v>15.4</v>
      </c>
      <c r="AK70" s="293">
        <v>2.05</v>
      </c>
      <c r="AL70" s="294">
        <v>2.84</v>
      </c>
    </row>
    <row r="71" spans="1:41" ht="12.75">
      <c r="A71" s="68" t="s">
        <v>214</v>
      </c>
      <c r="B71" s="168">
        <f>$N$22</f>
        <v>24</v>
      </c>
      <c r="C71" s="107" t="s">
        <v>212</v>
      </c>
      <c r="D71" s="4" t="str">
        <f>$P$22</f>
        <v>Fv = Fnv' / 2 (allowable bolt shear stress)</v>
      </c>
      <c r="E71" s="36"/>
      <c r="F71" s="36"/>
      <c r="G71" s="9"/>
      <c r="H71" s="9"/>
      <c r="I71" s="13"/>
      <c r="K71" s="73"/>
      <c r="M71" s="73" t="s">
        <v>232</v>
      </c>
      <c r="N71" s="69">
        <f>(2*$N$68/2)/(0.6*70*0.707*$N$67)</f>
        <v>0.1262301421657776</v>
      </c>
      <c r="O71" s="37" t="s">
        <v>280</v>
      </c>
      <c r="P71" s="74" t="s">
        <v>232</v>
      </c>
      <c r="Q71" s="30" t="s">
        <v>322</v>
      </c>
      <c r="V71" s="133"/>
      <c r="AF71" s="289" t="s">
        <v>519</v>
      </c>
      <c r="AG71" s="290">
        <v>85.9</v>
      </c>
      <c r="AH71" s="291">
        <v>32</v>
      </c>
      <c r="AI71" s="293">
        <v>1.02</v>
      </c>
      <c r="AJ71" s="291">
        <v>15.3</v>
      </c>
      <c r="AK71" s="293">
        <v>1.85</v>
      </c>
      <c r="AL71" s="294">
        <v>2.64</v>
      </c>
      <c r="AN71" s="49"/>
      <c r="AO71" s="98"/>
    </row>
    <row r="72" spans="1:41" ht="12.75">
      <c r="A72" s="329" t="s">
        <v>387</v>
      </c>
      <c r="B72" s="169" t="str">
        <f>$N$23</f>
        <v>N.A.</v>
      </c>
      <c r="C72" s="9"/>
      <c r="D72" s="4" t="str">
        <f>$P$23</f>
        <v>ks = not applicable for N or X bolts</v>
      </c>
      <c r="E72" s="9"/>
      <c r="F72" s="9"/>
      <c r="G72" s="9"/>
      <c r="H72" s="9"/>
      <c r="I72" s="13"/>
      <c r="K72" s="73"/>
      <c r="M72" s="73" t="s">
        <v>289</v>
      </c>
      <c r="N72" s="110">
        <f>IF(MIN($D$21,$B$46)&lt;=0.25,0.125,IF(MIN($D$21,$B$46)&lt;=0.5,0.1875,IF(MIN($D$21,$B$46)&lt;=0.75,0.25,IF(MIN($D$21,$B$46)&gt;0.75,0.3125))))</f>
        <v>0.1875</v>
      </c>
      <c r="O72" s="30" t="s">
        <v>229</v>
      </c>
      <c r="P72" s="74" t="s">
        <v>323</v>
      </c>
      <c r="V72" s="133"/>
      <c r="AF72" s="289" t="s">
        <v>520</v>
      </c>
      <c r="AG72" s="290">
        <v>76.9</v>
      </c>
      <c r="AH72" s="291">
        <v>31.6</v>
      </c>
      <c r="AI72" s="292">
        <v>0.93</v>
      </c>
      <c r="AJ72" s="291">
        <v>15.2</v>
      </c>
      <c r="AK72" s="293">
        <v>1.65</v>
      </c>
      <c r="AL72" s="294">
        <v>2.44</v>
      </c>
      <c r="AN72" s="49"/>
      <c r="AO72" s="98"/>
    </row>
    <row r="73" spans="1:46" ht="12.75">
      <c r="A73" s="68" t="s">
        <v>198</v>
      </c>
      <c r="B73" s="169">
        <f>$N$24</f>
        <v>14.431691252428111</v>
      </c>
      <c r="C73" s="107" t="s">
        <v>211</v>
      </c>
      <c r="D73" s="4" t="str">
        <f>$P$24</f>
        <v>Vb = Ab*Fv (allowable shear/bolt)</v>
      </c>
      <c r="E73" s="36"/>
      <c r="F73" s="36"/>
      <c r="G73" s="36"/>
      <c r="H73" s="9"/>
      <c r="I73" s="45"/>
      <c r="K73" s="73"/>
      <c r="M73" s="73" t="s">
        <v>224</v>
      </c>
      <c r="N73" s="110">
        <f>IF($D$21=1/4,1/4,$D$21-1/16)</f>
        <v>0.3125</v>
      </c>
      <c r="O73" s="30" t="s">
        <v>229</v>
      </c>
      <c r="P73" s="74" t="s">
        <v>94</v>
      </c>
      <c r="AF73" s="289" t="s">
        <v>521</v>
      </c>
      <c r="AG73" s="290">
        <v>69.2</v>
      </c>
      <c r="AH73" s="291">
        <v>31.3</v>
      </c>
      <c r="AI73" s="292">
        <v>0.83</v>
      </c>
      <c r="AJ73" s="291">
        <v>15.1</v>
      </c>
      <c r="AK73" s="293">
        <v>1.5</v>
      </c>
      <c r="AL73" s="294">
        <v>2.29</v>
      </c>
      <c r="AN73" s="49"/>
      <c r="AO73" s="98"/>
      <c r="AT73" s="98"/>
    </row>
    <row r="74" spans="1:46" ht="12.75">
      <c r="A74" s="50" t="s">
        <v>303</v>
      </c>
      <c r="B74" s="168">
        <f>$N$25</f>
        <v>115.45353001942489</v>
      </c>
      <c r="C74" s="107" t="s">
        <v>287</v>
      </c>
      <c r="D74" s="4" t="str">
        <f>$P$25</f>
        <v>Rbv = Nb*Vb (allow. shear load)</v>
      </c>
      <c r="E74" s="9"/>
      <c r="F74" s="9"/>
      <c r="G74" s="9"/>
      <c r="H74" s="79"/>
      <c r="I74" s="251" t="str">
        <f>IF($B$74&gt;=$D$16,"Rbv &gt;= R,  O.K.  ","Rbv &lt; R, N.G.  ")</f>
        <v>Rbv &gt;= R,  O.K.  </v>
      </c>
      <c r="K74" s="32"/>
      <c r="M74" s="32" t="s">
        <v>288</v>
      </c>
      <c r="N74" s="40">
        <f>(1/2)*2*0.6*$N$70*70*0.707*$D$23*$N$67</f>
        <v>86.53529737240056</v>
      </c>
      <c r="O74" s="30" t="s">
        <v>206</v>
      </c>
      <c r="P74" s="90" t="s">
        <v>817</v>
      </c>
      <c r="V74" s="133"/>
      <c r="AF74" s="289" t="s">
        <v>522</v>
      </c>
      <c r="AG74" s="290">
        <v>62.2</v>
      </c>
      <c r="AH74" s="291">
        <v>30.9</v>
      </c>
      <c r="AI74" s="292">
        <v>0.775</v>
      </c>
      <c r="AJ74" s="291">
        <v>15.1</v>
      </c>
      <c r="AK74" s="293">
        <v>1.32</v>
      </c>
      <c r="AL74" s="294">
        <v>2.1</v>
      </c>
      <c r="AN74" s="49" t="s">
        <v>278</v>
      </c>
      <c r="AO74" s="98">
        <f>$D$16/$B$74</f>
        <v>0.3464597400639899</v>
      </c>
      <c r="AT74" s="98"/>
    </row>
    <row r="75" spans="1:46" ht="12.75">
      <c r="A75" s="68" t="s">
        <v>40</v>
      </c>
      <c r="B75" s="168">
        <f>$N$16</f>
        <v>1.25</v>
      </c>
      <c r="C75" s="107" t="s">
        <v>211</v>
      </c>
      <c r="D75" s="51" t="str">
        <f>$P$16</f>
        <v>T = P/Nb  (actual tension/bolt)</v>
      </c>
      <c r="E75" s="9"/>
      <c r="F75" s="9"/>
      <c r="G75" s="9"/>
      <c r="H75" s="9"/>
      <c r="I75" s="251"/>
      <c r="K75" s="32"/>
      <c r="M75" s="32" t="s">
        <v>406</v>
      </c>
      <c r="N75" s="42">
        <f>6.19*16*$N$70*$D$23/$N$10</f>
        <v>0.4036725109761786</v>
      </c>
      <c r="O75" s="28" t="s">
        <v>229</v>
      </c>
      <c r="P75" s="28" t="s">
        <v>822</v>
      </c>
      <c r="V75" s="138"/>
      <c r="AF75" s="289" t="s">
        <v>523</v>
      </c>
      <c r="AG75" s="290">
        <v>56.3</v>
      </c>
      <c r="AH75" s="291">
        <v>30.7</v>
      </c>
      <c r="AI75" s="292">
        <v>0.71</v>
      </c>
      <c r="AJ75" s="291">
        <v>15</v>
      </c>
      <c r="AK75" s="293">
        <v>1.19</v>
      </c>
      <c r="AL75" s="294">
        <v>1.97</v>
      </c>
      <c r="AN75" s="49"/>
      <c r="AO75" s="98"/>
      <c r="AT75" s="98"/>
    </row>
    <row r="76" spans="1:46" ht="12.75">
      <c r="A76" s="68" t="s">
        <v>39</v>
      </c>
      <c r="B76" s="169">
        <f>$N$17</f>
        <v>2.078758440383939</v>
      </c>
      <c r="C76" s="107" t="s">
        <v>212</v>
      </c>
      <c r="D76" s="51" t="str">
        <f>$P$17</f>
        <v>ft = T/Ab  (actual bolt tension stress)</v>
      </c>
      <c r="E76" s="9"/>
      <c r="F76" s="9"/>
      <c r="G76" s="36"/>
      <c r="H76" s="9"/>
      <c r="I76" s="251"/>
      <c r="K76" s="32"/>
      <c r="M76" s="32" t="s">
        <v>810</v>
      </c>
      <c r="N76" s="33" t="str">
        <f>IF($N$75&gt;$B$46,"Yes","No")</f>
        <v>Yes</v>
      </c>
      <c r="P76" s="28" t="s">
        <v>324</v>
      </c>
      <c r="V76" s="112"/>
      <c r="AF76" s="289" t="s">
        <v>524</v>
      </c>
      <c r="AG76" s="290">
        <v>51</v>
      </c>
      <c r="AH76" s="291">
        <v>30.4</v>
      </c>
      <c r="AI76" s="292">
        <v>0.655</v>
      </c>
      <c r="AJ76" s="291">
        <v>15</v>
      </c>
      <c r="AK76" s="293">
        <v>1.07</v>
      </c>
      <c r="AL76" s="294">
        <v>1.85</v>
      </c>
      <c r="AT76" s="98"/>
    </row>
    <row r="77" spans="1:41" ht="12.75">
      <c r="A77" s="329" t="s">
        <v>290</v>
      </c>
      <c r="B77" s="164">
        <f>$N$26</f>
        <v>0.4617332579068646</v>
      </c>
      <c r="C77" s="107" t="s">
        <v>210</v>
      </c>
      <c r="D77" s="339" t="s">
        <v>321</v>
      </c>
      <c r="E77" s="9"/>
      <c r="F77" s="9"/>
      <c r="G77" s="9"/>
      <c r="H77" s="9"/>
      <c r="I77" s="251"/>
      <c r="K77" s="32"/>
      <c r="M77" s="32" t="s">
        <v>405</v>
      </c>
      <c r="N77" s="60">
        <f>IF($N$76="No",$N$74,$N$74*$B$46/$N$75)</f>
        <v>76.10136863893375</v>
      </c>
      <c r="O77" s="30" t="s">
        <v>206</v>
      </c>
      <c r="P77" s="142" t="str">
        <f>IF($N$76="No","Rwr' = Rwr, tmin &lt; twb, no reduction in strength is needed","Rwr' = Rwr*twb/tmin")</f>
        <v>Rwr' = Rwr*twb/tmin</v>
      </c>
      <c r="Q77" s="37"/>
      <c r="V77" s="112"/>
      <c r="AF77" s="289" t="s">
        <v>525</v>
      </c>
      <c r="AG77" s="290">
        <v>43.5</v>
      </c>
      <c r="AH77" s="291">
        <v>30.7</v>
      </c>
      <c r="AI77" s="292">
        <v>0.65</v>
      </c>
      <c r="AJ77" s="291">
        <v>10.5</v>
      </c>
      <c r="AK77" s="293">
        <v>1.18</v>
      </c>
      <c r="AL77" s="294">
        <v>1.83</v>
      </c>
      <c r="AN77" s="49"/>
      <c r="AO77" s="98"/>
    </row>
    <row r="78" spans="1:41" ht="12.75">
      <c r="A78" s="50" t="s">
        <v>390</v>
      </c>
      <c r="B78" s="169">
        <f>$N$27</f>
        <v>90</v>
      </c>
      <c r="C78" s="107" t="s">
        <v>212</v>
      </c>
      <c r="D78" s="349" t="str">
        <f>$P$27</f>
        <v>Fnt  = Nominal tension stress for A325 bolts from AISC Table J3.2, page 16.1-104</v>
      </c>
      <c r="E78" s="9"/>
      <c r="F78" s="9"/>
      <c r="G78" s="9"/>
      <c r="H78" s="9"/>
      <c r="I78" s="251"/>
      <c r="M78" s="93" t="s">
        <v>253</v>
      </c>
      <c r="O78" s="33"/>
      <c r="R78" s="135" t="s">
        <v>296</v>
      </c>
      <c r="V78" s="139"/>
      <c r="AF78" s="289" t="s">
        <v>526</v>
      </c>
      <c r="AG78" s="290">
        <v>38.9</v>
      </c>
      <c r="AH78" s="291">
        <v>30.3</v>
      </c>
      <c r="AI78" s="292">
        <v>0.615</v>
      </c>
      <c r="AJ78" s="291">
        <v>10.5</v>
      </c>
      <c r="AK78" s="293">
        <v>1</v>
      </c>
      <c r="AL78" s="294">
        <v>1.65</v>
      </c>
      <c r="AN78" s="49"/>
      <c r="AO78" s="98"/>
    </row>
    <row r="79" spans="1:41" ht="12.75">
      <c r="A79" s="50" t="s">
        <v>392</v>
      </c>
      <c r="B79" s="169">
        <f>$N$28</f>
        <v>90</v>
      </c>
      <c r="C79" s="107" t="s">
        <v>212</v>
      </c>
      <c r="D79" s="4" t="str">
        <f>$P$28</f>
        <v>Fnt' = Fnt (no reduction needed for comb. effects</v>
      </c>
      <c r="E79" s="9"/>
      <c r="F79" s="9"/>
      <c r="G79" s="9"/>
      <c r="H79" s="9"/>
      <c r="I79" s="251"/>
      <c r="M79" s="28" t="s">
        <v>413</v>
      </c>
      <c r="N79" s="56"/>
      <c r="V79" s="133"/>
      <c r="AF79" s="289" t="s">
        <v>527</v>
      </c>
      <c r="AG79" s="290">
        <v>36.5</v>
      </c>
      <c r="AH79" s="291">
        <v>30.2</v>
      </c>
      <c r="AI79" s="292">
        <v>0.585</v>
      </c>
      <c r="AJ79" s="291">
        <v>10.5</v>
      </c>
      <c r="AK79" s="292">
        <v>0.93</v>
      </c>
      <c r="AL79" s="294">
        <v>1.58</v>
      </c>
      <c r="AN79" s="49"/>
      <c r="AO79" s="98"/>
    </row>
    <row r="80" spans="1:41" ht="12.75">
      <c r="A80" s="61" t="s">
        <v>300</v>
      </c>
      <c r="B80" s="168">
        <f>$N$29</f>
        <v>45</v>
      </c>
      <c r="C80" s="107" t="s">
        <v>212</v>
      </c>
      <c r="D80" s="141" t="str">
        <f>$P$29</f>
        <v>Ft = Fnt' / 2 (allowable bolt tension stress)</v>
      </c>
      <c r="E80" s="9"/>
      <c r="F80" s="9"/>
      <c r="G80" s="9"/>
      <c r="H80" s="9"/>
      <c r="I80" s="251"/>
      <c r="K80" s="49"/>
      <c r="M80" s="49" t="s">
        <v>222</v>
      </c>
      <c r="N80" s="42" t="str">
        <f>IF(AND($D$34=0,$D$35=0,$D$36=0),"N.A.","N.A.")</f>
        <v>N.A.</v>
      </c>
      <c r="O80" s="37" t="s">
        <v>210</v>
      </c>
      <c r="P80" s="30" t="s">
        <v>841</v>
      </c>
      <c r="V80" s="133"/>
      <c r="AF80" s="289" t="s">
        <v>528</v>
      </c>
      <c r="AG80" s="290">
        <v>34.2</v>
      </c>
      <c r="AH80" s="291">
        <v>30</v>
      </c>
      <c r="AI80" s="292">
        <v>0.565</v>
      </c>
      <c r="AJ80" s="291">
        <v>10.5</v>
      </c>
      <c r="AK80" s="292">
        <v>0.85</v>
      </c>
      <c r="AL80" s="294">
        <v>1.5</v>
      </c>
      <c r="AN80" s="49"/>
      <c r="AO80" s="98"/>
    </row>
    <row r="81" spans="1:41" ht="12.75">
      <c r="A81" s="68" t="s">
        <v>779</v>
      </c>
      <c r="B81" s="168">
        <f>$N$30</f>
        <v>27.059421098302707</v>
      </c>
      <c r="C81" s="107" t="s">
        <v>211</v>
      </c>
      <c r="D81" s="4" t="str">
        <f>$P$30</f>
        <v>B = Ft*Ab (allow. tension load per bolt)</v>
      </c>
      <c r="E81" s="36"/>
      <c r="F81" s="36"/>
      <c r="G81" s="9"/>
      <c r="H81" s="9"/>
      <c r="I81" s="251"/>
      <c r="K81" s="32"/>
      <c r="M81" s="32" t="s">
        <v>223</v>
      </c>
      <c r="N81" s="40" t="str">
        <f>"N.A."</f>
        <v>N.A.</v>
      </c>
      <c r="O81" s="30" t="s">
        <v>206</v>
      </c>
      <c r="P81" s="28" t="s">
        <v>840</v>
      </c>
      <c r="V81" s="133"/>
      <c r="AF81" s="289" t="s">
        <v>529</v>
      </c>
      <c r="AG81" s="290">
        <v>31.7</v>
      </c>
      <c r="AH81" s="291">
        <v>29.8</v>
      </c>
      <c r="AI81" s="292">
        <v>0.545</v>
      </c>
      <c r="AJ81" s="291">
        <v>10.5</v>
      </c>
      <c r="AK81" s="292">
        <v>0.76</v>
      </c>
      <c r="AL81" s="294">
        <v>1.41</v>
      </c>
      <c r="AN81" s="49"/>
      <c r="AO81" s="98"/>
    </row>
    <row r="82" spans="1:41" ht="12.75">
      <c r="A82" s="50" t="s">
        <v>268</v>
      </c>
      <c r="B82" s="344">
        <f>$N$31</f>
        <v>216.47536878642165</v>
      </c>
      <c r="C82" s="107" t="s">
        <v>287</v>
      </c>
      <c r="D82" s="9" t="str">
        <f>P31</f>
        <v>Rba = Nb*B  (allow. tension load)</v>
      </c>
      <c r="E82" s="9"/>
      <c r="F82" s="9"/>
      <c r="G82" s="9"/>
      <c r="H82" s="79"/>
      <c r="I82" s="251" t="str">
        <f>IF($D$17&gt;0,IF($B$82&gt;=$D$17,"Rba &gt;= P,  O.K.  ","Rba &lt; P, N.G.  "),"")</f>
        <v>Rba &gt;= P,  O.K.  </v>
      </c>
      <c r="K82" s="56"/>
      <c r="M82" s="56" t="s">
        <v>44</v>
      </c>
      <c r="O82" s="33"/>
      <c r="V82" s="133"/>
      <c r="AF82" s="289" t="s">
        <v>530</v>
      </c>
      <c r="AG82" s="290">
        <v>29.1</v>
      </c>
      <c r="AH82" s="291">
        <v>29.7</v>
      </c>
      <c r="AI82" s="292">
        <v>0.52</v>
      </c>
      <c r="AJ82" s="291">
        <v>10.5</v>
      </c>
      <c r="AK82" s="292">
        <v>0.67</v>
      </c>
      <c r="AL82" s="294">
        <v>1.32</v>
      </c>
      <c r="AN82" s="49" t="str">
        <f>IF(AO82="","N.A.","SR =")</f>
        <v>SR =</v>
      </c>
      <c r="AO82" s="98">
        <f>IF($D$17&gt;0,$D$17/$B$82,"")</f>
        <v>0.04619463200853199</v>
      </c>
    </row>
    <row r="83" spans="1:41" ht="12.75">
      <c r="A83" s="18"/>
      <c r="B83" s="9"/>
      <c r="C83" s="9"/>
      <c r="D83" s="9"/>
      <c r="E83" s="9"/>
      <c r="F83" s="9"/>
      <c r="G83" s="9"/>
      <c r="H83" s="9"/>
      <c r="I83" s="251"/>
      <c r="K83" s="49"/>
      <c r="M83" s="49" t="s">
        <v>46</v>
      </c>
      <c r="N83" s="42">
        <f>IF(AND($D$34=0,$D$35=0,$D$36=0),$N$67*$B$46,"N.A.")</f>
        <v>3.905</v>
      </c>
      <c r="O83" s="37" t="s">
        <v>210</v>
      </c>
      <c r="P83" s="47" t="s">
        <v>99</v>
      </c>
      <c r="V83" s="133"/>
      <c r="AF83" s="289" t="s">
        <v>531</v>
      </c>
      <c r="AG83" s="290">
        <v>26.4</v>
      </c>
      <c r="AH83" s="291">
        <v>29.5</v>
      </c>
      <c r="AI83" s="292">
        <v>0.47</v>
      </c>
      <c r="AJ83" s="291">
        <v>10.4</v>
      </c>
      <c r="AK83" s="292">
        <v>0.61</v>
      </c>
      <c r="AL83" s="294">
        <v>1.26</v>
      </c>
      <c r="AN83" s="49"/>
      <c r="AO83" s="98"/>
    </row>
    <row r="84" spans="1:41" ht="12.75">
      <c r="A84" s="66" t="s">
        <v>114</v>
      </c>
      <c r="B84" s="54"/>
      <c r="C84" s="115"/>
      <c r="D84" s="54"/>
      <c r="E84" s="9"/>
      <c r="F84" s="9"/>
      <c r="G84" s="9"/>
      <c r="H84" s="9"/>
      <c r="I84" s="251"/>
      <c r="K84" s="49"/>
      <c r="M84" s="49" t="s">
        <v>47</v>
      </c>
      <c r="N84" s="60">
        <f>IF(AND($D$34=0,$D$35=0,$D$36=0),(0.6*$D$12*$N$83),"N.A.")</f>
        <v>117.14999999999999</v>
      </c>
      <c r="O84" s="37" t="s">
        <v>206</v>
      </c>
      <c r="P84" s="37" t="s">
        <v>839</v>
      </c>
      <c r="V84" s="133"/>
      <c r="AF84" s="289" t="s">
        <v>532</v>
      </c>
      <c r="AG84" s="295">
        <v>159</v>
      </c>
      <c r="AH84" s="291">
        <v>32.5</v>
      </c>
      <c r="AI84" s="293">
        <v>1.97</v>
      </c>
      <c r="AJ84" s="291">
        <v>15.3</v>
      </c>
      <c r="AK84" s="293">
        <v>3.54</v>
      </c>
      <c r="AL84" s="294">
        <v>4.33</v>
      </c>
      <c r="AN84" s="49"/>
      <c r="AO84" s="98"/>
    </row>
    <row r="85" spans="1:41" ht="12.75">
      <c r="A85" s="68" t="s">
        <v>16</v>
      </c>
      <c r="B85" s="171">
        <f>IF($D$17&gt;0,$N$33,"N.A.")</f>
        <v>2.75</v>
      </c>
      <c r="C85" s="51" t="s">
        <v>229</v>
      </c>
      <c r="D85" s="9" t="str">
        <f>$P$33</f>
        <v>p = Min. of: S  or  S/2+ED  (tributary angle length/bolt)</v>
      </c>
      <c r="E85" s="9"/>
      <c r="F85" s="9"/>
      <c r="G85" s="9"/>
      <c r="H85" s="9"/>
      <c r="I85" s="251"/>
      <c r="K85" s="82"/>
      <c r="M85" s="82" t="s">
        <v>415</v>
      </c>
      <c r="O85" s="33"/>
      <c r="V85" s="132"/>
      <c r="W85" s="36"/>
      <c r="X85" s="36"/>
      <c r="Y85" s="36"/>
      <c r="Z85" s="36"/>
      <c r="AA85" s="36"/>
      <c r="AB85" s="36"/>
      <c r="AC85" s="36"/>
      <c r="AD85" s="360"/>
      <c r="AF85" s="289" t="s">
        <v>533</v>
      </c>
      <c r="AG85" s="295">
        <v>108</v>
      </c>
      <c r="AH85" s="291">
        <v>30.4</v>
      </c>
      <c r="AI85" s="293">
        <v>1.38</v>
      </c>
      <c r="AJ85" s="291">
        <v>14.7</v>
      </c>
      <c r="AK85" s="293">
        <v>2.48</v>
      </c>
      <c r="AL85" s="294">
        <v>3.27</v>
      </c>
      <c r="AN85" s="49"/>
      <c r="AO85" s="98"/>
    </row>
    <row r="86" spans="1:41" ht="12.75">
      <c r="A86" s="68" t="s">
        <v>780</v>
      </c>
      <c r="B86" s="164">
        <f>IF($D$17&gt;0,$N$34,"N.A.")</f>
        <v>1.5725</v>
      </c>
      <c r="C86" s="107" t="s">
        <v>229</v>
      </c>
      <c r="D86" s="9" t="str">
        <f>$P$34</f>
        <v>b = (g-tw)/2</v>
      </c>
      <c r="E86" s="9"/>
      <c r="F86" s="9"/>
      <c r="G86" s="9"/>
      <c r="H86" s="9"/>
      <c r="I86" s="251"/>
      <c r="K86" s="82"/>
      <c r="M86" s="82" t="s">
        <v>416</v>
      </c>
      <c r="O86" s="33"/>
      <c r="V86" s="36"/>
      <c r="W86" s="36"/>
      <c r="X86" s="36"/>
      <c r="Y86" s="36"/>
      <c r="Z86" s="36"/>
      <c r="AA86" s="36"/>
      <c r="AB86" s="36"/>
      <c r="AC86" s="36"/>
      <c r="AD86" s="360"/>
      <c r="AF86" s="289" t="s">
        <v>534</v>
      </c>
      <c r="AG86" s="290">
        <v>98.9</v>
      </c>
      <c r="AH86" s="291">
        <v>30</v>
      </c>
      <c r="AI86" s="293">
        <v>1.26</v>
      </c>
      <c r="AJ86" s="291">
        <v>14.6</v>
      </c>
      <c r="AK86" s="293">
        <v>2.28</v>
      </c>
      <c r="AL86" s="294">
        <v>3.07</v>
      </c>
      <c r="AN86" s="49"/>
      <c r="AO86" s="98"/>
    </row>
    <row r="87" spans="1:41" ht="12.75">
      <c r="A87" s="68" t="s">
        <v>781</v>
      </c>
      <c r="B87" s="164">
        <f>IF($D$17&gt;0,$N$35,"N.A.")</f>
        <v>1.135</v>
      </c>
      <c r="C87" s="107" t="s">
        <v>229</v>
      </c>
      <c r="D87" s="9" t="str">
        <f>$P$35</f>
        <v>b' = b-db/2</v>
      </c>
      <c r="E87" s="9"/>
      <c r="F87" s="9"/>
      <c r="G87" s="9"/>
      <c r="H87" s="9"/>
      <c r="I87" s="251"/>
      <c r="M87" s="93" t="s">
        <v>252</v>
      </c>
      <c r="O87" s="33"/>
      <c r="R87" s="135" t="s">
        <v>297</v>
      </c>
      <c r="V87" s="36"/>
      <c r="W87" s="36"/>
      <c r="X87" s="36"/>
      <c r="Y87" s="36"/>
      <c r="Z87" s="36"/>
      <c r="AA87" s="36"/>
      <c r="AB87" s="36"/>
      <c r="AC87" s="36"/>
      <c r="AD87" s="361"/>
      <c r="AF87" s="289" t="s">
        <v>535</v>
      </c>
      <c r="AG87" s="290">
        <v>90.4</v>
      </c>
      <c r="AH87" s="291">
        <v>29.6</v>
      </c>
      <c r="AI87" s="293">
        <v>1.16</v>
      </c>
      <c r="AJ87" s="291">
        <v>14.4</v>
      </c>
      <c r="AK87" s="293">
        <v>2.09</v>
      </c>
      <c r="AL87" s="294">
        <v>2.88</v>
      </c>
      <c r="AN87" s="49"/>
      <c r="AO87" s="98"/>
    </row>
    <row r="88" spans="1:41" ht="12.75">
      <c r="A88" s="68" t="s">
        <v>782</v>
      </c>
      <c r="B88" s="164">
        <f>IF($D$17&gt;0,$N$36,"N.A.")</f>
        <v>1.25</v>
      </c>
      <c r="C88" s="107" t="s">
        <v>229</v>
      </c>
      <c r="D88" s="9" t="str">
        <f>$P$36</f>
        <v>a = minimum of: (bfc-g)/2 , (Lc-g)/2 , or  1.25*b</v>
      </c>
      <c r="E88" s="9"/>
      <c r="F88" s="9"/>
      <c r="G88" s="9"/>
      <c r="H88" s="9"/>
      <c r="I88" s="251"/>
      <c r="M88" s="28" t="s">
        <v>417</v>
      </c>
      <c r="V88" s="36"/>
      <c r="W88" s="36"/>
      <c r="X88" s="36"/>
      <c r="Y88" s="36"/>
      <c r="Z88" s="36"/>
      <c r="AA88" s="36"/>
      <c r="AB88" s="36"/>
      <c r="AC88" s="36"/>
      <c r="AD88" s="361"/>
      <c r="AF88" s="289" t="s">
        <v>536</v>
      </c>
      <c r="AG88" s="290">
        <v>82.9</v>
      </c>
      <c r="AH88" s="291">
        <v>29.3</v>
      </c>
      <c r="AI88" s="293">
        <v>1.06</v>
      </c>
      <c r="AJ88" s="291">
        <v>14.4</v>
      </c>
      <c r="AK88" s="293">
        <v>1.93</v>
      </c>
      <c r="AL88" s="294">
        <v>2.72</v>
      </c>
      <c r="AN88" s="49"/>
      <c r="AO88" s="98"/>
    </row>
    <row r="89" spans="1:38" ht="12.75">
      <c r="A89" s="76" t="s">
        <v>125</v>
      </c>
      <c r="B89" s="164">
        <f>IF($D$17&gt;0,$N$37,"N.A.")</f>
        <v>1.6875</v>
      </c>
      <c r="C89" s="107" t="s">
        <v>229</v>
      </c>
      <c r="D89" s="9" t="str">
        <f>$P$37</f>
        <v>a' = a+db/2</v>
      </c>
      <c r="E89" s="54"/>
      <c r="F89" s="54"/>
      <c r="G89" s="9"/>
      <c r="H89" s="9"/>
      <c r="I89" s="251"/>
      <c r="K89" s="49"/>
      <c r="M89" s="49" t="s">
        <v>222</v>
      </c>
      <c r="N89" s="42" t="str">
        <f>IF(AND($D$34&gt;0,$D$35&gt;0,$D$35&lt;=0.5*$B$45,$D$36=0),$N$67*$B$46,IF(AND($D$34&gt;0,$D$35&gt;0,$D$36=0,$D$35&gt;0.5*$B$45),"ERROR","N.A."))</f>
        <v>N.A.</v>
      </c>
      <c r="O89" s="37" t="s">
        <v>210</v>
      </c>
      <c r="P89" s="30" t="s">
        <v>97</v>
      </c>
      <c r="V89" s="36"/>
      <c r="W89" s="36"/>
      <c r="X89" s="36"/>
      <c r="Y89" s="36"/>
      <c r="Z89" s="36"/>
      <c r="AA89" s="36"/>
      <c r="AB89" s="36"/>
      <c r="AC89" s="36"/>
      <c r="AD89" s="360"/>
      <c r="AF89" s="289" t="s">
        <v>537</v>
      </c>
      <c r="AG89" s="290">
        <v>76</v>
      </c>
      <c r="AH89" s="291">
        <v>29</v>
      </c>
      <c r="AI89" s="292">
        <v>0.98</v>
      </c>
      <c r="AJ89" s="291">
        <v>14.3</v>
      </c>
      <c r="AK89" s="293">
        <v>1.77</v>
      </c>
      <c r="AL89" s="294">
        <v>2.56</v>
      </c>
    </row>
    <row r="90" spans="1:41" ht="12.75">
      <c r="A90" s="80" t="s">
        <v>38</v>
      </c>
      <c r="B90" s="164">
        <f>IF($D$17&gt;0,$N$38,"N.A.")</f>
        <v>0.6725925925925926</v>
      </c>
      <c r="C90" s="115"/>
      <c r="D90" s="81" t="s">
        <v>20</v>
      </c>
      <c r="E90" s="54"/>
      <c r="F90" s="54"/>
      <c r="G90" s="9"/>
      <c r="H90" s="9"/>
      <c r="I90" s="251"/>
      <c r="K90" s="32"/>
      <c r="M90" s="32" t="s">
        <v>223</v>
      </c>
      <c r="N90" s="40" t="str">
        <f>IF(AND($D$34&gt;0,$D$35&gt;0,$D$35&lt;=0.5*$B$45,$D$36=0),(1/2)*0.6*$N$9*$N$89,IF(AND($D$34&gt;0,$D$35&gt;0,$D$36=0,$D$35&gt;0.5*$B$45),"ERROR","N.A."))</f>
        <v>N.A.</v>
      </c>
      <c r="O90" s="30" t="s">
        <v>206</v>
      </c>
      <c r="P90" s="28" t="s">
        <v>414</v>
      </c>
      <c r="V90" s="36"/>
      <c r="W90" s="36"/>
      <c r="X90" s="36"/>
      <c r="Y90" s="36"/>
      <c r="Z90" s="36"/>
      <c r="AA90" s="36"/>
      <c r="AB90" s="36"/>
      <c r="AC90" s="36"/>
      <c r="AD90" s="360"/>
      <c r="AF90" s="289" t="s">
        <v>538</v>
      </c>
      <c r="AG90" s="290">
        <v>69.4</v>
      </c>
      <c r="AH90" s="291">
        <v>28.7</v>
      </c>
      <c r="AI90" s="292">
        <v>0.91</v>
      </c>
      <c r="AJ90" s="291">
        <v>14.2</v>
      </c>
      <c r="AK90" s="293">
        <v>1.61</v>
      </c>
      <c r="AL90" s="294">
        <v>2.4</v>
      </c>
      <c r="AN90" s="49"/>
      <c r="AO90" s="98"/>
    </row>
    <row r="91" spans="1:41" ht="12.75">
      <c r="A91" s="76" t="s">
        <v>217</v>
      </c>
      <c r="B91" s="164">
        <f>IF($D$17&gt;0,$N$39,"N.A.")</f>
        <v>0.9375</v>
      </c>
      <c r="C91" s="115"/>
      <c r="D91" s="9" t="str">
        <f>$P$39</f>
        <v>d' = Nominal hole dimensions from Table J3.3</v>
      </c>
      <c r="E91" s="54"/>
      <c r="F91" s="54"/>
      <c r="G91" s="9"/>
      <c r="H91" s="9"/>
      <c r="I91" s="251"/>
      <c r="K91" s="56"/>
      <c r="M91" s="56" t="s">
        <v>285</v>
      </c>
      <c r="O91" s="33"/>
      <c r="V91" s="36"/>
      <c r="W91" s="36"/>
      <c r="X91" s="36"/>
      <c r="Y91" s="36"/>
      <c r="Z91" s="36"/>
      <c r="AA91" s="36"/>
      <c r="AB91" s="36"/>
      <c r="AC91" s="36"/>
      <c r="AD91" s="361"/>
      <c r="AF91" s="289" t="s">
        <v>539</v>
      </c>
      <c r="AG91" s="290">
        <v>64</v>
      </c>
      <c r="AH91" s="291">
        <v>28.4</v>
      </c>
      <c r="AI91" s="292">
        <v>0.83</v>
      </c>
      <c r="AJ91" s="291">
        <v>14.1</v>
      </c>
      <c r="AK91" s="293">
        <v>1.5</v>
      </c>
      <c r="AL91" s="294">
        <v>2.29</v>
      </c>
      <c r="AN91" s="49"/>
      <c r="AO91" s="98"/>
    </row>
    <row r="92" spans="1:41" ht="12.75">
      <c r="A92" s="80" t="s">
        <v>18</v>
      </c>
      <c r="B92" s="164">
        <f>IF($D$17&gt;0,$N$40,"N.A.")</f>
        <v>0.6590909090909092</v>
      </c>
      <c r="C92" s="115"/>
      <c r="D92" s="81" t="s">
        <v>259</v>
      </c>
      <c r="E92" s="54"/>
      <c r="F92" s="54"/>
      <c r="G92" s="9"/>
      <c r="H92" s="9"/>
      <c r="I92" s="251"/>
      <c r="K92" s="49"/>
      <c r="M92" s="49" t="s">
        <v>46</v>
      </c>
      <c r="N92" s="42" t="str">
        <f>IF(AND($D$34&gt;0,$D$35&gt;0,$D$35&lt;=0.5*$B$45,$D$36=0),$N$89,IF(AND($D$34&gt;0,$D$35&gt;0,$D$36=0,$D$35&gt;0.5*$B$45),"ERROR","N.A."))</f>
        <v>N.A.</v>
      </c>
      <c r="O92" s="37" t="s">
        <v>210</v>
      </c>
      <c r="P92" s="47" t="s">
        <v>99</v>
      </c>
      <c r="U92" s="56"/>
      <c r="V92" s="36"/>
      <c r="W92" s="36"/>
      <c r="X92" s="36"/>
      <c r="Y92" s="36"/>
      <c r="Z92" s="36"/>
      <c r="AA92" s="36"/>
      <c r="AB92" s="36"/>
      <c r="AC92" s="36"/>
      <c r="AD92" s="341"/>
      <c r="AF92" s="289" t="s">
        <v>540</v>
      </c>
      <c r="AG92" s="290">
        <v>57.2</v>
      </c>
      <c r="AH92" s="291">
        <v>28.1</v>
      </c>
      <c r="AI92" s="292">
        <v>0.75</v>
      </c>
      <c r="AJ92" s="291">
        <v>14</v>
      </c>
      <c r="AK92" s="293">
        <v>1.34</v>
      </c>
      <c r="AL92" s="294">
        <v>2.13</v>
      </c>
      <c r="AN92" s="49"/>
      <c r="AO92" s="98"/>
    </row>
    <row r="93" spans="1:38" ht="12.75">
      <c r="A93" s="80" t="s">
        <v>123</v>
      </c>
      <c r="B93" s="163">
        <f>IF($D$17&gt;0,$N$41,"N.A.")</f>
        <v>30.6984303812411</v>
      </c>
      <c r="C93" s="115"/>
      <c r="D93" s="81" t="s">
        <v>124</v>
      </c>
      <c r="E93" s="54"/>
      <c r="F93" s="54"/>
      <c r="G93" s="54"/>
      <c r="H93" s="9"/>
      <c r="I93" s="251"/>
      <c r="K93" s="49"/>
      <c r="M93" s="49" t="s">
        <v>47</v>
      </c>
      <c r="N93" s="60" t="str">
        <f>IF(AND($D$34&gt;0,$D$35&gt;0,$D$35&lt;=0.5*$B$45,$D$36=0),(0.6*$D$12*$N$92)*IF(1-($D$16/$N$90)^2&gt;0,(1-($D$16/$N$90)^2),0.0001),IF(AND($D$34&gt;0,$D$35&gt;0,$D$36=0,$D$35&gt;0.5*$B$45),"ERROR","N.A."))</f>
        <v>N.A.</v>
      </c>
      <c r="O93" s="37" t="s">
        <v>206</v>
      </c>
      <c r="P93" s="37" t="s">
        <v>98</v>
      </c>
      <c r="Q93" s="56"/>
      <c r="U93" s="49"/>
      <c r="V93" s="112"/>
      <c r="W93" s="112"/>
      <c r="X93" s="112"/>
      <c r="Y93" s="112"/>
      <c r="Z93" s="112"/>
      <c r="AA93" s="112"/>
      <c r="AB93" s="112"/>
      <c r="AC93" s="112"/>
      <c r="AD93" s="341"/>
      <c r="AF93" s="289" t="s">
        <v>541</v>
      </c>
      <c r="AG93" s="290">
        <v>52.5</v>
      </c>
      <c r="AH93" s="291">
        <v>27.8</v>
      </c>
      <c r="AI93" s="292">
        <v>0.725</v>
      </c>
      <c r="AJ93" s="291">
        <v>14.1</v>
      </c>
      <c r="AK93" s="293">
        <v>1.19</v>
      </c>
      <c r="AL93" s="294">
        <v>1.98</v>
      </c>
    </row>
    <row r="94" spans="1:41" ht="12.75">
      <c r="A94" s="80" t="s">
        <v>19</v>
      </c>
      <c r="B94" s="164">
        <f>IF($D$17&gt;0,$N$42,"N.A.")</f>
        <v>1</v>
      </c>
      <c r="C94" s="115"/>
      <c r="D94" s="51" t="s">
        <v>37</v>
      </c>
      <c r="E94" s="54"/>
      <c r="F94" s="54"/>
      <c r="G94" s="54"/>
      <c r="H94" s="54"/>
      <c r="I94" s="251"/>
      <c r="K94" s="56"/>
      <c r="M94" s="56" t="s">
        <v>418</v>
      </c>
      <c r="O94" s="33"/>
      <c r="V94" s="112"/>
      <c r="W94" s="112"/>
      <c r="X94" s="112"/>
      <c r="Y94" s="362"/>
      <c r="Z94" s="112"/>
      <c r="AA94" s="112"/>
      <c r="AB94" s="362"/>
      <c r="AC94" s="112"/>
      <c r="AD94" s="354"/>
      <c r="AF94" s="289" t="s">
        <v>542</v>
      </c>
      <c r="AG94" s="290">
        <v>47.6</v>
      </c>
      <c r="AH94" s="291">
        <v>27.6</v>
      </c>
      <c r="AI94" s="292">
        <v>0.66</v>
      </c>
      <c r="AJ94" s="291">
        <v>14</v>
      </c>
      <c r="AK94" s="293">
        <v>1.08</v>
      </c>
      <c r="AL94" s="294">
        <v>1.87</v>
      </c>
      <c r="AN94" s="49"/>
      <c r="AO94" s="98"/>
    </row>
    <row r="95" spans="1:41" ht="12.75">
      <c r="A95" s="76" t="s">
        <v>800</v>
      </c>
      <c r="B95" s="163">
        <f>IF($D$17&gt;0,$N$43,"N.A.")</f>
        <v>0.18896206065886853</v>
      </c>
      <c r="C95" s="107" t="s">
        <v>229</v>
      </c>
      <c r="D95" s="339" t="s">
        <v>827</v>
      </c>
      <c r="E95" s="341"/>
      <c r="F95" s="341"/>
      <c r="G95" s="54"/>
      <c r="H95" s="79"/>
      <c r="I95" s="251" t="str">
        <f>IF($D$17&gt;0,IF($D$21&gt;=$B$95,"tp &gt;= tp(req'd),  O.K.  ","tp &lt; tp(req'd), N.G.  "),"")</f>
        <v>tp &gt;= tp(req'd),  O.K.  </v>
      </c>
      <c r="K95" s="32"/>
      <c r="M95" s="32" t="s">
        <v>128</v>
      </c>
      <c r="N95" s="42" t="str">
        <f>IF(AND($D$34&gt;0,$D$35&gt;0,$D$35&lt;=0.5*$B$45,$D$36=0),$B$45-$D$35,IF(AND($D$34&gt;0,$D$35&gt;0,$D$36=0,$D$35&gt;0.5*$B$45),"ERROR","N.A."))</f>
        <v>N.A.</v>
      </c>
      <c r="O95" s="30" t="s">
        <v>229</v>
      </c>
      <c r="P95" s="37" t="s">
        <v>227</v>
      </c>
      <c r="Q95" s="56"/>
      <c r="V95" s="139"/>
      <c r="W95" s="139"/>
      <c r="X95" s="139"/>
      <c r="Y95" s="139"/>
      <c r="Z95" s="139"/>
      <c r="AA95" s="139"/>
      <c r="AB95" s="139"/>
      <c r="AC95" s="139"/>
      <c r="AD95" s="364"/>
      <c r="AF95" s="289" t="s">
        <v>543</v>
      </c>
      <c r="AG95" s="290">
        <v>43.1</v>
      </c>
      <c r="AH95" s="291">
        <v>27.4</v>
      </c>
      <c r="AI95" s="292">
        <v>0.605</v>
      </c>
      <c r="AJ95" s="291">
        <v>14</v>
      </c>
      <c r="AK95" s="292">
        <v>0.975</v>
      </c>
      <c r="AL95" s="294">
        <v>1.76</v>
      </c>
      <c r="AN95" s="49" t="str">
        <f>IF(AO95="","N.A.","SR =")</f>
        <v>SR =</v>
      </c>
      <c r="AO95" s="98">
        <f>IF($D$17&gt;0,$B$95/$D$21,"")</f>
        <v>0.5038988284236494</v>
      </c>
    </row>
    <row r="96" spans="1:41" ht="12.75">
      <c r="A96" s="76" t="s">
        <v>218</v>
      </c>
      <c r="B96" s="163">
        <f>IF($D$17&gt;0,$N$44,"N.A.")</f>
        <v>1.1324367435790952</v>
      </c>
      <c r="C96" s="107" t="s">
        <v>229</v>
      </c>
      <c r="D96" s="9" t="str">
        <f>$P$44</f>
        <v>tc = SQRT(6.66*B*b'/(p*Fup))  (to develop 'B' in bolts/no prying)</v>
      </c>
      <c r="E96" s="374"/>
      <c r="F96" s="374"/>
      <c r="G96" s="54"/>
      <c r="H96" s="54"/>
      <c r="I96" s="251"/>
      <c r="K96" s="32"/>
      <c r="M96" s="32" t="s">
        <v>251</v>
      </c>
      <c r="N96" s="42" t="str">
        <f>IF(AND($D$34&gt;0,$D$35&gt;0,$D$35&lt;=0.5*$B$45,$D$36=0),$D$34+$D$21,IF(AND($D$34&gt;0,$D$35&gt;0,$D$36=0,$D$35&gt;0.5*$B$45),"ERROR","N.A."))</f>
        <v>N.A.</v>
      </c>
      <c r="O96" s="30" t="s">
        <v>229</v>
      </c>
      <c r="P96" s="37" t="s">
        <v>100</v>
      </c>
      <c r="Q96" s="56"/>
      <c r="V96" s="132"/>
      <c r="W96" s="132"/>
      <c r="X96" s="132"/>
      <c r="Y96" s="132"/>
      <c r="Z96" s="132"/>
      <c r="AA96" s="133"/>
      <c r="AB96" s="133"/>
      <c r="AC96" s="133"/>
      <c r="AD96" s="369"/>
      <c r="AF96" s="289" t="s">
        <v>544</v>
      </c>
      <c r="AG96" s="290">
        <v>37.8</v>
      </c>
      <c r="AH96" s="291">
        <v>27.6</v>
      </c>
      <c r="AI96" s="292">
        <v>0.61</v>
      </c>
      <c r="AJ96" s="291">
        <v>10</v>
      </c>
      <c r="AK96" s="293">
        <v>1.1</v>
      </c>
      <c r="AL96" s="294">
        <v>1.7</v>
      </c>
      <c r="AN96" s="49"/>
      <c r="AO96" s="98"/>
    </row>
    <row r="97" spans="1:41" ht="12.75">
      <c r="A97" s="80" t="s">
        <v>19</v>
      </c>
      <c r="B97" s="164">
        <f>IF($D$17&gt;0,$N$45,"N.A.")</f>
        <v>7.365249106549433</v>
      </c>
      <c r="C97" s="115"/>
      <c r="D97" s="347" t="s">
        <v>832</v>
      </c>
      <c r="E97" s="374"/>
      <c r="F97" s="374"/>
      <c r="G97" s="54"/>
      <c r="H97" s="44"/>
      <c r="I97" s="251"/>
      <c r="K97" s="32"/>
      <c r="M97" s="32" t="s">
        <v>17</v>
      </c>
      <c r="N97" s="42" t="str">
        <f>IF(AND($D$34&gt;0,$D$35&gt;0,$D$35&lt;=0.5*$B$45,$D$36=0),($B$47*$B$48^2/2+($N$95-$B$48)*$B$46*($B$48+($N$95-$B$48)/2))/(($N$95-$B$48)*$B$46+$B$47*$B$48),IF(AND($D$34&gt;0,$D$35&gt;0,$D$36=0,$D$35&gt;0.5*$B$45),"ERROR","N.A."))</f>
        <v>N.A.</v>
      </c>
      <c r="O97" s="30" t="s">
        <v>229</v>
      </c>
      <c r="P97" s="37" t="s">
        <v>228</v>
      </c>
      <c r="Q97" s="56"/>
      <c r="V97" s="132"/>
      <c r="W97" s="132"/>
      <c r="X97" s="132"/>
      <c r="Y97" s="132"/>
      <c r="Z97" s="132"/>
      <c r="AA97" s="133"/>
      <c r="AB97" s="133"/>
      <c r="AC97" s="133"/>
      <c r="AD97" s="369"/>
      <c r="AF97" s="289" t="s">
        <v>545</v>
      </c>
      <c r="AG97" s="290">
        <v>33.5</v>
      </c>
      <c r="AH97" s="291">
        <v>27.3</v>
      </c>
      <c r="AI97" s="292">
        <v>0.57</v>
      </c>
      <c r="AJ97" s="291">
        <v>10.1</v>
      </c>
      <c r="AK97" s="292">
        <v>0.93</v>
      </c>
      <c r="AL97" s="294">
        <v>1.53</v>
      </c>
      <c r="AN97" s="49"/>
      <c r="AO97" s="98"/>
    </row>
    <row r="98" spans="1:38" ht="12.75">
      <c r="A98" s="68" t="s">
        <v>237</v>
      </c>
      <c r="B98" s="172">
        <f>IF($D$17&gt;0,$N$46,"N.A.")</f>
        <v>39.3834087391356</v>
      </c>
      <c r="C98" s="107" t="s">
        <v>206</v>
      </c>
      <c r="D98" s="341" t="s">
        <v>828</v>
      </c>
      <c r="E98" s="54"/>
      <c r="F98" s="54"/>
      <c r="G98" s="54"/>
      <c r="H98" s="44"/>
      <c r="I98" s="251"/>
      <c r="K98" s="32"/>
      <c r="M98" s="32" t="s">
        <v>286</v>
      </c>
      <c r="N98" s="60" t="str">
        <f>IF(AND($D$34&gt;0,$D$35&gt;0,$D$35&lt;=0.5*$B$45,$D$36=0),$B$47*$B$48^3/12+$B$47*$B$48*($N$97-$B$48/2)^2+$B$46*($N$95-$B$48)^3/12+($N$95-$B$48)*$B$46*($B$48+($N$95-$B$48)/2-$N$97)^2,IF(AND($D$34&gt;0,$D$35&gt;0,$D$36=0,$D$35&gt;0.5*$B$45),"ERROR","N.A."))</f>
        <v>N.A.</v>
      </c>
      <c r="O98" s="30" t="s">
        <v>309</v>
      </c>
      <c r="P98" s="37" t="s">
        <v>63</v>
      </c>
      <c r="Q98" s="56"/>
      <c r="V98" s="132"/>
      <c r="W98" s="132"/>
      <c r="X98" s="132"/>
      <c r="Y98" s="132"/>
      <c r="Z98" s="132"/>
      <c r="AA98" s="133"/>
      <c r="AB98" s="133"/>
      <c r="AC98" s="133"/>
      <c r="AD98" s="369"/>
      <c r="AF98" s="289" t="s">
        <v>546</v>
      </c>
      <c r="AG98" s="290">
        <v>30</v>
      </c>
      <c r="AH98" s="291">
        <v>27.1</v>
      </c>
      <c r="AI98" s="292">
        <v>0.515</v>
      </c>
      <c r="AJ98" s="291">
        <v>10</v>
      </c>
      <c r="AK98" s="292">
        <v>0.83</v>
      </c>
      <c r="AL98" s="294">
        <v>1.43</v>
      </c>
    </row>
    <row r="99" spans="1:41" ht="12.75">
      <c r="A99" s="78"/>
      <c r="B99" s="54"/>
      <c r="C99" s="115"/>
      <c r="D99" s="341" t="s">
        <v>829</v>
      </c>
      <c r="E99" s="54"/>
      <c r="F99" s="54"/>
      <c r="G99" s="54"/>
      <c r="H99" s="79"/>
      <c r="I99" s="251" t="str">
        <f>IF($D$17&gt;0,IF($B$98&gt;=$D$17,"Ra &gt;= P,  O.K.  ","Ra &lt; P, N.G.  "),"")</f>
        <v>Ra &gt;= P,  O.K.  </v>
      </c>
      <c r="K99" s="32"/>
      <c r="M99" s="32" t="s">
        <v>187</v>
      </c>
      <c r="N99" s="60" t="str">
        <f>IF(AND($D$34&gt;0,$D$35&gt;0,$D$35&lt;=0.5*$B$45,$D$36=0),$N$98/($N$95-$N$97),IF(AND($D$34&gt;0,$D$35&gt;0,$D$36=0,$D$35&gt;0.5*$B$45),"ERROR","N.A."))</f>
        <v>N.A.</v>
      </c>
      <c r="O99" s="30" t="s">
        <v>308</v>
      </c>
      <c r="P99" s="56" t="s">
        <v>245</v>
      </c>
      <c r="Q99" s="56"/>
      <c r="V99" s="132"/>
      <c r="W99" s="132"/>
      <c r="X99" s="132"/>
      <c r="Y99" s="132"/>
      <c r="Z99" s="132"/>
      <c r="AA99" s="132"/>
      <c r="AB99" s="133"/>
      <c r="AC99" s="365"/>
      <c r="AD99" s="369"/>
      <c r="AF99" s="289" t="s">
        <v>547</v>
      </c>
      <c r="AG99" s="290">
        <v>27.7</v>
      </c>
      <c r="AH99" s="291">
        <v>26.9</v>
      </c>
      <c r="AI99" s="292">
        <v>0.49</v>
      </c>
      <c r="AJ99" s="291">
        <v>10</v>
      </c>
      <c r="AK99" s="292">
        <v>0.745</v>
      </c>
      <c r="AL99" s="294">
        <v>1.34</v>
      </c>
      <c r="AN99" s="49" t="str">
        <f>IF(AO99="","N.A.","SR =")</f>
        <v>SR =</v>
      </c>
      <c r="AO99" s="98">
        <f>IF($D$17&gt;0,$D$17/$B$98,"")</f>
        <v>0.2539140292867266</v>
      </c>
    </row>
    <row r="100" spans="1:38" ht="12.75">
      <c r="A100" s="19"/>
      <c r="B100" s="20"/>
      <c r="C100" s="119"/>
      <c r="D100" s="20"/>
      <c r="E100" s="20"/>
      <c r="F100" s="20"/>
      <c r="G100" s="20"/>
      <c r="H100" s="20"/>
      <c r="I100" s="122" t="s">
        <v>122</v>
      </c>
      <c r="K100" s="32"/>
      <c r="M100" s="32" t="s">
        <v>129</v>
      </c>
      <c r="N100" s="60" t="str">
        <f>IF(AND($D$34&gt;0,$D$35&gt;0,$D$35&lt;=0.5*$B$45,$D$36=0),(1/2)*$N$9*IF(1-$D$17/(0.6*$D$12*$N$92)&gt;0,(1-$D$17/(0.6*$D$12*$N$92)),0.0001),IF(AND($D$34&gt;0,$D$35&gt;0,$D$36=0,$D$35&gt;0.5*$B$45),"ERROR","N.A."))</f>
        <v>N.A.</v>
      </c>
      <c r="O100" s="37" t="s">
        <v>212</v>
      </c>
      <c r="P100" s="37" t="s">
        <v>914</v>
      </c>
      <c r="V100" s="132"/>
      <c r="W100" s="132"/>
      <c r="X100" s="132"/>
      <c r="Y100" s="132"/>
      <c r="Z100" s="132"/>
      <c r="AA100" s="132"/>
      <c r="AB100" s="133"/>
      <c r="AC100" s="133"/>
      <c r="AD100" s="369"/>
      <c r="AF100" s="289" t="s">
        <v>548</v>
      </c>
      <c r="AG100" s="290">
        <v>24.8</v>
      </c>
      <c r="AH100" s="291">
        <v>26.7</v>
      </c>
      <c r="AI100" s="292">
        <v>0.46</v>
      </c>
      <c r="AJ100" s="291">
        <v>10</v>
      </c>
      <c r="AK100" s="292">
        <v>0.64</v>
      </c>
      <c r="AL100" s="294">
        <v>1.24</v>
      </c>
    </row>
    <row r="101" spans="1:41" ht="12.75">
      <c r="A101" s="16"/>
      <c r="B101" s="17"/>
      <c r="C101" s="118"/>
      <c r="D101" s="17"/>
      <c r="E101" s="17"/>
      <c r="F101" s="17"/>
      <c r="G101" s="17"/>
      <c r="H101" s="184"/>
      <c r="I101" s="178"/>
      <c r="K101" s="32"/>
      <c r="M101" s="32" t="s">
        <v>120</v>
      </c>
      <c r="N101" s="60" t="str">
        <f>IF(AND($D$34&gt;0,$D$35&gt;0,$D$34&lt;=$B$45/2,$D$36=0),$N$100*$N$99/$N$96,IF(AND($D$34&gt;0,$D$35&gt;0,$D$36=0,$D$35&gt;0.5*$B$45),"ERROR","N.A."))</f>
        <v>N.A.</v>
      </c>
      <c r="O101" s="30" t="s">
        <v>206</v>
      </c>
      <c r="P101" s="37" t="s">
        <v>311</v>
      </c>
      <c r="V101" s="132"/>
      <c r="W101" s="132"/>
      <c r="X101" s="132"/>
      <c r="Y101" s="132"/>
      <c r="Z101" s="132"/>
      <c r="AA101" s="132"/>
      <c r="AB101" s="365"/>
      <c r="AC101" s="365"/>
      <c r="AD101" s="369"/>
      <c r="AF101" s="289" t="s">
        <v>549</v>
      </c>
      <c r="AG101" s="295">
        <v>109</v>
      </c>
      <c r="AH101" s="291">
        <v>28</v>
      </c>
      <c r="AI101" s="293">
        <v>1.52</v>
      </c>
      <c r="AJ101" s="291">
        <v>13.7</v>
      </c>
      <c r="AK101" s="293">
        <v>2.72</v>
      </c>
      <c r="AL101" s="294">
        <v>3.22</v>
      </c>
      <c r="AN101" s="49"/>
      <c r="AO101" s="98"/>
    </row>
    <row r="102" spans="1:41" ht="12.75">
      <c r="A102" s="84" t="s">
        <v>113</v>
      </c>
      <c r="B102" s="9"/>
      <c r="C102" s="106"/>
      <c r="D102" s="9"/>
      <c r="E102" s="9"/>
      <c r="F102" s="9"/>
      <c r="G102" s="9"/>
      <c r="H102" s="87"/>
      <c r="I102" s="251"/>
      <c r="K102" s="56"/>
      <c r="M102" s="56" t="s">
        <v>419</v>
      </c>
      <c r="O102" s="33"/>
      <c r="V102" s="132"/>
      <c r="W102" s="132"/>
      <c r="X102" s="132"/>
      <c r="Y102" s="132"/>
      <c r="Z102" s="132"/>
      <c r="AA102" s="132"/>
      <c r="AB102" s="132"/>
      <c r="AC102" s="365"/>
      <c r="AD102" s="369"/>
      <c r="AF102" s="289" t="s">
        <v>550</v>
      </c>
      <c r="AG102" s="290">
        <v>98.4</v>
      </c>
      <c r="AH102" s="291">
        <v>27.5</v>
      </c>
      <c r="AI102" s="293">
        <v>1.38</v>
      </c>
      <c r="AJ102" s="291">
        <v>13.5</v>
      </c>
      <c r="AK102" s="293">
        <v>2.48</v>
      </c>
      <c r="AL102" s="294">
        <v>2.98</v>
      </c>
      <c r="AN102" s="49"/>
      <c r="AO102" s="98"/>
    </row>
    <row r="103" spans="1:41" ht="12.75">
      <c r="A103" s="66" t="s">
        <v>77</v>
      </c>
      <c r="B103" s="9"/>
      <c r="C103" s="106"/>
      <c r="D103" s="9"/>
      <c r="E103" s="54"/>
      <c r="F103" s="54"/>
      <c r="G103" s="54"/>
      <c r="H103" s="54"/>
      <c r="I103" s="251"/>
      <c r="K103" s="32"/>
      <c r="M103" s="32" t="s">
        <v>30</v>
      </c>
      <c r="N103" s="42" t="str">
        <f>IF(AND($D$34&gt;0,$D$35&gt;0,$D$35&lt;=0.5*$B$45,$D$36=0),$D$34/$B$45,IF(AND($D$34&gt;0,$D$35&gt;0,$D$36=0,$D$35&gt;0.5*$B$45),"ERROR","N.A."))</f>
        <v>N.A.</v>
      </c>
      <c r="O103" s="30"/>
      <c r="P103" s="37" t="s">
        <v>33</v>
      </c>
      <c r="Q103" s="56"/>
      <c r="V103" s="132"/>
      <c r="W103" s="132"/>
      <c r="X103" s="132"/>
      <c r="Y103" s="132"/>
      <c r="Z103" s="132"/>
      <c r="AA103" s="132"/>
      <c r="AB103" s="132"/>
      <c r="AC103" s="132"/>
      <c r="AD103" s="369"/>
      <c r="AF103" s="289" t="s">
        <v>551</v>
      </c>
      <c r="AG103" s="290">
        <v>89.8</v>
      </c>
      <c r="AH103" s="291">
        <v>27.1</v>
      </c>
      <c r="AI103" s="293">
        <v>1.26</v>
      </c>
      <c r="AJ103" s="291">
        <v>13.4</v>
      </c>
      <c r="AK103" s="293">
        <v>2.28</v>
      </c>
      <c r="AL103" s="294">
        <v>2.78</v>
      </c>
      <c r="AN103" s="49"/>
      <c r="AO103" s="98"/>
    </row>
    <row r="104" spans="1:41" ht="12.75">
      <c r="A104" s="50" t="s">
        <v>260</v>
      </c>
      <c r="B104" s="323" t="str">
        <f>$N$49</f>
        <v>N.A.</v>
      </c>
      <c r="C104" s="105" t="s">
        <v>229</v>
      </c>
      <c r="D104" s="44">
        <f>$P$49</f>
      </c>
      <c r="E104" s="9"/>
      <c r="F104" s="9"/>
      <c r="G104" s="9"/>
      <c r="H104" s="9"/>
      <c r="I104" s="251"/>
      <c r="K104" s="32"/>
      <c r="M104" s="32" t="s">
        <v>262</v>
      </c>
      <c r="N104" s="42" t="str">
        <f>IF(AND($D$34&gt;0,$D$35&gt;0,$D$35&lt;=0.5*$B$45,$D$36=0),IF($N$103&lt;=1,2*$N$103,1+$N$103),IF(AND($D$34&gt;0,$D$35&gt;0,$D$36=0,$D$35&gt;0.5*$B$45),"ERROR","N.A."))</f>
        <v>N.A.</v>
      </c>
      <c r="O104" s="30"/>
      <c r="P104" s="37" t="s">
        <v>34</v>
      </c>
      <c r="Q104" s="56"/>
      <c r="V104" s="132"/>
      <c r="W104" s="132"/>
      <c r="X104" s="132"/>
      <c r="Y104" s="132"/>
      <c r="Z104" s="132"/>
      <c r="AA104" s="132"/>
      <c r="AB104" s="132"/>
      <c r="AC104" s="132"/>
      <c r="AD104" s="369"/>
      <c r="AF104" s="289" t="s">
        <v>552</v>
      </c>
      <c r="AG104" s="290">
        <v>82</v>
      </c>
      <c r="AH104" s="291">
        <v>26.7</v>
      </c>
      <c r="AI104" s="293">
        <v>1.16</v>
      </c>
      <c r="AJ104" s="291">
        <v>13.3</v>
      </c>
      <c r="AK104" s="293">
        <v>2.09</v>
      </c>
      <c r="AL104" s="294">
        <v>2.59</v>
      </c>
      <c r="AN104" s="49"/>
      <c r="AO104" s="98"/>
    </row>
    <row r="105" spans="1:41" ht="12.75">
      <c r="A105" s="50" t="s">
        <v>398</v>
      </c>
      <c r="B105" s="163">
        <f>$N$50</f>
        <v>0.78125</v>
      </c>
      <c r="C105" s="105" t="s">
        <v>229</v>
      </c>
      <c r="D105" s="44" t="str">
        <f>$P$50</f>
        <v>Lce = Clear distance between edge bolt hole and edge</v>
      </c>
      <c r="E105" s="44"/>
      <c r="F105" s="9"/>
      <c r="G105" s="9"/>
      <c r="H105" s="9"/>
      <c r="I105" s="251"/>
      <c r="K105" s="32"/>
      <c r="M105" s="32" t="s">
        <v>29</v>
      </c>
      <c r="N105" s="42" t="str">
        <f>IF(AND($D$34&gt;0,$D$35&gt;0,$D$35&lt;=0.5*$B$45,$D$36=0),$D$34/$N$95,IF(AND($D$34&gt;0,$D$35&gt;0,$D$36=0,$D$35&gt;0.5*$B$45),"ERROR","N.A."))</f>
        <v>N.A.</v>
      </c>
      <c r="O105" s="30"/>
      <c r="P105" s="37" t="s">
        <v>31</v>
      </c>
      <c r="Q105" s="56"/>
      <c r="V105" s="132"/>
      <c r="W105" s="132"/>
      <c r="X105" s="132"/>
      <c r="Y105" s="132"/>
      <c r="Z105" s="132"/>
      <c r="AA105" s="132"/>
      <c r="AB105" s="132"/>
      <c r="AC105" s="132"/>
      <c r="AD105" s="369"/>
      <c r="AF105" s="289" t="s">
        <v>553</v>
      </c>
      <c r="AG105" s="290">
        <v>73.5</v>
      </c>
      <c r="AH105" s="291">
        <v>26.3</v>
      </c>
      <c r="AI105" s="293">
        <v>1.04</v>
      </c>
      <c r="AJ105" s="291">
        <v>13.2</v>
      </c>
      <c r="AK105" s="293">
        <v>1.89</v>
      </c>
      <c r="AL105" s="294">
        <v>2.39</v>
      </c>
      <c r="AN105" s="49"/>
      <c r="AO105" s="98"/>
    </row>
    <row r="106" spans="1:38" ht="12.75">
      <c r="A106" s="50" t="s">
        <v>399</v>
      </c>
      <c r="B106" s="163">
        <f>$N$51</f>
        <v>2.0625</v>
      </c>
      <c r="C106" s="105" t="s">
        <v>229</v>
      </c>
      <c r="D106" s="44" t="str">
        <f>$P$51</f>
        <v>Lcs = Clear distance between bolt holes</v>
      </c>
      <c r="E106" s="44"/>
      <c r="F106" s="9"/>
      <c r="G106" s="9"/>
      <c r="H106" s="9"/>
      <c r="I106" s="251"/>
      <c r="K106" s="32"/>
      <c r="M106" s="32" t="s">
        <v>292</v>
      </c>
      <c r="N106" s="42" t="str">
        <f>IF(AND($D$34&gt;0,$D$35&gt;0,$D$35&lt;=0.5*$B$45,$D$36=0),IF($N$105&lt;=1,2.2*($N$95/$D$34)^1.65,2.2*($N$95/$D$34)),IF(AND($D$34&gt;0,$D$35&gt;0,$D$36=0,$D$35&gt;0.5*$B$45),"ERROR","N.A."))</f>
        <v>N.A.</v>
      </c>
      <c r="O106" s="30"/>
      <c r="P106" s="37" t="s">
        <v>32</v>
      </c>
      <c r="Q106" s="56"/>
      <c r="V106" s="132"/>
      <c r="W106" s="132"/>
      <c r="X106" s="132"/>
      <c r="Y106" s="132"/>
      <c r="Z106" s="132"/>
      <c r="AA106" s="132"/>
      <c r="AB106" s="132"/>
      <c r="AC106" s="132"/>
      <c r="AD106" s="369"/>
      <c r="AF106" s="289" t="s">
        <v>554</v>
      </c>
      <c r="AG106" s="290">
        <v>67.2</v>
      </c>
      <c r="AH106" s="291">
        <v>26</v>
      </c>
      <c r="AI106" s="292">
        <v>0.96</v>
      </c>
      <c r="AJ106" s="291">
        <v>13.1</v>
      </c>
      <c r="AK106" s="293">
        <v>1.73</v>
      </c>
      <c r="AL106" s="294">
        <v>2.23</v>
      </c>
    </row>
    <row r="107" spans="1:41" ht="12.75">
      <c r="A107" s="324" t="s">
        <v>119</v>
      </c>
      <c r="B107" s="168">
        <f>$N$52</f>
        <v>10.1953125</v>
      </c>
      <c r="C107" s="107" t="s">
        <v>206</v>
      </c>
      <c r="D107" s="147" t="str">
        <f>$P$52</f>
        <v>Rpe = (1/2)*min{ (1.2*Lce*tp*Fup), (2.4*db*tp*Fup) }</v>
      </c>
      <c r="E107" s="44"/>
      <c r="F107" s="54"/>
      <c r="G107" s="54"/>
      <c r="H107" s="54"/>
      <c r="I107" s="251"/>
      <c r="K107" s="32"/>
      <c r="M107" s="32" t="s">
        <v>129</v>
      </c>
      <c r="N107" s="60" t="str">
        <f>IF(AND($D$34&gt;0,$D$35&gt;0,$D$35&lt;=0.5*$B$45,$D$36=0),(1/1.67)*MIN(26210*$N$104*$N$106*($B$46/$N$95)^2,$D$12)*IF(1-$D$17/(0.6*$D$12*$N$92)&gt;0,(1-$D$17/(0.6*$D$12*$N$92)),0.0001),IF(AND($D$34&gt;0,$D$35&gt;0,$D$36=0,$D$35&gt;0.5*$B$45),"ERROR","N.A."))</f>
        <v>N.A.</v>
      </c>
      <c r="O107" s="37" t="s">
        <v>212</v>
      </c>
      <c r="P107" s="37" t="s">
        <v>811</v>
      </c>
      <c r="V107" s="132"/>
      <c r="W107" s="132"/>
      <c r="X107" s="132"/>
      <c r="Y107" s="132"/>
      <c r="Z107" s="132"/>
      <c r="AA107" s="132"/>
      <c r="AB107" s="132"/>
      <c r="AC107" s="132"/>
      <c r="AD107" s="369"/>
      <c r="AF107" s="289" t="s">
        <v>555</v>
      </c>
      <c r="AG107" s="290">
        <v>60.7</v>
      </c>
      <c r="AH107" s="291">
        <v>25.7</v>
      </c>
      <c r="AI107" s="292">
        <v>0.87</v>
      </c>
      <c r="AJ107" s="291">
        <v>13</v>
      </c>
      <c r="AK107" s="293">
        <v>1.57</v>
      </c>
      <c r="AL107" s="294">
        <v>2.07</v>
      </c>
      <c r="AN107" s="49"/>
      <c r="AO107" s="98"/>
    </row>
    <row r="108" spans="1:41" ht="12.75">
      <c r="A108" s="324" t="s">
        <v>291</v>
      </c>
      <c r="B108" s="168">
        <f>$N$53</f>
        <v>22.837500000000002</v>
      </c>
      <c r="C108" s="107" t="s">
        <v>206</v>
      </c>
      <c r="D108" s="147" t="str">
        <f>$P$53</f>
        <v>Rps = (1/2)*min{ (1.2*Lcs*tp*Fup), (2.4*db*tp*Fup) }</v>
      </c>
      <c r="E108" s="44"/>
      <c r="F108" s="54"/>
      <c r="G108" s="54"/>
      <c r="H108" s="54"/>
      <c r="I108" s="251"/>
      <c r="K108" s="32"/>
      <c r="M108" s="32" t="s">
        <v>120</v>
      </c>
      <c r="N108" s="60" t="str">
        <f>IF(AND($D$34&gt;0,$D$35&gt;0,$D$35&lt;=0.5*$B$45,$D$36=0),$N$107*$N$99/$N$96,IF(AND($D$34&gt;0,$D$35&gt;0,$D$36=0,$D$35&gt;0.5*$B$45),"ERROR","N.A."))</f>
        <v>N.A.</v>
      </c>
      <c r="O108" s="30" t="s">
        <v>206</v>
      </c>
      <c r="P108" s="37" t="s">
        <v>311</v>
      </c>
      <c r="V108" s="132"/>
      <c r="W108" s="132"/>
      <c r="X108" s="132"/>
      <c r="Y108" s="132"/>
      <c r="Z108" s="132"/>
      <c r="AA108" s="132"/>
      <c r="AB108" s="132"/>
      <c r="AC108" s="132"/>
      <c r="AD108" s="369"/>
      <c r="AF108" s="289" t="s">
        <v>556</v>
      </c>
      <c r="AG108" s="290">
        <v>56.3</v>
      </c>
      <c r="AH108" s="291">
        <v>25.5</v>
      </c>
      <c r="AI108" s="292">
        <v>0.81</v>
      </c>
      <c r="AJ108" s="291">
        <v>13</v>
      </c>
      <c r="AK108" s="293">
        <v>1.46</v>
      </c>
      <c r="AL108" s="294">
        <v>1.96</v>
      </c>
      <c r="AN108" s="49"/>
      <c r="AO108" s="98"/>
    </row>
    <row r="109" spans="1:46" ht="12.75">
      <c r="A109" s="50" t="s">
        <v>301</v>
      </c>
      <c r="B109" s="172">
        <f>$N$54</f>
        <v>157.415625</v>
      </c>
      <c r="C109" s="107" t="s">
        <v>206</v>
      </c>
      <c r="D109" s="44" t="str">
        <f>$P$54</f>
        <v>Rpv = 2*{ Rpe+(Nb-1)*Rps }</v>
      </c>
      <c r="E109" s="44"/>
      <c r="F109" s="54"/>
      <c r="G109" s="54"/>
      <c r="H109" s="58"/>
      <c r="I109" s="251" t="str">
        <f>IF($B$109&gt;=$D$16,"Rpv &gt;= R,  O.K.  ","Rpv &lt; R, N.G.  ")</f>
        <v>Rpv &gt;= R,  O.K.  </v>
      </c>
      <c r="M109" s="93" t="s">
        <v>209</v>
      </c>
      <c r="O109" s="33"/>
      <c r="R109" s="135" t="s">
        <v>298</v>
      </c>
      <c r="V109" s="132"/>
      <c r="W109" s="132"/>
      <c r="X109" s="132"/>
      <c r="Y109" s="132"/>
      <c r="Z109" s="132"/>
      <c r="AA109" s="132"/>
      <c r="AB109" s="132"/>
      <c r="AC109" s="132"/>
      <c r="AD109" s="369"/>
      <c r="AF109" s="289" t="s">
        <v>557</v>
      </c>
      <c r="AG109" s="290">
        <v>51.7</v>
      </c>
      <c r="AH109" s="291">
        <v>25.2</v>
      </c>
      <c r="AI109" s="292">
        <v>0.75</v>
      </c>
      <c r="AJ109" s="291">
        <v>12.9</v>
      </c>
      <c r="AK109" s="293">
        <v>1.34</v>
      </c>
      <c r="AL109" s="294">
        <v>1.84</v>
      </c>
      <c r="AN109" s="49" t="s">
        <v>278</v>
      </c>
      <c r="AO109" s="98">
        <f>$D$16/$B$109</f>
        <v>0.2541043813153872</v>
      </c>
      <c r="AT109" s="98"/>
    </row>
    <row r="110" spans="1:46" ht="12.75">
      <c r="A110" s="18"/>
      <c r="B110" s="9"/>
      <c r="C110" s="9"/>
      <c r="D110" s="9"/>
      <c r="E110" s="44"/>
      <c r="F110" s="9"/>
      <c r="G110" s="9"/>
      <c r="H110" s="87"/>
      <c r="I110" s="251"/>
      <c r="M110" s="28" t="s">
        <v>421</v>
      </c>
      <c r="O110" s="33"/>
      <c r="W110" s="132"/>
      <c r="X110" s="132"/>
      <c r="Y110" s="132"/>
      <c r="Z110" s="132"/>
      <c r="AA110" s="132"/>
      <c r="AB110" s="132"/>
      <c r="AC110" s="132"/>
      <c r="AD110" s="369"/>
      <c r="AF110" s="289" t="s">
        <v>558</v>
      </c>
      <c r="AG110" s="290">
        <v>47.7</v>
      </c>
      <c r="AH110" s="291">
        <v>25</v>
      </c>
      <c r="AI110" s="292">
        <v>0.705</v>
      </c>
      <c r="AJ110" s="291">
        <v>13</v>
      </c>
      <c r="AK110" s="293">
        <v>1.22</v>
      </c>
      <c r="AL110" s="294">
        <v>1.72</v>
      </c>
      <c r="AN110" s="49"/>
      <c r="AO110" s="98"/>
      <c r="AT110" s="98"/>
    </row>
    <row r="111" spans="1:46" ht="12.75">
      <c r="A111" s="326" t="s">
        <v>82</v>
      </c>
      <c r="B111" s="9"/>
      <c r="C111" s="106"/>
      <c r="D111" s="9"/>
      <c r="E111" s="9"/>
      <c r="F111" s="9"/>
      <c r="G111" s="9"/>
      <c r="H111" s="87"/>
      <c r="I111" s="251"/>
      <c r="K111" s="49"/>
      <c r="M111" s="49" t="s">
        <v>222</v>
      </c>
      <c r="N111" s="42" t="str">
        <f>IF(AND($D$34&gt;0,$D$35&gt;0,$D$36&gt;0),$N$67*$B$46,"N.A.")</f>
        <v>N.A.</v>
      </c>
      <c r="O111" s="37" t="s">
        <v>210</v>
      </c>
      <c r="P111" s="37" t="s">
        <v>97</v>
      </c>
      <c r="W111" s="132"/>
      <c r="X111" s="132"/>
      <c r="Y111" s="132"/>
      <c r="Z111" s="132"/>
      <c r="AA111" s="132"/>
      <c r="AB111" s="132"/>
      <c r="AC111" s="132"/>
      <c r="AD111" s="369"/>
      <c r="AF111" s="289" t="s">
        <v>559</v>
      </c>
      <c r="AG111" s="290">
        <v>43</v>
      </c>
      <c r="AH111" s="291">
        <v>24.7</v>
      </c>
      <c r="AI111" s="292">
        <v>0.65</v>
      </c>
      <c r="AJ111" s="291">
        <v>12.9</v>
      </c>
      <c r="AK111" s="293">
        <v>1.09</v>
      </c>
      <c r="AL111" s="294">
        <v>1.59</v>
      </c>
      <c r="AN111" s="49"/>
      <c r="AO111" s="98"/>
      <c r="AT111" s="98"/>
    </row>
    <row r="112" spans="1:46" ht="12.75">
      <c r="A112" s="68" t="s">
        <v>117</v>
      </c>
      <c r="B112" s="173">
        <f>$N$56</f>
        <v>8.625</v>
      </c>
      <c r="C112" s="107" t="s">
        <v>210</v>
      </c>
      <c r="D112" s="51" t="str">
        <f>$P$56</f>
        <v>Avg = 2*((Nr-1)*S+(2*ED))*tp</v>
      </c>
      <c r="E112" s="44"/>
      <c r="F112" s="9"/>
      <c r="G112" s="9"/>
      <c r="H112" s="9"/>
      <c r="I112" s="251"/>
      <c r="K112" s="32"/>
      <c r="M112" s="32" t="s">
        <v>223</v>
      </c>
      <c r="N112" s="40" t="str">
        <f>IF(AND($D$34&gt;0,$D$35&gt;0,$D$36&gt;0),(1/2)*0.6*$N$9*$N$111,"N.A.")</f>
        <v>N.A.</v>
      </c>
      <c r="O112" s="30" t="s">
        <v>206</v>
      </c>
      <c r="P112" s="28" t="s">
        <v>414</v>
      </c>
      <c r="W112" s="132"/>
      <c r="X112" s="132"/>
      <c r="Y112" s="132"/>
      <c r="Z112" s="132"/>
      <c r="AA112" s="132"/>
      <c r="AB112" s="132"/>
      <c r="AC112" s="132"/>
      <c r="AD112" s="369"/>
      <c r="AF112" s="289" t="s">
        <v>560</v>
      </c>
      <c r="AG112" s="290">
        <v>38.5</v>
      </c>
      <c r="AH112" s="291">
        <v>24.5</v>
      </c>
      <c r="AI112" s="292">
        <v>0.605</v>
      </c>
      <c r="AJ112" s="291">
        <v>12.9</v>
      </c>
      <c r="AK112" s="292">
        <v>0.96</v>
      </c>
      <c r="AL112" s="294">
        <v>1.46</v>
      </c>
      <c r="AN112" s="49"/>
      <c r="AO112" s="98"/>
      <c r="AT112" s="98"/>
    </row>
    <row r="113" spans="1:46" ht="12.75">
      <c r="A113" s="68" t="s">
        <v>221</v>
      </c>
      <c r="B113" s="172">
        <f>$N$57</f>
        <v>124.19999999999999</v>
      </c>
      <c r="C113" s="107" t="s">
        <v>206</v>
      </c>
      <c r="D113" s="51" t="str">
        <f>$P$57</f>
        <v>Rvg = (1/1.5)*0.60*Fyp*Avg</v>
      </c>
      <c r="E113" s="44"/>
      <c r="F113" s="9"/>
      <c r="G113" s="9"/>
      <c r="H113" s="58"/>
      <c r="I113" s="251" t="str">
        <f>IF($B$113&gt;=$D$16,"Rvg &gt;= R,  O.K.  ","Rvg &lt; R, N.G.  ")</f>
        <v>Rvg &gt;= R,  O.K.  </v>
      </c>
      <c r="K113" s="56"/>
      <c r="M113" s="56" t="s">
        <v>813</v>
      </c>
      <c r="O113" s="33"/>
      <c r="W113" s="132"/>
      <c r="X113" s="132"/>
      <c r="Y113" s="132"/>
      <c r="Z113" s="132"/>
      <c r="AA113" s="132"/>
      <c r="AB113" s="132"/>
      <c r="AC113" s="132"/>
      <c r="AD113" s="369"/>
      <c r="AF113" s="289" t="s">
        <v>561</v>
      </c>
      <c r="AG113" s="290">
        <v>34.4</v>
      </c>
      <c r="AH113" s="291">
        <v>24.3</v>
      </c>
      <c r="AI113" s="292">
        <v>0.55</v>
      </c>
      <c r="AJ113" s="291">
        <v>12.8</v>
      </c>
      <c r="AK113" s="292">
        <v>0.85</v>
      </c>
      <c r="AL113" s="294">
        <v>1.35</v>
      </c>
      <c r="AN113" s="49" t="s">
        <v>278</v>
      </c>
      <c r="AO113" s="98">
        <f>$D$16/$B$113</f>
        <v>0.32206119162640906</v>
      </c>
      <c r="AT113" s="98"/>
    </row>
    <row r="114" spans="1:46" ht="12.75">
      <c r="A114" s="18"/>
      <c r="B114" s="9"/>
      <c r="C114" s="9"/>
      <c r="D114" s="9"/>
      <c r="E114" s="9"/>
      <c r="F114" s="9"/>
      <c r="G114" s="9"/>
      <c r="H114" s="9"/>
      <c r="I114" s="251"/>
      <c r="K114" s="49"/>
      <c r="M114" s="49" t="s">
        <v>46</v>
      </c>
      <c r="N114" s="42" t="str">
        <f>IF(AND($D$34&gt;0,$D$35&gt;0,$D$36&gt;0),$N$111,"N.A.")</f>
        <v>N.A.</v>
      </c>
      <c r="O114" s="37" t="s">
        <v>210</v>
      </c>
      <c r="P114" s="37" t="s">
        <v>99</v>
      </c>
      <c r="W114" s="132"/>
      <c r="X114" s="132"/>
      <c r="Y114" s="132"/>
      <c r="Z114" s="132"/>
      <c r="AA114" s="132"/>
      <c r="AB114" s="132"/>
      <c r="AC114" s="132"/>
      <c r="AD114" s="369"/>
      <c r="AF114" s="289" t="s">
        <v>562</v>
      </c>
      <c r="AG114" s="290">
        <v>30.6</v>
      </c>
      <c r="AH114" s="291">
        <v>24.1</v>
      </c>
      <c r="AI114" s="292">
        <v>0.5</v>
      </c>
      <c r="AJ114" s="291">
        <v>12.8</v>
      </c>
      <c r="AK114" s="292">
        <v>0.75</v>
      </c>
      <c r="AL114" s="294">
        <v>1.25</v>
      </c>
      <c r="AT114" s="98"/>
    </row>
    <row r="115" spans="1:46" ht="12.75">
      <c r="A115" s="326" t="s">
        <v>87</v>
      </c>
      <c r="B115" s="44"/>
      <c r="C115" s="115"/>
      <c r="D115" s="51"/>
      <c r="E115" s="44"/>
      <c r="F115" s="9"/>
      <c r="G115" s="9"/>
      <c r="H115" s="9"/>
      <c r="I115" s="251"/>
      <c r="K115" s="49"/>
      <c r="M115" s="49" t="s">
        <v>45</v>
      </c>
      <c r="N115" s="60" t="str">
        <f>IF(AND($D$34&gt;0,$D$35&gt;0,$D$36&gt;0),(0.6*$D$12*$N$114)*IF(1-($D$16/$N$112)^2&gt;0,(1-($D$16/$N$112)^2),0.0001),"N.A.")</f>
        <v>N.A.</v>
      </c>
      <c r="O115" s="37" t="s">
        <v>206</v>
      </c>
      <c r="P115" s="37" t="s">
        <v>812</v>
      </c>
      <c r="Q115" s="56"/>
      <c r="W115" s="132"/>
      <c r="X115" s="132"/>
      <c r="Y115" s="132"/>
      <c r="Z115" s="132"/>
      <c r="AA115" s="132"/>
      <c r="AB115" s="132"/>
      <c r="AC115" s="132"/>
      <c r="AD115" s="369"/>
      <c r="AF115" s="289" t="s">
        <v>563</v>
      </c>
      <c r="AG115" s="290">
        <v>30.3</v>
      </c>
      <c r="AH115" s="291">
        <v>24.5</v>
      </c>
      <c r="AI115" s="292">
        <v>0.55</v>
      </c>
      <c r="AJ115" s="293">
        <v>9</v>
      </c>
      <c r="AK115" s="292">
        <v>0.98</v>
      </c>
      <c r="AL115" s="294">
        <v>1.48</v>
      </c>
      <c r="AN115" s="49"/>
      <c r="AO115" s="98"/>
      <c r="AT115" s="98"/>
    </row>
    <row r="116" spans="1:46" ht="12.75">
      <c r="A116" s="68" t="s">
        <v>222</v>
      </c>
      <c r="B116" s="173">
        <f>$N$59</f>
        <v>5.625</v>
      </c>
      <c r="C116" s="107" t="s">
        <v>210</v>
      </c>
      <c r="D116" s="51" t="str">
        <f>$P$59</f>
        <v>Avn = Avg-2*(Nr*(dh1+1/16)*tp)</v>
      </c>
      <c r="E116" s="44"/>
      <c r="F116" s="9"/>
      <c r="G116" s="9"/>
      <c r="H116" s="9"/>
      <c r="I116" s="251"/>
      <c r="K116" s="56"/>
      <c r="M116" s="56" t="s">
        <v>422</v>
      </c>
      <c r="O116" s="33"/>
      <c r="V116" s="132"/>
      <c r="W116" s="133"/>
      <c r="X116" s="133"/>
      <c r="Y116" s="132"/>
      <c r="Z116" s="132"/>
      <c r="AA116" s="132"/>
      <c r="AB116" s="132"/>
      <c r="AC116" s="132"/>
      <c r="AD116" s="369"/>
      <c r="AF116" s="289" t="s">
        <v>564</v>
      </c>
      <c r="AG116" s="290">
        <v>27.7</v>
      </c>
      <c r="AH116" s="291">
        <v>24.3</v>
      </c>
      <c r="AI116" s="292">
        <v>0.515</v>
      </c>
      <c r="AJ116" s="293">
        <v>9.07</v>
      </c>
      <c r="AK116" s="292">
        <v>0.875</v>
      </c>
      <c r="AL116" s="294">
        <v>1.38</v>
      </c>
      <c r="AN116" s="49"/>
      <c r="AO116" s="98"/>
      <c r="AT116" s="98"/>
    </row>
    <row r="117" spans="1:41" ht="12.75">
      <c r="A117" s="68" t="s">
        <v>223</v>
      </c>
      <c r="B117" s="172">
        <f>$N$60</f>
        <v>97.87499999999999</v>
      </c>
      <c r="C117" s="107" t="s">
        <v>206</v>
      </c>
      <c r="D117" s="51" t="str">
        <f>$P$60</f>
        <v>Rvn = (1/2)*0.60*Fup*Avn</v>
      </c>
      <c r="E117" s="44"/>
      <c r="F117" s="44"/>
      <c r="G117" s="44"/>
      <c r="H117" s="58"/>
      <c r="I117" s="251" t="str">
        <f>IF($B$117&gt;=$D$16,"Rvn &gt;= R,  O.K.  ","Rvn &lt; R, N.G.  ")</f>
        <v>Rvn &gt;= R,  O.K.  </v>
      </c>
      <c r="K117" s="32"/>
      <c r="M117" s="32" t="s">
        <v>128</v>
      </c>
      <c r="N117" s="42" t="str">
        <f>IF(AND($D$34&gt;0,$D$35&gt;0,$D$36&gt;0),$B$45-$D$35-$D$36,"N.A.")</f>
        <v>N.A.</v>
      </c>
      <c r="O117" s="30" t="s">
        <v>229</v>
      </c>
      <c r="P117" s="37" t="s">
        <v>420</v>
      </c>
      <c r="Q117" s="56"/>
      <c r="V117" s="132"/>
      <c r="W117" s="133"/>
      <c r="X117" s="133"/>
      <c r="Y117" s="132"/>
      <c r="Z117" s="132"/>
      <c r="AA117" s="132"/>
      <c r="AB117" s="132"/>
      <c r="AC117" s="132"/>
      <c r="AD117" s="369"/>
      <c r="AF117" s="289" t="s">
        <v>565</v>
      </c>
      <c r="AG117" s="290">
        <v>24.7</v>
      </c>
      <c r="AH117" s="291">
        <v>24.1</v>
      </c>
      <c r="AI117" s="292">
        <v>0.47</v>
      </c>
      <c r="AJ117" s="293">
        <v>9.02</v>
      </c>
      <c r="AK117" s="292">
        <v>0.77</v>
      </c>
      <c r="AL117" s="294">
        <v>1.27</v>
      </c>
      <c r="AN117" s="49" t="s">
        <v>278</v>
      </c>
      <c r="AO117" s="98">
        <f>$D$16/$B$117</f>
        <v>0.4086845466155812</v>
      </c>
    </row>
    <row r="118" spans="1:46" ht="12.75">
      <c r="A118" s="18"/>
      <c r="B118" s="9"/>
      <c r="C118" s="9"/>
      <c r="D118" s="9"/>
      <c r="E118" s="9"/>
      <c r="F118" s="9"/>
      <c r="G118" s="9"/>
      <c r="H118" s="9"/>
      <c r="I118" s="251"/>
      <c r="K118" s="32"/>
      <c r="M118" s="32" t="s">
        <v>251</v>
      </c>
      <c r="N118" s="42" t="str">
        <f>IF(AND($D$34&gt;0,$D$35&gt;0,$D$36&gt;0),$D$34+$D$21,"N.A.")</f>
        <v>N.A.</v>
      </c>
      <c r="O118" s="30" t="s">
        <v>229</v>
      </c>
      <c r="P118" s="37" t="s">
        <v>100</v>
      </c>
      <c r="Q118" s="56"/>
      <c r="V118" s="133"/>
      <c r="W118" s="133"/>
      <c r="X118" s="133"/>
      <c r="Y118" s="132"/>
      <c r="Z118" s="132"/>
      <c r="AA118" s="132"/>
      <c r="AB118" s="132"/>
      <c r="AC118" s="132"/>
      <c r="AD118" s="369"/>
      <c r="AF118" s="289" t="s">
        <v>566</v>
      </c>
      <c r="AG118" s="290">
        <v>22.4</v>
      </c>
      <c r="AH118" s="291">
        <v>23.9</v>
      </c>
      <c r="AI118" s="292">
        <v>0.44</v>
      </c>
      <c r="AJ118" s="293">
        <v>8.99</v>
      </c>
      <c r="AK118" s="292">
        <v>0.68</v>
      </c>
      <c r="AL118" s="294">
        <v>1.18</v>
      </c>
      <c r="AN118" s="49"/>
      <c r="AO118" s="98"/>
      <c r="AT118" s="98"/>
    </row>
    <row r="119" spans="1:46" ht="12.75">
      <c r="A119" s="72" t="s">
        <v>91</v>
      </c>
      <c r="B119" s="9"/>
      <c r="C119" s="9"/>
      <c r="D119" s="9"/>
      <c r="E119" s="9"/>
      <c r="F119" s="9"/>
      <c r="G119" s="9"/>
      <c r="H119" s="9"/>
      <c r="I119" s="251"/>
      <c r="K119" s="32"/>
      <c r="M119" s="32" t="s">
        <v>17</v>
      </c>
      <c r="N119" s="42" t="str">
        <f>IF(AND($D$34&gt;0,$D$35&gt;0,$D$36&gt;0),$N$117/2,"N.A.")</f>
        <v>N.A.</v>
      </c>
      <c r="O119" s="30" t="s">
        <v>229</v>
      </c>
      <c r="P119" s="71" t="s">
        <v>243</v>
      </c>
      <c r="Q119" s="56"/>
      <c r="V119" s="133"/>
      <c r="W119" s="133"/>
      <c r="X119" s="133"/>
      <c r="Y119" s="138"/>
      <c r="Z119" s="138"/>
      <c r="AA119" s="138"/>
      <c r="AB119" s="138"/>
      <c r="AC119" s="138"/>
      <c r="AD119" s="370"/>
      <c r="AF119" s="289" t="s">
        <v>567</v>
      </c>
      <c r="AG119" s="290">
        <v>20.1</v>
      </c>
      <c r="AH119" s="291">
        <v>23.7</v>
      </c>
      <c r="AI119" s="292">
        <v>0.415</v>
      </c>
      <c r="AJ119" s="293">
        <v>8.97</v>
      </c>
      <c r="AK119" s="292">
        <v>0.585</v>
      </c>
      <c r="AL119" s="294">
        <v>1.09</v>
      </c>
      <c r="AN119" s="49"/>
      <c r="AO119" s="98"/>
      <c r="AT119" s="98"/>
    </row>
    <row r="120" spans="1:46" ht="12.75">
      <c r="A120" s="68" t="s">
        <v>402</v>
      </c>
      <c r="B120" s="173">
        <f>$N$62</f>
        <v>5.0625</v>
      </c>
      <c r="C120" s="107" t="s">
        <v>210</v>
      </c>
      <c r="D120" s="51" t="str">
        <f>$P$62</f>
        <v>Anv = 2* { (ED+(Nr-1)*S)-[(Nr-1)*(dh1+1/16)+(dh1+1/16)/2] }*tp</v>
      </c>
      <c r="E120" s="9"/>
      <c r="F120" s="9"/>
      <c r="G120" s="9"/>
      <c r="H120" s="9"/>
      <c r="I120" s="251"/>
      <c r="K120" s="32"/>
      <c r="M120" s="32" t="s">
        <v>286</v>
      </c>
      <c r="N120" s="60" t="str">
        <f>IF(AND($D$34&gt;0,$D$35&gt;0,$D$36&gt;0),$B$46*$N$117^3/12,"N.A.")</f>
        <v>N.A.</v>
      </c>
      <c r="O120" s="30" t="s">
        <v>309</v>
      </c>
      <c r="P120" s="37" t="s">
        <v>244</v>
      </c>
      <c r="Q120" s="56"/>
      <c r="V120" s="133"/>
      <c r="W120" s="133"/>
      <c r="X120" s="132"/>
      <c r="Y120" s="133"/>
      <c r="Z120" s="133"/>
      <c r="AA120" s="36"/>
      <c r="AB120" s="133"/>
      <c r="AC120" s="345"/>
      <c r="AD120" s="36"/>
      <c r="AF120" s="289" t="s">
        <v>568</v>
      </c>
      <c r="AG120" s="290">
        <v>18.2</v>
      </c>
      <c r="AH120" s="291">
        <v>23.7</v>
      </c>
      <c r="AI120" s="292">
        <v>0.43</v>
      </c>
      <c r="AJ120" s="293">
        <v>7.04</v>
      </c>
      <c r="AK120" s="292">
        <v>0.59</v>
      </c>
      <c r="AL120" s="294">
        <v>1.09</v>
      </c>
      <c r="AN120" s="49"/>
      <c r="AO120" s="98"/>
      <c r="AT120" s="98"/>
    </row>
    <row r="121" spans="1:41" ht="12.75">
      <c r="A121" s="68" t="s">
        <v>403</v>
      </c>
      <c r="B121" s="163">
        <f>$N$63</f>
        <v>7.6875</v>
      </c>
      <c r="C121" s="107" t="s">
        <v>210</v>
      </c>
      <c r="D121" s="51" t="str">
        <f>$P$63</f>
        <v>Agv = 2*(ED+(Nr-1)*S))*tp</v>
      </c>
      <c r="E121" s="9"/>
      <c r="F121" s="9"/>
      <c r="G121" s="9"/>
      <c r="H121" s="9"/>
      <c r="I121" s="251"/>
      <c r="K121" s="32"/>
      <c r="M121" s="32" t="s">
        <v>187</v>
      </c>
      <c r="N121" s="60" t="str">
        <f>IF(AND($D$34&gt;0,$D$35&gt;0,$D$36&gt;0),$N$120/($N$117-$N$119),"N.A.")</f>
        <v>N.A.</v>
      </c>
      <c r="O121" s="30" t="s">
        <v>308</v>
      </c>
      <c r="P121" s="56" t="s">
        <v>245</v>
      </c>
      <c r="Q121" s="56"/>
      <c r="V121" s="138"/>
      <c r="W121" s="138"/>
      <c r="X121" s="133"/>
      <c r="Y121" s="133"/>
      <c r="Z121" s="133"/>
      <c r="AA121" s="36"/>
      <c r="AB121" s="133"/>
      <c r="AC121" s="124"/>
      <c r="AD121" s="367"/>
      <c r="AF121" s="289" t="s">
        <v>569</v>
      </c>
      <c r="AG121" s="290">
        <v>16.2</v>
      </c>
      <c r="AH121" s="291">
        <v>23.6</v>
      </c>
      <c r="AI121" s="292">
        <v>0.395</v>
      </c>
      <c r="AJ121" s="293">
        <v>7.01</v>
      </c>
      <c r="AK121" s="292">
        <v>0.505</v>
      </c>
      <c r="AL121" s="294">
        <v>1.01</v>
      </c>
      <c r="AN121" s="49"/>
      <c r="AO121" s="98"/>
    </row>
    <row r="122" spans="1:41" ht="12.75">
      <c r="A122" s="68" t="s">
        <v>404</v>
      </c>
      <c r="B122" s="163">
        <f>$N$64</f>
        <v>0.5625</v>
      </c>
      <c r="C122" s="107" t="s">
        <v>210</v>
      </c>
      <c r="D122" s="51" t="str">
        <f>$P$64</f>
        <v>Ant = 2*{ (Lc-g)/2-(dh1+1/16)/2 }*tp</v>
      </c>
      <c r="E122" s="9"/>
      <c r="F122" s="9"/>
      <c r="G122" s="9"/>
      <c r="H122" s="9"/>
      <c r="I122" s="251"/>
      <c r="K122" s="32"/>
      <c r="M122" s="32" t="s">
        <v>129</v>
      </c>
      <c r="N122" s="60" t="str">
        <f>IF(AND($D$34&gt;0,$D$35&gt;0,$D$36&gt;0),(1/2)*$N$9*IF(1-$D$17/(0.6*$D$12*$N$111)&gt;0,(1-$D$17/(0.6*$D$12*$N$111)),0.0001),"N.A.")</f>
        <v>N.A.</v>
      </c>
      <c r="O122" s="37" t="s">
        <v>212</v>
      </c>
      <c r="P122" s="37" t="s">
        <v>914</v>
      </c>
      <c r="V122" s="36"/>
      <c r="W122" s="36"/>
      <c r="X122" s="133"/>
      <c r="Y122" s="133"/>
      <c r="Z122" s="133"/>
      <c r="AA122" s="36"/>
      <c r="AB122" s="133"/>
      <c r="AC122" s="369"/>
      <c r="AD122" s="369"/>
      <c r="AF122" s="289" t="s">
        <v>570</v>
      </c>
      <c r="AG122" s="290">
        <v>59.2</v>
      </c>
      <c r="AH122" s="291">
        <v>23</v>
      </c>
      <c r="AI122" s="292">
        <v>0.91</v>
      </c>
      <c r="AJ122" s="291">
        <v>12.6</v>
      </c>
      <c r="AK122" s="293">
        <v>1.63</v>
      </c>
      <c r="AL122" s="294">
        <v>2.13</v>
      </c>
      <c r="AN122" s="49"/>
      <c r="AO122" s="98"/>
    </row>
    <row r="123" spans="1:41" ht="12.75">
      <c r="A123" s="68" t="s">
        <v>193</v>
      </c>
      <c r="B123" s="172">
        <f>$N$65</f>
        <v>99.33749999999999</v>
      </c>
      <c r="C123" s="107" t="s">
        <v>206</v>
      </c>
      <c r="D123" s="51" t="str">
        <f>$P$65</f>
        <v>Rbs = min(0.30*Fup*Anv+0.50*Fup*Ant, 0.30*Fyp*Agv+0.50*Fup*Ant)</v>
      </c>
      <c r="E123" s="9"/>
      <c r="F123" s="9"/>
      <c r="G123" s="9"/>
      <c r="H123" s="58"/>
      <c r="I123" s="251"/>
      <c r="K123" s="32"/>
      <c r="M123" s="32" t="s">
        <v>120</v>
      </c>
      <c r="N123" s="60" t="str">
        <f>IF(AND($D$34&gt;0,$D$35&gt;0,$D$36&gt;0),$N$122*$N$121/$N$118,"N.A.")</f>
        <v>N.A.</v>
      </c>
      <c r="O123" s="30" t="s">
        <v>206</v>
      </c>
      <c r="P123" s="37" t="s">
        <v>311</v>
      </c>
      <c r="V123" s="112"/>
      <c r="W123" s="112"/>
      <c r="X123" s="133"/>
      <c r="Y123" s="36"/>
      <c r="Z123" s="36"/>
      <c r="AA123" s="36"/>
      <c r="AB123" s="36"/>
      <c r="AC123" s="36"/>
      <c r="AD123" s="36"/>
      <c r="AF123" s="289" t="s">
        <v>571</v>
      </c>
      <c r="AG123" s="290">
        <v>53.6</v>
      </c>
      <c r="AH123" s="291">
        <v>22.7</v>
      </c>
      <c r="AI123" s="292">
        <v>0.83</v>
      </c>
      <c r="AJ123" s="291">
        <v>12.5</v>
      </c>
      <c r="AK123" s="293">
        <v>1.48</v>
      </c>
      <c r="AL123" s="294">
        <v>1.98</v>
      </c>
      <c r="AN123" s="49"/>
      <c r="AO123" s="98"/>
    </row>
    <row r="124" spans="1:41" ht="12.75">
      <c r="A124" s="18"/>
      <c r="B124" s="9"/>
      <c r="C124" s="9"/>
      <c r="D124" s="9"/>
      <c r="E124" s="9"/>
      <c r="F124" s="9"/>
      <c r="G124" s="9"/>
      <c r="H124" s="9"/>
      <c r="I124" s="251" t="str">
        <f>IF($B$123&gt;=$D$16,"Rbs &gt;= R,  O.K.  ","Rbs &lt; R, N.G.  ")</f>
        <v>Rbs &gt;= R,  O.K.  </v>
      </c>
      <c r="K124" s="56"/>
      <c r="M124" s="56" t="s">
        <v>423</v>
      </c>
      <c r="O124" s="33"/>
      <c r="V124" s="112"/>
      <c r="W124" s="112"/>
      <c r="X124" s="133"/>
      <c r="Y124" s="112"/>
      <c r="Z124" s="112"/>
      <c r="AA124" s="112"/>
      <c r="AB124" s="112"/>
      <c r="AC124" s="112"/>
      <c r="AD124" s="36"/>
      <c r="AF124" s="289" t="s">
        <v>572</v>
      </c>
      <c r="AG124" s="290">
        <v>48.8</v>
      </c>
      <c r="AH124" s="291">
        <v>22.5</v>
      </c>
      <c r="AI124" s="292">
        <v>0.75</v>
      </c>
      <c r="AJ124" s="291">
        <v>12.4</v>
      </c>
      <c r="AK124" s="293">
        <v>1.36</v>
      </c>
      <c r="AL124" s="294">
        <v>1.86</v>
      </c>
      <c r="AN124" s="49" t="s">
        <v>278</v>
      </c>
      <c r="AO124" s="98">
        <f>$D$16/$B$123</f>
        <v>0.40266767333585</v>
      </c>
    </row>
    <row r="125" spans="1:38" ht="12.75">
      <c r="A125" s="84" t="s">
        <v>110</v>
      </c>
      <c r="B125" s="9"/>
      <c r="C125" s="9"/>
      <c r="D125" s="9"/>
      <c r="E125" s="9"/>
      <c r="F125" s="9"/>
      <c r="G125" s="9"/>
      <c r="H125" s="9"/>
      <c r="I125" s="251"/>
      <c r="K125" s="49"/>
      <c r="M125" s="49" t="s">
        <v>424</v>
      </c>
      <c r="N125" s="42" t="str">
        <f>IF(AND($D$34&gt;0,$D$35&gt;0,$D$36&gt;0),IF(AND($D$35&lt;=0.2*$B$45,$D$35=$D$36),3.5-7.5*$D$35/$B$45,"N.A."),"N.A.")</f>
        <v>N.A.</v>
      </c>
      <c r="O125" s="33"/>
      <c r="P125" s="37" t="s">
        <v>425</v>
      </c>
      <c r="V125" s="139"/>
      <c r="W125" s="139"/>
      <c r="X125" s="138"/>
      <c r="Y125" s="362"/>
      <c r="Z125" s="112"/>
      <c r="AA125" s="112"/>
      <c r="AB125" s="362"/>
      <c r="AC125" s="112"/>
      <c r="AD125" s="36"/>
      <c r="AF125" s="289" t="s">
        <v>573</v>
      </c>
      <c r="AG125" s="290">
        <v>43.2</v>
      </c>
      <c r="AH125" s="291">
        <v>22.1</v>
      </c>
      <c r="AI125" s="292">
        <v>0.72</v>
      </c>
      <c r="AJ125" s="291">
        <v>12.5</v>
      </c>
      <c r="AK125" s="293">
        <v>1.15</v>
      </c>
      <c r="AL125" s="294">
        <v>1.65</v>
      </c>
    </row>
    <row r="126" spans="1:41" ht="12.75">
      <c r="A126" s="329" t="s">
        <v>282</v>
      </c>
      <c r="B126" s="162">
        <f>N67</f>
        <v>11</v>
      </c>
      <c r="C126" s="107" t="s">
        <v>229</v>
      </c>
      <c r="D126" s="328" t="str">
        <f>P67</f>
        <v>L = (Nr-1)*S+2*ED-2*w  (vertical height of weld)</v>
      </c>
      <c r="E126" s="9"/>
      <c r="F126" s="9"/>
      <c r="G126" s="9"/>
      <c r="H126" s="9"/>
      <c r="I126" s="251"/>
      <c r="K126" s="49"/>
      <c r="M126" s="49" t="s">
        <v>426</v>
      </c>
      <c r="N126" s="42" t="str">
        <f>IF(AND($D$34&gt;0,$D$35&gt;0,$D$36&gt;0),IF($D$35&gt;0.2*$B$45,($N$117*SQRT($D$12))/(10*$B$46*sqrt*(475+280*($N$117/$D$34)^2)),"N.A."),"N.A.")</f>
        <v>N.A.</v>
      </c>
      <c r="O126" s="33"/>
      <c r="P126" s="28" t="s">
        <v>427</v>
      </c>
      <c r="V126" s="133"/>
      <c r="W126" s="133"/>
      <c r="X126" s="36"/>
      <c r="Y126" s="139"/>
      <c r="Z126" s="139"/>
      <c r="AA126" s="139"/>
      <c r="AB126" s="139"/>
      <c r="AC126" s="139"/>
      <c r="AD126" s="36"/>
      <c r="AF126" s="289" t="s">
        <v>574</v>
      </c>
      <c r="AG126" s="290">
        <v>38.8</v>
      </c>
      <c r="AH126" s="291">
        <v>21.8</v>
      </c>
      <c r="AI126" s="292">
        <v>0.65</v>
      </c>
      <c r="AJ126" s="291">
        <v>12.4</v>
      </c>
      <c r="AK126" s="293">
        <v>1.04</v>
      </c>
      <c r="AL126" s="294">
        <v>1.54</v>
      </c>
      <c r="AN126" s="49"/>
      <c r="AO126" s="98"/>
    </row>
    <row r="127" spans="1:41" ht="12.75">
      <c r="A127" s="76" t="s">
        <v>42</v>
      </c>
      <c r="B127" s="168">
        <f>N68</f>
        <v>41.23105625617661</v>
      </c>
      <c r="C127" s="107" t="s">
        <v>206</v>
      </c>
      <c r="D127" s="328" t="str">
        <f>P68</f>
        <v>Pr = SQRT(R^2+P^2)  (total resultant load taken by 2 welds)</v>
      </c>
      <c r="E127" s="54"/>
      <c r="F127" s="9"/>
      <c r="G127" s="9"/>
      <c r="H127" s="9"/>
      <c r="I127" s="251"/>
      <c r="K127" s="49"/>
      <c r="M127" s="49" t="s">
        <v>428</v>
      </c>
      <c r="N127" s="42" t="str">
        <f>IF(AND($D$34&gt;0,$D$35&gt;0,$D$36&gt;0),IF($N$126="N.A.","N.A.",IF($N$126&lt;=0.7,1,IF($N$126&gt;1.41,1.3/($N$126^2),1.34-0.486*$N$126))),"N.A.")</f>
        <v>N.A.</v>
      </c>
      <c r="O127" s="33"/>
      <c r="P127" s="28" t="s">
        <v>429</v>
      </c>
      <c r="V127" s="133"/>
      <c r="W127" s="133"/>
      <c r="X127" s="112"/>
      <c r="Y127" s="133"/>
      <c r="Z127" s="133"/>
      <c r="AA127" s="133"/>
      <c r="AB127" s="133"/>
      <c r="AC127" s="133"/>
      <c r="AD127" s="36"/>
      <c r="AF127" s="289" t="s">
        <v>575</v>
      </c>
      <c r="AG127" s="290">
        <v>35.9</v>
      </c>
      <c r="AH127" s="291">
        <v>21.7</v>
      </c>
      <c r="AI127" s="292">
        <v>0.6</v>
      </c>
      <c r="AJ127" s="291">
        <v>12.4</v>
      </c>
      <c r="AK127" s="292">
        <v>0.96</v>
      </c>
      <c r="AL127" s="294">
        <v>1.46</v>
      </c>
      <c r="AN127" s="49"/>
      <c r="AO127" s="98"/>
    </row>
    <row r="128" spans="1:41" ht="12.75">
      <c r="A128" s="80" t="s">
        <v>60</v>
      </c>
      <c r="B128" s="168">
        <f>$N$69</f>
        <v>14.036243467926468</v>
      </c>
      <c r="C128" s="107" t="s">
        <v>230</v>
      </c>
      <c r="D128" s="94" t="s">
        <v>266</v>
      </c>
      <c r="E128" s="54"/>
      <c r="F128" s="9"/>
      <c r="G128" s="9"/>
      <c r="H128" s="9"/>
      <c r="I128" s="251"/>
      <c r="K128" s="49"/>
      <c r="M128" s="49" t="s">
        <v>430</v>
      </c>
      <c r="N128" s="60" t="str">
        <f>IF(AND($D$34&gt;0,$D$35&gt;0,$D$36&gt;0),IF($N$126="N.A.",(1/1.67)*IF(1-$D$17/(0.6*$D$12*$N$111)&gt;0,(1-$D$17/(0.6*$D$12*$N$111)),0.0001)*MIN($D$12,(0.62*PI()*29000*($B$46^2)*$N$125)/($N$117*$D$34)),(1/1.67)*$N$127*$D$12*IF(1-$D$17/(0.6*$D$12*$N$111)&gt;0,(1-$D$17/(0.6*$D$12*$N$111)),0.0001)),"N.A.")</f>
        <v>N.A.</v>
      </c>
      <c r="O128" s="37" t="s">
        <v>212</v>
      </c>
      <c r="P128" s="28" t="str">
        <f>IF($N$126="N.A.","Fbc = (1/1.67)*(1-P/(0.60*Fy*Atn))*min{ [0.62*pi*29000*tw^2*fd] / (c*ho), Fy}","(1/1.67)*Fy*Q*(1-P/(0.60*Fy*Atn))")</f>
        <v>Fbc = (1/1.67)*(1-P/(0.60*Fy*Atn))*min{ [0.62*pi*29000*tw^2*fd] / (c*ho), Fy}</v>
      </c>
      <c r="V128" s="133"/>
      <c r="W128" s="132"/>
      <c r="X128" s="112"/>
      <c r="Y128" s="133"/>
      <c r="Z128" s="133"/>
      <c r="AA128" s="133"/>
      <c r="AB128" s="133"/>
      <c r="AC128" s="133"/>
      <c r="AD128" s="36"/>
      <c r="AF128" s="289" t="s">
        <v>576</v>
      </c>
      <c r="AG128" s="290">
        <v>32.7</v>
      </c>
      <c r="AH128" s="291">
        <v>21.5</v>
      </c>
      <c r="AI128" s="292">
        <v>0.55</v>
      </c>
      <c r="AJ128" s="291">
        <v>12.3</v>
      </c>
      <c r="AK128" s="292">
        <v>0.875</v>
      </c>
      <c r="AL128" s="294">
        <v>1.38</v>
      </c>
      <c r="AN128" s="49"/>
      <c r="AO128" s="98"/>
    </row>
    <row r="129" spans="1:41" ht="12.75">
      <c r="A129" s="76" t="s">
        <v>815</v>
      </c>
      <c r="B129" s="163">
        <f>$N$70</f>
        <v>1.059721858378498</v>
      </c>
      <c r="C129" s="9"/>
      <c r="D129" s="9" t="s">
        <v>833</v>
      </c>
      <c r="E129" s="9"/>
      <c r="F129" s="9"/>
      <c r="G129" s="9"/>
      <c r="H129" s="9"/>
      <c r="I129" s="251"/>
      <c r="K129" s="32"/>
      <c r="M129" s="32" t="s">
        <v>120</v>
      </c>
      <c r="N129" s="60" t="str">
        <f>IF(AND($D$34&gt;0,$D$35&gt;0,$D$36&gt;0),$N$128*$N$121/$N$118,"N.A.")</f>
        <v>N.A.</v>
      </c>
      <c r="O129" s="30" t="s">
        <v>206</v>
      </c>
      <c r="P129" s="37" t="s">
        <v>311</v>
      </c>
      <c r="V129" s="133"/>
      <c r="W129" s="133"/>
      <c r="X129" s="139"/>
      <c r="Y129" s="133"/>
      <c r="Z129" s="133"/>
      <c r="AA129" s="133"/>
      <c r="AB129" s="133"/>
      <c r="AC129" s="133"/>
      <c r="AD129" s="36"/>
      <c r="AF129" s="289" t="s">
        <v>577</v>
      </c>
      <c r="AG129" s="290">
        <v>29.8</v>
      </c>
      <c r="AH129" s="291">
        <v>21.4</v>
      </c>
      <c r="AI129" s="292">
        <v>0.5</v>
      </c>
      <c r="AJ129" s="291">
        <v>12.3</v>
      </c>
      <c r="AK129" s="292">
        <v>0.8</v>
      </c>
      <c r="AL129" s="294">
        <v>1.3</v>
      </c>
      <c r="AN129" s="49"/>
      <c r="AO129" s="98"/>
    </row>
    <row r="130" spans="1:41" ht="12.75">
      <c r="A130" s="80" t="s">
        <v>265</v>
      </c>
      <c r="B130" s="164">
        <f>$N$71</f>
        <v>0.1262301421657776</v>
      </c>
      <c r="C130" s="107" t="s">
        <v>280</v>
      </c>
      <c r="D130" s="81" t="s">
        <v>265</v>
      </c>
      <c r="E130" s="328" t="str">
        <f>Q71</f>
        <v>((2*Pr/2)/((C*C1*L))/16  (per weld)</v>
      </c>
      <c r="F130" s="9"/>
      <c r="G130" s="9"/>
      <c r="H130" s="9"/>
      <c r="I130" s="251"/>
      <c r="M130" s="148" t="s">
        <v>179</v>
      </c>
      <c r="O130" s="33"/>
      <c r="AF130" s="289" t="s">
        <v>578</v>
      </c>
      <c r="AG130" s="290">
        <v>27.3</v>
      </c>
      <c r="AH130" s="291">
        <v>21.6</v>
      </c>
      <c r="AI130" s="292">
        <v>0.58</v>
      </c>
      <c r="AJ130" s="293">
        <v>8.42</v>
      </c>
      <c r="AK130" s="292">
        <v>0.93</v>
      </c>
      <c r="AL130" s="294">
        <v>1.43</v>
      </c>
      <c r="AN130" s="49"/>
      <c r="AO130" s="98"/>
    </row>
    <row r="131" spans="1:41" ht="12.75">
      <c r="A131" s="80" t="s">
        <v>36</v>
      </c>
      <c r="B131" s="322">
        <f>$N$72</f>
        <v>0.1875</v>
      </c>
      <c r="C131" s="107" t="s">
        <v>229</v>
      </c>
      <c r="D131" s="347" t="s">
        <v>834</v>
      </c>
      <c r="E131" s="9"/>
      <c r="F131" s="9"/>
      <c r="G131" s="9"/>
      <c r="H131" s="9"/>
      <c r="I131" s="251"/>
      <c r="M131" s="37" t="s">
        <v>180</v>
      </c>
      <c r="N131" s="56"/>
      <c r="O131" s="56"/>
      <c r="P131" s="37"/>
      <c r="Q131" s="56"/>
      <c r="AF131" s="289" t="s">
        <v>579</v>
      </c>
      <c r="AG131" s="290">
        <v>24.3</v>
      </c>
      <c r="AH131" s="291">
        <v>21.4</v>
      </c>
      <c r="AI131" s="292">
        <v>0.515</v>
      </c>
      <c r="AJ131" s="293">
        <v>8.36</v>
      </c>
      <c r="AK131" s="292">
        <v>0.835</v>
      </c>
      <c r="AL131" s="294">
        <v>1.34</v>
      </c>
      <c r="AN131" s="49"/>
      <c r="AO131" s="98"/>
    </row>
    <row r="132" spans="1:41" ht="12.75">
      <c r="A132" s="80" t="s">
        <v>225</v>
      </c>
      <c r="B132" s="322">
        <f>$N$73</f>
        <v>0.3125</v>
      </c>
      <c r="C132" s="107" t="s">
        <v>229</v>
      </c>
      <c r="D132" s="347" t="s">
        <v>103</v>
      </c>
      <c r="E132" s="9"/>
      <c r="F132" s="9"/>
      <c r="G132" s="9"/>
      <c r="H132" s="9"/>
      <c r="I132" s="251"/>
      <c r="M132" s="32" t="s">
        <v>184</v>
      </c>
      <c r="N132" s="70">
        <f>IF($D$16&gt;0,$D$46+$D$37*($D$38/$D$13),"N.A.")</f>
        <v>0.4</v>
      </c>
      <c r="O132" s="30" t="s">
        <v>229</v>
      </c>
      <c r="P132" s="30" t="s">
        <v>185</v>
      </c>
      <c r="AF132" s="289" t="s">
        <v>580</v>
      </c>
      <c r="AG132" s="290">
        <v>21.5</v>
      </c>
      <c r="AH132" s="291">
        <v>21.2</v>
      </c>
      <c r="AI132" s="292">
        <v>0.455</v>
      </c>
      <c r="AJ132" s="293">
        <v>8.3</v>
      </c>
      <c r="AK132" s="292">
        <v>0.74</v>
      </c>
      <c r="AL132" s="294">
        <v>1.24</v>
      </c>
      <c r="AN132" s="49"/>
      <c r="AO132" s="98"/>
    </row>
    <row r="133" spans="1:41" ht="12.75">
      <c r="A133" s="76" t="s">
        <v>288</v>
      </c>
      <c r="B133" s="168">
        <f>$N$74</f>
        <v>86.53529737240056</v>
      </c>
      <c r="C133" s="107" t="s">
        <v>206</v>
      </c>
      <c r="D133" s="339" t="s">
        <v>819</v>
      </c>
      <c r="E133" s="54"/>
      <c r="F133" s="9"/>
      <c r="G133" s="9"/>
      <c r="H133" s="9"/>
      <c r="I133" s="251"/>
      <c r="M133" s="49" t="s">
        <v>434</v>
      </c>
      <c r="N133" s="60">
        <f>IF($D$16&gt;0,1.2*$N$10*$N$132*$D$24*$N$13,"N.A.")</f>
        <v>218.40000000000003</v>
      </c>
      <c r="O133" s="37" t="s">
        <v>206</v>
      </c>
      <c r="P133" s="37" t="s">
        <v>835</v>
      </c>
      <c r="Q133" s="56"/>
      <c r="AF133" s="289" t="s">
        <v>581</v>
      </c>
      <c r="AG133" s="290">
        <v>20</v>
      </c>
      <c r="AH133" s="291">
        <v>21.1</v>
      </c>
      <c r="AI133" s="292">
        <v>0.43</v>
      </c>
      <c r="AJ133" s="293">
        <v>8.27</v>
      </c>
      <c r="AK133" s="292">
        <v>0.685</v>
      </c>
      <c r="AL133" s="294">
        <v>1.19</v>
      </c>
      <c r="AN133" s="49"/>
      <c r="AO133" s="98"/>
    </row>
    <row r="134" spans="1:41" ht="12.75">
      <c r="A134" s="329" t="s">
        <v>406</v>
      </c>
      <c r="B134" s="320">
        <f>$N$75</f>
        <v>0.4036725109761786</v>
      </c>
      <c r="C134" s="107" t="s">
        <v>229</v>
      </c>
      <c r="D134" s="341" t="s">
        <v>821</v>
      </c>
      <c r="E134" s="9"/>
      <c r="F134" s="9"/>
      <c r="G134" s="9"/>
      <c r="H134" s="9"/>
      <c r="I134" s="251"/>
      <c r="M134" s="28" t="s">
        <v>181</v>
      </c>
      <c r="O134" s="33"/>
      <c r="P134" s="47" t="s">
        <v>352</v>
      </c>
      <c r="V134" s="30"/>
      <c r="AE134" s="121"/>
      <c r="AF134" s="289" t="s">
        <v>582</v>
      </c>
      <c r="AG134" s="290">
        <v>18.3</v>
      </c>
      <c r="AH134" s="291">
        <v>21</v>
      </c>
      <c r="AI134" s="292">
        <v>0.4</v>
      </c>
      <c r="AJ134" s="293">
        <v>8.24</v>
      </c>
      <c r="AK134" s="292">
        <v>0.615</v>
      </c>
      <c r="AL134" s="294">
        <v>1.12</v>
      </c>
      <c r="AN134" s="49"/>
      <c r="AO134" s="98"/>
    </row>
    <row r="135" spans="1:41" ht="12.75">
      <c r="A135" s="329" t="s">
        <v>810</v>
      </c>
      <c r="B135" s="168" t="str">
        <f>$N$76</f>
        <v>Yes</v>
      </c>
      <c r="C135" s="9"/>
      <c r="D135" s="328" t="str">
        <f>P76</f>
        <v>Is tmin &gt; twb?  If so, Rwr' = Rwr* twb / tmin.  If not, Rwr' = Rwr</v>
      </c>
      <c r="E135" s="9"/>
      <c r="F135" s="9"/>
      <c r="G135" s="9"/>
      <c r="H135" s="9"/>
      <c r="I135" s="13"/>
      <c r="M135" s="32" t="s">
        <v>184</v>
      </c>
      <c r="N135" s="70">
        <f>IF($D$17&gt;0,IF($D$39="Yes",$D$46+$D$37*($D$38/$D$13),"N.A."),"N.A.")</f>
        <v>0.4</v>
      </c>
      <c r="O135" s="30" t="s">
        <v>229</v>
      </c>
      <c r="P135" s="30" t="s">
        <v>185</v>
      </c>
      <c r="V135" s="30"/>
      <c r="AE135" s="121"/>
      <c r="AF135" s="289" t="s">
        <v>583</v>
      </c>
      <c r="AG135" s="290">
        <v>16.2</v>
      </c>
      <c r="AH135" s="291">
        <v>20.8</v>
      </c>
      <c r="AI135" s="292">
        <v>0.375</v>
      </c>
      <c r="AJ135" s="293">
        <v>8.22</v>
      </c>
      <c r="AK135" s="292">
        <v>0.522</v>
      </c>
      <c r="AL135" s="294">
        <v>1.02</v>
      </c>
      <c r="AN135" s="49"/>
      <c r="AO135" s="98"/>
    </row>
    <row r="136" spans="1:41" ht="12.75">
      <c r="A136" s="329" t="s">
        <v>405</v>
      </c>
      <c r="B136" s="172">
        <f>$N$77</f>
        <v>76.10136863893375</v>
      </c>
      <c r="C136" s="107" t="s">
        <v>206</v>
      </c>
      <c r="D136" s="328" t="str">
        <f>P77</f>
        <v>Rwr' = Rwr*twb/tmin</v>
      </c>
      <c r="E136" s="9"/>
      <c r="F136" s="9"/>
      <c r="G136" s="9"/>
      <c r="H136" s="9"/>
      <c r="I136" s="251" t="str">
        <f>IF($B$136&gt;=$B$127,"Rwr' &gt;= Pr,  O.K.  ","Rwr' &lt; Pr, N.G.  ")</f>
        <v>Rwr' &gt;= Pr,  O.K.  </v>
      </c>
      <c r="M136" s="32" t="s">
        <v>334</v>
      </c>
      <c r="N136" s="70">
        <f>IF($D$17&gt;0,IF($D$39="Yes",0.25*$D$13*$N$135^2,"N.A."),"N.A.")</f>
        <v>2.0000000000000004</v>
      </c>
      <c r="O136" s="30" t="s">
        <v>206</v>
      </c>
      <c r="P136" s="28" t="s">
        <v>356</v>
      </c>
      <c r="V136" s="30"/>
      <c r="AE136" s="121"/>
      <c r="AF136" s="289" t="s">
        <v>584</v>
      </c>
      <c r="AG136" s="290">
        <v>14.1</v>
      </c>
      <c r="AH136" s="291">
        <v>20.6</v>
      </c>
      <c r="AI136" s="292">
        <v>0.35</v>
      </c>
      <c r="AJ136" s="293">
        <v>8.14</v>
      </c>
      <c r="AK136" s="292">
        <v>0.43</v>
      </c>
      <c r="AL136" s="296">
        <v>0.93</v>
      </c>
      <c r="AN136" s="49" t="s">
        <v>278</v>
      </c>
      <c r="AO136" s="98">
        <f>$B$127/$B$136</f>
        <v>0.5417912580757798</v>
      </c>
    </row>
    <row r="137" spans="1:41" ht="12.75">
      <c r="A137" s="18"/>
      <c r="B137" s="9"/>
      <c r="C137" s="9"/>
      <c r="D137" s="9"/>
      <c r="E137" s="9"/>
      <c r="F137" s="9"/>
      <c r="G137" s="9"/>
      <c r="H137" s="9"/>
      <c r="I137" s="251" t="str">
        <f>IF($D$23&gt;=$B$130,"Weld(used) &gt;= weld(req'd), O.K.  ","Weld(used) &lt; weld(req'd), N.G.  ")</f>
        <v>Weld(used) &gt;= weld(req'd), O.K.  </v>
      </c>
      <c r="M137" s="32" t="s">
        <v>353</v>
      </c>
      <c r="N137" s="70">
        <f>IF($D$17&gt;0,IF($D$39="Yes",$D$45-2*$D$49,"N.A."),"N.A.")</f>
        <v>18.759999999999998</v>
      </c>
      <c r="O137" s="30" t="s">
        <v>229</v>
      </c>
      <c r="P137" s="28" t="s">
        <v>366</v>
      </c>
      <c r="V137" s="30"/>
      <c r="AE137" s="121"/>
      <c r="AF137" s="289" t="s">
        <v>585</v>
      </c>
      <c r="AG137" s="290">
        <v>16.7</v>
      </c>
      <c r="AH137" s="291">
        <v>21.1</v>
      </c>
      <c r="AI137" s="292">
        <v>0.405</v>
      </c>
      <c r="AJ137" s="293">
        <v>6.56</v>
      </c>
      <c r="AK137" s="292">
        <v>0.65</v>
      </c>
      <c r="AL137" s="294">
        <v>1.15</v>
      </c>
      <c r="AN137" s="49" t="s">
        <v>278</v>
      </c>
      <c r="AO137" s="98">
        <f>$B$130/$D$23</f>
        <v>0.5049205686631104</v>
      </c>
    </row>
    <row r="138" spans="1:41" ht="12.75">
      <c r="A138" s="18"/>
      <c r="B138" s="9"/>
      <c r="C138" s="9"/>
      <c r="D138" s="9"/>
      <c r="E138" s="9"/>
      <c r="F138" s="9"/>
      <c r="G138" s="9"/>
      <c r="H138" s="9"/>
      <c r="I138" s="251" t="str">
        <f>IF($D$23&lt;=$B$132,"Weld(used) &lt;= weld(max), O.K.  ","Weld(used) &gt; weld(max), N.G.  ")</f>
        <v>Weld(used) &lt;= weld(max), O.K.  </v>
      </c>
      <c r="M138" s="49" t="s">
        <v>782</v>
      </c>
      <c r="N138" s="70">
        <f>IF($D$17&gt;0,IF($D$39="Yes",$D$30-$D$49,"N.A."),"N.A.")</f>
        <v>2.13</v>
      </c>
      <c r="O138" s="30" t="s">
        <v>229</v>
      </c>
      <c r="P138" s="30" t="s">
        <v>354</v>
      </c>
      <c r="V138" s="30"/>
      <c r="AE138" s="121"/>
      <c r="AF138" s="289" t="s">
        <v>586</v>
      </c>
      <c r="AG138" s="290">
        <v>14.7</v>
      </c>
      <c r="AH138" s="291">
        <v>20.8</v>
      </c>
      <c r="AI138" s="292">
        <v>0.38</v>
      </c>
      <c r="AJ138" s="293">
        <v>6.53</v>
      </c>
      <c r="AK138" s="292">
        <v>0.535</v>
      </c>
      <c r="AL138" s="294">
        <v>1.04</v>
      </c>
      <c r="AN138" s="49" t="s">
        <v>278</v>
      </c>
      <c r="AO138" s="98">
        <f>$D$23/$B$132</f>
        <v>0.8</v>
      </c>
    </row>
    <row r="139" spans="1:38" ht="12.75">
      <c r="A139" s="18"/>
      <c r="B139" s="9"/>
      <c r="C139" s="9"/>
      <c r="D139" s="9"/>
      <c r="E139" s="9"/>
      <c r="F139" s="9"/>
      <c r="G139" s="9"/>
      <c r="H139" s="9"/>
      <c r="I139" s="13"/>
      <c r="M139" s="49" t="s">
        <v>780</v>
      </c>
      <c r="N139" s="70">
        <f>IF($D$17&gt;0,IF($D$39="Yes",$N$137-($N$138+$N$140),"N.A."),"N.A.")</f>
        <v>7.629999999999999</v>
      </c>
      <c r="O139" s="30" t="s">
        <v>229</v>
      </c>
      <c r="P139" s="30" t="s">
        <v>355</v>
      </c>
      <c r="V139" s="30"/>
      <c r="AE139" s="121"/>
      <c r="AF139" s="289" t="s">
        <v>587</v>
      </c>
      <c r="AG139" s="290">
        <v>13</v>
      </c>
      <c r="AH139" s="291">
        <v>20.7</v>
      </c>
      <c r="AI139" s="292">
        <v>0.35</v>
      </c>
      <c r="AJ139" s="293">
        <v>6.5</v>
      </c>
      <c r="AK139" s="292">
        <v>0.45</v>
      </c>
      <c r="AL139" s="296">
        <v>0.95</v>
      </c>
    </row>
    <row r="140" spans="1:38" ht="12.75">
      <c r="A140" s="129" t="str">
        <f>IF(AND($D$34=0,$D$35=0,$D$36=0),$M$78,IF(AND($D$34&gt;0,$D$35&gt;0,$D$36=0),$M$87,IF(AND($D$34&gt;0,$D$35&gt;0,$D$36&gt;0),$M$109)))</f>
        <v>Beam Checks for Uncoped Flanges:</v>
      </c>
      <c r="B140" s="9"/>
      <c r="C140" s="9"/>
      <c r="D140" s="9"/>
      <c r="E140" s="9"/>
      <c r="F140" s="9"/>
      <c r="G140" s="9"/>
      <c r="H140" s="9"/>
      <c r="I140" s="13"/>
      <c r="M140" s="49" t="s">
        <v>348</v>
      </c>
      <c r="N140" s="70">
        <f>IF($D$17&gt;0,IF($D$39="Yes",($D$29-1)*$D$31,"N.A."),"N.A.")</f>
        <v>9</v>
      </c>
      <c r="O140" s="30" t="s">
        <v>229</v>
      </c>
      <c r="P140" s="30" t="s">
        <v>349</v>
      </c>
      <c r="V140" s="30"/>
      <c r="AE140" s="121"/>
      <c r="AF140" s="289" t="s">
        <v>6</v>
      </c>
      <c r="AG140" s="290">
        <v>91.6</v>
      </c>
      <c r="AH140" s="291">
        <v>22.3</v>
      </c>
      <c r="AI140" s="293">
        <v>1.52</v>
      </c>
      <c r="AJ140" s="291">
        <v>12</v>
      </c>
      <c r="AK140" s="293">
        <v>2.74</v>
      </c>
      <c r="AL140" s="294">
        <v>3.24</v>
      </c>
    </row>
    <row r="141" spans="1:41" ht="12.75">
      <c r="A141" s="72" t="str">
        <f>IF(AND($D$34=0,$D$35=0,$D$36=0),$M$79,IF(AND($D$34&gt;0,$D$35&gt;0,$D$36=0),$M$88,IF(AND($D$34&gt;0,$D$35&gt;0,$D$36&gt;0),$M$110)))</f>
        <v>  Shear Rupture Capacity of Beam Web:</v>
      </c>
      <c r="B141" s="9"/>
      <c r="C141" s="9"/>
      <c r="D141" s="9"/>
      <c r="E141" s="9"/>
      <c r="F141" s="9"/>
      <c r="G141" s="9"/>
      <c r="H141" s="9"/>
      <c r="I141" s="251"/>
      <c r="M141" s="32" t="s">
        <v>282</v>
      </c>
      <c r="N141" s="70">
        <f>IF($D$17&gt;0,IF($D$39="Yes",$D$33,"N.A."),"N.A.")</f>
        <v>3.5</v>
      </c>
      <c r="O141" s="30" t="s">
        <v>229</v>
      </c>
      <c r="P141" s="30" t="s">
        <v>365</v>
      </c>
      <c r="V141" s="30"/>
      <c r="AE141" s="121"/>
      <c r="AF141" s="289" t="s">
        <v>5</v>
      </c>
      <c r="AG141" s="290">
        <v>83.3</v>
      </c>
      <c r="AH141" s="291">
        <v>21.9</v>
      </c>
      <c r="AI141" s="293">
        <v>1.4</v>
      </c>
      <c r="AJ141" s="291">
        <v>11.9</v>
      </c>
      <c r="AK141" s="293">
        <v>2.5</v>
      </c>
      <c r="AL141" s="294">
        <v>3</v>
      </c>
      <c r="AN141" s="49"/>
      <c r="AO141" s="98"/>
    </row>
    <row r="142" spans="1:41" ht="12.75">
      <c r="A142" s="68" t="s">
        <v>222</v>
      </c>
      <c r="B142" s="173" t="str">
        <f>IF(AND($D$34=0,$D$35=0,$D$36=0),$N$80,IF(AND($D$34&gt;0,$D$35&gt;0,$D$35&lt;=0.5*$B$45,$D$36=0),$N$89,IF(AND($D$34&gt;0,$D$35&gt;0,$D$35&lt;=0.5*$B$45,$D$36&gt;0),$N$111)))</f>
        <v>N.A.</v>
      </c>
      <c r="C142" s="107" t="s">
        <v>210</v>
      </c>
      <c r="D142" s="327" t="str">
        <f>IF(AND($D$34=0,$D$35=0,$D$36=0),$P$80,IF(AND($D$34&gt;0,$D$35&gt;0,$D$35&lt;=0.5*$B$45,$D$36=0),$P$89,IF(AND($D$34&gt;0,$D$35&gt;0,$D$35&lt;=0.5*$B$45,$D$36&gt;0),$P$111)))</f>
        <v>Avn = not applicable for uncoped beam</v>
      </c>
      <c r="E142" s="9"/>
      <c r="F142" s="9"/>
      <c r="G142" s="9"/>
      <c r="H142" s="9"/>
      <c r="I142" s="251"/>
      <c r="M142" s="73" t="s">
        <v>343</v>
      </c>
      <c r="N142" s="40">
        <f>IF($D$17&gt;0,IF($D$39="Yes",0.9,"N.A."),"N.A.")</f>
        <v>0.9</v>
      </c>
      <c r="O142" s="30"/>
      <c r="P142" s="74" t="s">
        <v>344</v>
      </c>
      <c r="R142" s="74"/>
      <c r="V142" s="30"/>
      <c r="AE142" s="121"/>
      <c r="AF142" s="289" t="s">
        <v>4</v>
      </c>
      <c r="AG142" s="290">
        <v>75.9</v>
      </c>
      <c r="AH142" s="291">
        <v>21.5</v>
      </c>
      <c r="AI142" s="293">
        <v>1.28</v>
      </c>
      <c r="AJ142" s="291">
        <v>11.8</v>
      </c>
      <c r="AK142" s="293">
        <v>2.3</v>
      </c>
      <c r="AL142" s="294">
        <v>2.7</v>
      </c>
      <c r="AN142" s="49"/>
      <c r="AO142" s="98"/>
    </row>
    <row r="143" spans="1:41" ht="12.75">
      <c r="A143" s="68" t="s">
        <v>223</v>
      </c>
      <c r="B143" s="172" t="str">
        <f>IF(AND($D$34=0,$D$35=0,$D$36=0),$N$81,IF(AND($D$34&gt;0,$D$35&gt;0,$D$35&lt;=0.5*$B$45,$D$36=0),$N$90,IF(AND($D$34&gt;0,$D$35&gt;0,$D$35&lt;=0.5*$B$45,$D$36&gt;0),$N$112)))</f>
        <v>N.A.</v>
      </c>
      <c r="C143" s="107" t="s">
        <v>206</v>
      </c>
      <c r="D143" s="328" t="str">
        <f>IF(AND($D$34=0,$D$35=0,$D$36=0),$P$81,IF(AND($D$34&gt;0,$D$35&gt;0,$D$35&lt;=0.5*$B$45,$D$36=0),$P$90,IF(AND($D$34&gt;0,$D$35&gt;0,$D$35&lt;=0.5*$B$45,$D$36&gt;0),$P$112)))</f>
        <v>Rvn = not applicable for uncoped beam</v>
      </c>
      <c r="E143" s="9"/>
      <c r="F143" s="9"/>
      <c r="G143" s="9"/>
      <c r="H143" s="9"/>
      <c r="I143" s="251">
        <f>IF($B$143="N.A.","",IF($B$143&gt;=$D$16,"Rvn &gt;= R,  O.K.  ","Rvn &lt; R, N.G.  "))</f>
      </c>
      <c r="L143" s="40"/>
      <c r="M143" s="73" t="s">
        <v>345</v>
      </c>
      <c r="N143" s="40">
        <f>IF($D$17&gt;0,IF($D$39="Yes",$N$142*2*$N$136*(((2*SQRT(2*$N$137*$N$138*$N$139/($N$138+$N$139))+$N$141/2)*($N$138+$N$139))/($N$138*$N$139)),"N.A."),"N.A.")</f>
        <v>37.96065576653459</v>
      </c>
      <c r="O143" s="30" t="s">
        <v>206</v>
      </c>
      <c r="P143" s="74" t="s">
        <v>364</v>
      </c>
      <c r="V143" s="30"/>
      <c r="AE143" s="121"/>
      <c r="AF143" s="289" t="s">
        <v>15</v>
      </c>
      <c r="AG143" s="290">
        <v>68.8</v>
      </c>
      <c r="AH143" s="291">
        <v>21.1</v>
      </c>
      <c r="AI143" s="293">
        <v>1.16</v>
      </c>
      <c r="AJ143" s="291">
        <v>11.7</v>
      </c>
      <c r="AK143" s="293">
        <v>2.11</v>
      </c>
      <c r="AL143" s="294">
        <v>2.51</v>
      </c>
      <c r="AN143" s="49" t="str">
        <f>IF(AO143="","N.A.","SR =")</f>
        <v>N.A.</v>
      </c>
      <c r="AO143" s="98">
        <f>IF($B$143="N.A.","",$D$16/$B$143)</f>
      </c>
    </row>
    <row r="144" spans="1:41" ht="12.75">
      <c r="A144" s="18"/>
      <c r="B144" s="9"/>
      <c r="C144" s="9"/>
      <c r="D144" s="9"/>
      <c r="E144" s="9"/>
      <c r="F144" s="9"/>
      <c r="G144" s="9"/>
      <c r="H144" s="9"/>
      <c r="I144" s="251"/>
      <c r="M144" s="49" t="s">
        <v>338</v>
      </c>
      <c r="N144" s="60">
        <f>IF($D$17&gt;0,IF($D$39="Yes",$N$143/1.5,"N.A."),"N.A.")</f>
        <v>25.307103844356394</v>
      </c>
      <c r="O144" s="30" t="s">
        <v>206</v>
      </c>
      <c r="P144" s="37" t="s">
        <v>347</v>
      </c>
      <c r="V144" s="30"/>
      <c r="AE144" s="121"/>
      <c r="AF144" s="289" t="s">
        <v>14</v>
      </c>
      <c r="AG144" s="290">
        <v>62.1</v>
      </c>
      <c r="AH144" s="291">
        <v>20.7</v>
      </c>
      <c r="AI144" s="293">
        <v>1.06</v>
      </c>
      <c r="AJ144" s="291">
        <v>11.6</v>
      </c>
      <c r="AK144" s="293">
        <v>1.91</v>
      </c>
      <c r="AL144" s="294">
        <v>2.31</v>
      </c>
      <c r="AN144" s="49"/>
      <c r="AO144" s="98"/>
    </row>
    <row r="145" spans="1:38" ht="12.75">
      <c r="A145" s="72" t="str">
        <f>IF(AND($D$34=0,$D$35=0,$D$36=0),$M$82,IF(AND($D$34&gt;0,$D$35&gt;0,$D$36=0),$M$91,IF(AND($D$34&gt;0,$D$35&gt;0,$D$36&gt;0),$M$113)))</f>
        <v>  Net Tension Capacity of Beam:</v>
      </c>
      <c r="B145" s="9"/>
      <c r="C145" s="9"/>
      <c r="D145" s="9"/>
      <c r="E145" s="9"/>
      <c r="F145" s="9"/>
      <c r="G145" s="9"/>
      <c r="H145" s="9"/>
      <c r="I145" s="251"/>
      <c r="M145" s="56" t="s">
        <v>182</v>
      </c>
      <c r="N145" s="56"/>
      <c r="O145" s="56"/>
      <c r="P145" s="37"/>
      <c r="V145" s="30"/>
      <c r="AE145" s="121"/>
      <c r="AF145" s="289" t="s">
        <v>13</v>
      </c>
      <c r="AG145" s="290">
        <v>56.4</v>
      </c>
      <c r="AH145" s="291">
        <v>20.4</v>
      </c>
      <c r="AI145" s="292">
        <v>0.96</v>
      </c>
      <c r="AJ145" s="291">
        <v>11.5</v>
      </c>
      <c r="AK145" s="293">
        <v>1.75</v>
      </c>
      <c r="AL145" s="294">
        <v>2.15</v>
      </c>
    </row>
    <row r="146" spans="1:38" ht="12.75">
      <c r="A146" s="50" t="s">
        <v>46</v>
      </c>
      <c r="B146" s="173">
        <f>IF(AND($D$34=0,$D$35=0,$D$36=0),$N$83,IF(AND($D$34&gt;0,$D$35&gt;0,$D$35&lt;=0.5*$B$45,$D$36=0),$N$92,IF(AND($D$34&gt;0,$D$35&gt;0,$D$35&lt;=0.5*$B$45,$D$36&gt;0),$N$114)))</f>
        <v>3.905</v>
      </c>
      <c r="C146" s="9"/>
      <c r="D146" s="327" t="str">
        <f>IF(AND($D$34=0,$D$35=0,$D$36=0),$P$83,IF(AND($D$34&gt;0,$D$35&gt;0,$D$35&lt;=0.5*$B$45,$D$36=0),$P$92,IF(AND($D$34&gt;0,$D$35&gt;0,$D$35&lt;=0.5*$B$45,$D$36&gt;0),$P$114)))</f>
        <v>Atn = Avn = L*tw</v>
      </c>
      <c r="E146" s="9"/>
      <c r="F146" s="9"/>
      <c r="G146" s="9"/>
      <c r="H146" s="9"/>
      <c r="I146" s="251"/>
      <c r="M146" s="32" t="s">
        <v>184</v>
      </c>
      <c r="N146" s="70">
        <f>IF($D$17&gt;0,IF($D$39="Yes",$D$46+$D$37*($D$38/$D$13),"N.A."),"N.A.")</f>
        <v>0.4</v>
      </c>
      <c r="O146" s="30" t="s">
        <v>229</v>
      </c>
      <c r="P146" s="30" t="s">
        <v>185</v>
      </c>
      <c r="V146" s="30"/>
      <c r="AE146" s="121"/>
      <c r="AF146" s="289" t="s">
        <v>588</v>
      </c>
      <c r="AG146" s="290">
        <v>51.3</v>
      </c>
      <c r="AH146" s="291">
        <v>20</v>
      </c>
      <c r="AI146" s="292">
        <v>0.89</v>
      </c>
      <c r="AJ146" s="291">
        <v>11.4</v>
      </c>
      <c r="AK146" s="293">
        <v>1.59</v>
      </c>
      <c r="AL146" s="294">
        <v>1.99</v>
      </c>
    </row>
    <row r="147" spans="1:41" ht="12.75">
      <c r="A147" s="50" t="s">
        <v>47</v>
      </c>
      <c r="B147" s="172">
        <f>IF(AND($D$34=0,$D$35=0,$D$36=0),$N$84,IF(AND($D$34&gt;0,$D$35&gt;0,$D$35&lt;=0.5*$B$45,$D$36=0),$N$93,IF(AND($D$34&gt;0,$D$35&gt;0,$D$35&lt;=0.5*$B$45,$D$36&gt;0),$N$115)))</f>
        <v>117.14999999999999</v>
      </c>
      <c r="C147" s="9"/>
      <c r="D147" s="328" t="str">
        <f>IF(AND($D$34=0,$D$35=0,$D$36=0),$P$84,IF(AND($D$34&gt;0,$D$35&gt;0,$D$35&lt;=0.5*$B$45,$D$36=0),$P$93,IF(AND($D$34&gt;0,$D$35&gt;0,$D$35&lt;=0.5*$B$45,$D$36&gt;0),$P$115)))</f>
        <v>Rtn = (0.60*Fyb*Atg)</v>
      </c>
      <c r="E147" s="9"/>
      <c r="F147" s="9"/>
      <c r="G147" s="9"/>
      <c r="H147" s="9"/>
      <c r="I147" s="251" t="str">
        <f>IF($D$17&gt;0,IF($B$147&gt;=$D$17,"Rtn &gt;= P,  O.K.  ","Rtn &lt; P, N.G.  "),"")</f>
        <v>Rtn &gt;= P,  O.K.  </v>
      </c>
      <c r="M147" s="49" t="s">
        <v>304</v>
      </c>
      <c r="N147" s="60">
        <f>IF($D$17&gt;0,IF($D$39="Yes",MAX($N$164,$N$166,$N$168,$N$170,$N$172,$N$174,$N$176,$N$178,$N$180,$N$182,$N$184,$N$186),"N.A."),"N.A.")</f>
        <v>3.2329424307036243</v>
      </c>
      <c r="O147" s="30" t="s">
        <v>206</v>
      </c>
      <c r="P147" s="56" t="str">
        <f>LOOKUP($N$147,$N$164:$N$186,$P$164:$P$186)</f>
        <v>Rw = 4*Pb-Pb*(4*a+6*S)/T</v>
      </c>
      <c r="V147" s="30"/>
      <c r="AE147" s="121"/>
      <c r="AF147" s="289" t="s">
        <v>589</v>
      </c>
      <c r="AG147" s="290">
        <v>46.3</v>
      </c>
      <c r="AH147" s="291">
        <v>19.7</v>
      </c>
      <c r="AI147" s="292">
        <v>0.81</v>
      </c>
      <c r="AJ147" s="291">
        <v>11.3</v>
      </c>
      <c r="AK147" s="293">
        <v>1.44</v>
      </c>
      <c r="AL147" s="294">
        <v>1.84</v>
      </c>
      <c r="AN147" s="49" t="str">
        <f>IF(AO147="","N.A.","SR =")</f>
        <v>SR =</v>
      </c>
      <c r="AO147" s="98">
        <f>IF($D$17&gt;0,$D$17/$B$147,"")</f>
        <v>0.08536064874093044</v>
      </c>
    </row>
    <row r="148" spans="1:41" ht="12.75">
      <c r="A148" s="18"/>
      <c r="B148" s="9"/>
      <c r="C148" s="9"/>
      <c r="D148" s="9"/>
      <c r="E148" s="9"/>
      <c r="F148" s="9"/>
      <c r="G148" s="9"/>
      <c r="H148" s="9"/>
      <c r="I148" s="13"/>
      <c r="M148" s="49" t="s">
        <v>201</v>
      </c>
      <c r="N148" s="60">
        <f>IF($D$17&gt;0,IF($D$39="Yes",$N$147/($N$146*($D$33-$N$6)),"N.A."),"N.A.")</f>
        <v>3.1540901762962186</v>
      </c>
      <c r="O148" s="37" t="s">
        <v>212</v>
      </c>
      <c r="P148" s="37" t="s">
        <v>276</v>
      </c>
      <c r="V148" s="30"/>
      <c r="AE148" s="121"/>
      <c r="AF148" s="289" t="s">
        <v>590</v>
      </c>
      <c r="AG148" s="290">
        <v>42.1</v>
      </c>
      <c r="AH148" s="291">
        <v>19.5</v>
      </c>
      <c r="AI148" s="292">
        <v>0.73</v>
      </c>
      <c r="AJ148" s="291">
        <v>11.2</v>
      </c>
      <c r="AK148" s="293">
        <v>1.32</v>
      </c>
      <c r="AL148" s="294">
        <v>1.72</v>
      </c>
      <c r="AN148" s="49"/>
      <c r="AO148" s="98"/>
    </row>
    <row r="149" spans="1:41" ht="12.75">
      <c r="A149" s="18"/>
      <c r="B149" s="9"/>
      <c r="C149" s="9"/>
      <c r="D149" s="9"/>
      <c r="E149" s="9"/>
      <c r="F149" s="9"/>
      <c r="G149" s="9"/>
      <c r="H149" s="9"/>
      <c r="I149" s="13"/>
      <c r="M149" s="49" t="s">
        <v>214</v>
      </c>
      <c r="N149" s="60">
        <f>IF($D$17&gt;0,IF($D$39="Yes",0.4*$D$13,"N.A."),"N.A.")</f>
        <v>20</v>
      </c>
      <c r="O149" s="37" t="s">
        <v>212</v>
      </c>
      <c r="P149" s="37" t="s">
        <v>242</v>
      </c>
      <c r="T149" s="121"/>
      <c r="V149" s="30"/>
      <c r="AE149" s="121"/>
      <c r="AF149" s="289" t="s">
        <v>591</v>
      </c>
      <c r="AG149" s="290">
        <v>38.2</v>
      </c>
      <c r="AH149" s="291">
        <v>19.3</v>
      </c>
      <c r="AI149" s="292">
        <v>0.67</v>
      </c>
      <c r="AJ149" s="291">
        <v>11.2</v>
      </c>
      <c r="AK149" s="293">
        <v>1.2</v>
      </c>
      <c r="AL149" s="294">
        <v>1.6</v>
      </c>
      <c r="AN149" s="49"/>
      <c r="AO149" s="98"/>
    </row>
    <row r="150" spans="1:41" ht="12.75">
      <c r="A150" s="19"/>
      <c r="B150" s="20"/>
      <c r="C150" s="119"/>
      <c r="D150" s="20"/>
      <c r="E150" s="20"/>
      <c r="F150" s="20"/>
      <c r="G150" s="20"/>
      <c r="H150" s="20"/>
      <c r="I150" s="122" t="s">
        <v>122</v>
      </c>
      <c r="M150" s="28" t="s">
        <v>183</v>
      </c>
      <c r="O150" s="56"/>
      <c r="P150" s="30"/>
      <c r="T150" s="121"/>
      <c r="V150" s="30"/>
      <c r="AE150" s="121"/>
      <c r="AF150" s="289" t="s">
        <v>592</v>
      </c>
      <c r="AG150" s="290">
        <v>35.1</v>
      </c>
      <c r="AH150" s="291">
        <v>19</v>
      </c>
      <c r="AI150" s="292">
        <v>0.655</v>
      </c>
      <c r="AJ150" s="291">
        <v>11.3</v>
      </c>
      <c r="AK150" s="293">
        <v>1.06</v>
      </c>
      <c r="AL150" s="294">
        <v>1.46</v>
      </c>
      <c r="AN150" s="49"/>
      <c r="AO150" s="98"/>
    </row>
    <row r="151" spans="1:41" ht="12.75">
      <c r="A151" s="16"/>
      <c r="B151" s="17"/>
      <c r="C151" s="17"/>
      <c r="D151" s="17"/>
      <c r="E151" s="17"/>
      <c r="F151" s="17"/>
      <c r="G151" s="17"/>
      <c r="H151" s="17"/>
      <c r="I151" s="348"/>
      <c r="M151" s="32" t="s">
        <v>150</v>
      </c>
      <c r="N151" s="60" t="str">
        <f>IF($D$17&gt;0,IF($D$39="Yes",IF($D$37&gt;0,2*(($D$29-1)*$D$31+2*$D$32),"N.A."),"N.A."),"N.A.")</f>
        <v>N.A.</v>
      </c>
      <c r="O151" s="37" t="s">
        <v>229</v>
      </c>
      <c r="P151" s="37" t="s">
        <v>26</v>
      </c>
      <c r="T151" s="121"/>
      <c r="V151" s="30"/>
      <c r="AE151" s="121"/>
      <c r="AF151" s="289" t="s">
        <v>593</v>
      </c>
      <c r="AG151" s="290">
        <v>31.1</v>
      </c>
      <c r="AH151" s="291">
        <v>18.7</v>
      </c>
      <c r="AI151" s="292">
        <v>0.59</v>
      </c>
      <c r="AJ151" s="291">
        <v>11.2</v>
      </c>
      <c r="AK151" s="292">
        <v>0.94</v>
      </c>
      <c r="AL151" s="294">
        <v>1.34</v>
      </c>
      <c r="AN151" s="49"/>
      <c r="AO151" s="98"/>
    </row>
    <row r="152" spans="1:41" ht="12.75">
      <c r="A152" s="129" t="str">
        <f>IF(AND($D$34=0,$D$35=0,$D$36=0),$R$78,IF(AND($D$34&gt;0,$D$35&gt;0,$D$36=0),$R$87,IF(AND($D$34&gt;0,$D$35&gt;0,$D$36&gt;0),$R$109)))</f>
        <v>Beam Checks for Uncoped Flanges (continued):</v>
      </c>
      <c r="B152" s="9"/>
      <c r="C152" s="9"/>
      <c r="D152" s="9"/>
      <c r="E152" s="9"/>
      <c r="F152" s="9"/>
      <c r="G152" s="9"/>
      <c r="H152" s="9"/>
      <c r="I152" s="251"/>
      <c r="M152" s="32" t="s">
        <v>139</v>
      </c>
      <c r="N152" s="42" t="str">
        <f>IF($D$17&gt;0,IF($D$39="Yes",IF($D$37&gt;0,$D$17/$N$151,"N.A."),"N.A."),"N.A.")</f>
        <v>N.A.</v>
      </c>
      <c r="O152" s="37" t="s">
        <v>140</v>
      </c>
      <c r="P152" s="37" t="s">
        <v>159</v>
      </c>
      <c r="T152" s="121"/>
      <c r="V152" s="30"/>
      <c r="AE152" s="121"/>
      <c r="AF152" s="289" t="s">
        <v>594</v>
      </c>
      <c r="AG152" s="290">
        <v>28.5</v>
      </c>
      <c r="AH152" s="291">
        <v>18.6</v>
      </c>
      <c r="AI152" s="292">
        <v>0.535</v>
      </c>
      <c r="AJ152" s="291">
        <v>11.1</v>
      </c>
      <c r="AK152" s="292">
        <v>0.87</v>
      </c>
      <c r="AL152" s="294">
        <v>1.27</v>
      </c>
      <c r="AN152" s="49"/>
      <c r="AO152" s="98"/>
    </row>
    <row r="153" spans="1:41" ht="12.75">
      <c r="A153" s="18"/>
      <c r="B153" s="9"/>
      <c r="C153" s="9"/>
      <c r="D153" s="9"/>
      <c r="E153" s="9"/>
      <c r="F153" s="9"/>
      <c r="G153" s="9"/>
      <c r="H153" s="9"/>
      <c r="I153" s="13"/>
      <c r="M153" s="73" t="s">
        <v>48</v>
      </c>
      <c r="N153" s="42" t="str">
        <f>IF($D$17&gt;0,IF($D$39="Yes",IF($D$37&gt;0,$N$152/((SQRT(2)/2)*0.3*70),"N.A."),"N.A."),"N.A.")</f>
        <v>N.A.</v>
      </c>
      <c r="O153" s="37" t="s">
        <v>280</v>
      </c>
      <c r="P153" s="74" t="s">
        <v>49</v>
      </c>
      <c r="V153" s="30"/>
      <c r="AE153" s="121"/>
      <c r="AF153" s="289" t="s">
        <v>595</v>
      </c>
      <c r="AG153" s="290">
        <v>25.3</v>
      </c>
      <c r="AH153" s="291">
        <v>18.4</v>
      </c>
      <c r="AI153" s="292">
        <v>0.48</v>
      </c>
      <c r="AJ153" s="291">
        <v>11.1</v>
      </c>
      <c r="AK153" s="292">
        <v>0.77</v>
      </c>
      <c r="AL153" s="294">
        <v>1.17</v>
      </c>
      <c r="AN153" s="49"/>
      <c r="AO153" s="98"/>
    </row>
    <row r="154" spans="1:41" ht="12.75">
      <c r="A154" s="66" t="str">
        <f>IF(AND($D$34=0,$D$35=0,$D$36=0),$M$85,IF(AND($D$34&gt;0,$D$35&gt;0,$D$35&lt;=0.5*$B$45,$D$36=0),$M$94,IF(AND($D$34&gt;0,$D$35&gt;0,$D$35&lt;=0.5*$B$45,$D$36&gt;0),$M$116)))</f>
        <v>  Web Buckling (Flexural Rupture) Capacity for Uncoped Flanges:</v>
      </c>
      <c r="B154" s="9"/>
      <c r="C154" s="9"/>
      <c r="D154" s="9"/>
      <c r="E154" s="9"/>
      <c r="F154" s="9"/>
      <c r="G154" s="9"/>
      <c r="H154" s="9"/>
      <c r="I154" s="251"/>
      <c r="M154" s="73" t="s">
        <v>224</v>
      </c>
      <c r="N154" s="42" t="str">
        <f>IF($D$17&gt;0,IF($D$39="Yes",IF($D$37&gt;0,MIN(0.4*$D$38*$D$37/((SQRT(2)/2)*0.3*70),0.4*$D$13*$D$48/((SQRT(2)/2)*0.3*70)),"N.A."),"N.A."),"N.A.")</f>
        <v>N.A.</v>
      </c>
      <c r="O154" s="37" t="s">
        <v>280</v>
      </c>
      <c r="P154" s="74" t="s">
        <v>224</v>
      </c>
      <c r="Q154" s="37" t="str">
        <f>IF(0.4*$D$38*$D$37/((SQRT(2)/2)*0.3*70)&lt;=0.4*$D$13*$D$48/((SQRT(2)/2)*0.3*70),"0.40*Fyd*td/((SQRT(2)/2)*0.30*70)","0.40*Fyg*tfg/((SQRT(2)/2)*0.30*70)")</f>
        <v>0.40*Fyd*td/((SQRT(2)/2)*0.30*70)</v>
      </c>
      <c r="V154" s="30"/>
      <c r="AD154" s="8"/>
      <c r="AE154" s="121"/>
      <c r="AF154" s="289" t="s">
        <v>596</v>
      </c>
      <c r="AG154" s="290">
        <v>22.3</v>
      </c>
      <c r="AH154" s="291">
        <v>18.2</v>
      </c>
      <c r="AI154" s="292">
        <v>0.425</v>
      </c>
      <c r="AJ154" s="291">
        <v>11</v>
      </c>
      <c r="AK154" s="292">
        <v>0.68</v>
      </c>
      <c r="AL154" s="294">
        <v>1.08</v>
      </c>
      <c r="AN154" s="49"/>
      <c r="AO154" s="98"/>
    </row>
    <row r="155" spans="1:41" ht="12.75">
      <c r="A155" s="329" t="s">
        <v>128</v>
      </c>
      <c r="B155" s="173" t="str">
        <f>IF(AND($D$34=0,$D$35=0,$D$36=0),"N.A.",IF(AND($D$34&gt;0,$D$35&gt;0,$D$35&lt;=0.5*$B$45,$D$36=0),$N$95,IF(AND($D$34&gt;0,$D$35&gt;0,$D$35&lt;=0.5*$B$45,$D$36&gt;0),$N$117)))</f>
        <v>N.A.</v>
      </c>
      <c r="C155" s="107" t="s">
        <v>229</v>
      </c>
      <c r="D155" s="327" t="str">
        <f>IF(AND($D$34=0,$D$35=0,$D$36=0),"ho = not applicable for uncoped beam",IF(AND($D$34&gt;0,$D$35&gt;0,$D$35&lt;=0.5*$B$45,$D$36=0),$P$95,IF(AND($D$34&gt;0,$D$35&gt;0,$D$35&lt;=0.5*$B$45,$D$36&gt;0),$P$117)))</f>
        <v>ho = not applicable for uncoped beam</v>
      </c>
      <c r="E155" s="24"/>
      <c r="F155" s="5"/>
      <c r="G155" s="9"/>
      <c r="H155" s="9"/>
      <c r="I155" s="251"/>
      <c r="L155" s="232" t="s">
        <v>350</v>
      </c>
      <c r="M155" s="226" t="s">
        <v>181</v>
      </c>
      <c r="N155" s="226"/>
      <c r="O155" s="226"/>
      <c r="P155" s="228"/>
      <c r="V155" s="30"/>
      <c r="AD155" s="8"/>
      <c r="AE155" s="121"/>
      <c r="AF155" s="289" t="s">
        <v>597</v>
      </c>
      <c r="AG155" s="290">
        <v>20.8</v>
      </c>
      <c r="AH155" s="291">
        <v>18.5</v>
      </c>
      <c r="AI155" s="292">
        <v>0.495</v>
      </c>
      <c r="AJ155" s="293">
        <v>7.64</v>
      </c>
      <c r="AK155" s="292">
        <v>0.81</v>
      </c>
      <c r="AL155" s="294">
        <v>1.21</v>
      </c>
      <c r="AN155" s="49"/>
      <c r="AO155" s="98"/>
    </row>
    <row r="156" spans="1:41" ht="12.75">
      <c r="A156" s="329" t="s">
        <v>251</v>
      </c>
      <c r="B156" s="163" t="str">
        <f>IF(AND($D$34=0,$D$35=0,$D$36=0),"N.A.",IF(AND($D$34&gt;0,$D$35&gt;0,$D$35&lt;=0.5*$B$45,$D$36=0),$N$96,IF(AND($D$34&gt;0,$D$35&gt;0,$D$35&lt;=0.5*$B$45,$D$36&gt;0),$N$118)))</f>
        <v>N.A.</v>
      </c>
      <c r="C156" s="107" t="s">
        <v>229</v>
      </c>
      <c r="D156" s="327" t="str">
        <f>IF(AND($D$34=0,$D$35=0,$D$36=0),"ho = not applicable for uncoped beam",IF(AND($D$34&gt;0,$D$35&gt;0,$D$35&lt;=0.5*$B$45,$D$36=0),$P$96,IF(AND($D$34&gt;0,$D$35&gt;0,$D$35&lt;=0.5*$B$45,$D$36&gt;0),$P$118)))</f>
        <v>ho = not applicable for uncoped beam</v>
      </c>
      <c r="E156" s="24"/>
      <c r="F156" s="5"/>
      <c r="G156" s="9"/>
      <c r="H156" s="9"/>
      <c r="I156" s="251"/>
      <c r="M156" s="225" t="s">
        <v>184</v>
      </c>
      <c r="N156" s="224">
        <f>IF($D$17&gt;0,IF($D$39="Yes",$D$46+$D$37*($D$38/$D$13),"N.A."),"N.A.")</f>
        <v>0.4</v>
      </c>
      <c r="O156" s="228" t="s">
        <v>229</v>
      </c>
      <c r="P156" s="228" t="s">
        <v>185</v>
      </c>
      <c r="V156" s="30"/>
      <c r="AD156" s="8"/>
      <c r="AE156" s="121"/>
      <c r="AF156" s="289" t="s">
        <v>598</v>
      </c>
      <c r="AG156" s="290">
        <v>19.1</v>
      </c>
      <c r="AH156" s="291">
        <v>18.4</v>
      </c>
      <c r="AI156" s="292">
        <v>0.45</v>
      </c>
      <c r="AJ156" s="293">
        <v>7.59</v>
      </c>
      <c r="AK156" s="292">
        <v>0.75</v>
      </c>
      <c r="AL156" s="294">
        <v>1.15</v>
      </c>
      <c r="AN156" s="49"/>
      <c r="AO156" s="98"/>
    </row>
    <row r="157" spans="1:41" ht="12.75">
      <c r="A157" s="329" t="s">
        <v>17</v>
      </c>
      <c r="B157" s="163" t="str">
        <f>IF(AND($D$34=0,$D$35=0,$D$36=0),"N.A.",IF(AND($D$34&gt;0,$D$35&gt;0,$D$35&lt;=0.5*$B$45,$D$36=0),$N$97,IF(AND($D$34&gt;0,$D$35&gt;0,$D$35&lt;=0.5*$B$45,$D$36&gt;0),$N$119)))</f>
        <v>N.A.</v>
      </c>
      <c r="C157" s="107" t="s">
        <v>229</v>
      </c>
      <c r="D157" s="327" t="str">
        <f>IF(AND($D$34=0,$D$35=0,$D$36=0),"ho = not applicable for uncoped beam",IF(AND($D$34&gt;0,$D$35&gt;0,$D$35&lt;=0.5*$B$45,$D$36=0),$P$97,IF(AND($D$34&gt;0,$D$35&gt;0,$D$35&lt;=0.5*$B$45,$D$36&gt;0),$P$119)))</f>
        <v>ho = not applicable for uncoped beam</v>
      </c>
      <c r="E157" s="24"/>
      <c r="F157" s="5"/>
      <c r="G157" s="9"/>
      <c r="H157" s="9"/>
      <c r="I157" s="251"/>
      <c r="M157" s="225" t="s">
        <v>154</v>
      </c>
      <c r="N157" s="221">
        <f>IF($D$17&gt;0,IF($D$39="Yes",MAX($N$165,$N$167,$N$169,$N$171,$N$173,$N$175,$N$177,$N$179,$N$181,$N$183,$N$185,$N$187),"N.A."),"N.A.")</f>
        <v>15.033821961620461</v>
      </c>
      <c r="O157" s="228" t="s">
        <v>136</v>
      </c>
      <c r="P157" s="226" t="str">
        <f>LOOKUP($N$157,$N$165:$N$187,$P$165:$P$187)</f>
        <v>Mw = Rw*(a+2*S)-3*Pb*S</v>
      </c>
      <c r="V157" s="30"/>
      <c r="AD157" s="8"/>
      <c r="AE157" s="121"/>
      <c r="AF157" s="289" t="s">
        <v>599</v>
      </c>
      <c r="AG157" s="290">
        <v>17.6</v>
      </c>
      <c r="AH157" s="291">
        <v>18.2</v>
      </c>
      <c r="AI157" s="292">
        <v>0.415</v>
      </c>
      <c r="AJ157" s="293">
        <v>7.56</v>
      </c>
      <c r="AK157" s="292">
        <v>0.695</v>
      </c>
      <c r="AL157" s="294">
        <v>1.1</v>
      </c>
      <c r="AN157" s="49"/>
      <c r="AO157" s="98"/>
    </row>
    <row r="158" spans="1:41" ht="12.75">
      <c r="A158" s="329" t="s">
        <v>286</v>
      </c>
      <c r="B158" s="168" t="str">
        <f>IF(AND($D$34=0,$D$35=0,$D$36=0),"N.A.",IF(AND($D$34&gt;0,$D$35&gt;0,$D$35&lt;=0.5*$B$45,$D$36=0),$N$98,IF(AND($D$34&gt;0,$D$35&gt;0,$D$35&lt;=0.5*$B$45,$D$36&gt;0),$N$120)))</f>
        <v>N.A.</v>
      </c>
      <c r="C158" s="107" t="s">
        <v>309</v>
      </c>
      <c r="D158" s="327" t="str">
        <f>IF(AND($D$34=0,$D$35=0,$D$36=0),"ho = not applicable for uncoped beam",IF(AND($D$34&gt;0,$D$35&gt;0,$D$35&lt;=0.5*$B$45,$D$36=0),$P$98,IF(AND($D$34&gt;0,$D$35&gt;0,$D$35&lt;=0.5*$B$45,$D$36&gt;0),$P$120)))</f>
        <v>ho = not applicable for uncoped beam</v>
      </c>
      <c r="E158" s="24"/>
      <c r="F158" s="2"/>
      <c r="G158" s="9"/>
      <c r="H158" s="79"/>
      <c r="I158" s="251"/>
      <c r="M158" s="225" t="s">
        <v>144</v>
      </c>
      <c r="N158" s="221">
        <f>IF($D$17&gt;0,IF($D$39="Yes",$N$157/(($D$33-$N$6)*$N$156^2/6),"N.A."),"N.A.")</f>
        <v>220.00715065786036</v>
      </c>
      <c r="O158" s="228" t="s">
        <v>212</v>
      </c>
      <c r="P158" s="226" t="s">
        <v>132</v>
      </c>
      <c r="V158" s="30"/>
      <c r="AE158" s="121"/>
      <c r="AF158" s="289" t="s">
        <v>600</v>
      </c>
      <c r="AG158" s="290">
        <v>16.2</v>
      </c>
      <c r="AH158" s="291">
        <v>18.1</v>
      </c>
      <c r="AI158" s="292">
        <v>0.39</v>
      </c>
      <c r="AJ158" s="293">
        <v>7.53</v>
      </c>
      <c r="AK158" s="292">
        <v>0.63</v>
      </c>
      <c r="AL158" s="294">
        <v>1.03</v>
      </c>
      <c r="AN158" s="49"/>
      <c r="AO158" s="98"/>
    </row>
    <row r="159" spans="1:41" ht="12.75">
      <c r="A159" s="329" t="s">
        <v>187</v>
      </c>
      <c r="B159" s="168" t="str">
        <f>IF(AND($D$34=0,$D$35=0,$D$36=0),"N.A.",IF(AND($D$34&gt;0,$D$35&gt;0,$D$35&lt;=0.5*$B$45,$D$36=0),$N$99,IF(AND($D$34&gt;0,$D$35&gt;0,$D$35&lt;=0.5*$B$45,$D$36&gt;0),$N$121)))</f>
        <v>N.A.</v>
      </c>
      <c r="C159" s="107" t="s">
        <v>308</v>
      </c>
      <c r="D159" s="327" t="str">
        <f>IF(AND($D$34=0,$D$35=0,$D$36=0),"ho = not applicable for uncoped beam",IF(AND($D$34&gt;0,$D$35&gt;0,$D$35&lt;=0.5*$B$45,$D$36=0),$P$99,IF(AND($D$34&gt;0,$D$35&gt;0,$D$35&lt;=0.5*$B$45,$D$36&gt;0),$P$121)))</f>
        <v>ho = not applicable for uncoped beam</v>
      </c>
      <c r="E159" s="24"/>
      <c r="F159" s="2"/>
      <c r="G159" s="9"/>
      <c r="H159" s="9"/>
      <c r="I159" s="251"/>
      <c r="M159" s="225" t="s">
        <v>155</v>
      </c>
      <c r="N159" s="221">
        <f>IF($D$17&gt;0,IF($D$39="Yes",0.75*$D$13,"N.A."),"N.A.")</f>
        <v>37.5</v>
      </c>
      <c r="O159" s="228" t="s">
        <v>212</v>
      </c>
      <c r="P159" s="228" t="s">
        <v>186</v>
      </c>
      <c r="V159" s="30"/>
      <c r="AE159" s="121"/>
      <c r="AF159" s="289" t="s">
        <v>601</v>
      </c>
      <c r="AG159" s="290">
        <v>14.7</v>
      </c>
      <c r="AH159" s="291">
        <v>18</v>
      </c>
      <c r="AI159" s="292">
        <v>0.355</v>
      </c>
      <c r="AJ159" s="293">
        <v>7.5</v>
      </c>
      <c r="AK159" s="292">
        <v>0.57</v>
      </c>
      <c r="AL159" s="296">
        <v>0.972</v>
      </c>
      <c r="AN159" s="49"/>
      <c r="AO159" s="98"/>
    </row>
    <row r="160" spans="1:41" ht="12.75">
      <c r="A160" s="329" t="s">
        <v>129</v>
      </c>
      <c r="B160" s="168" t="str">
        <f>IF(AND($D$34=0,$D$35=0,$D$36=0),"N.A.",IF(AND($D$34&gt;0,$D$35&gt;0,$D$35&lt;=0.5*$B$45,$D$36=0),$N$100,IF(AND($D$34&gt;0,$D$35&gt;0,$D$35&lt;=0.5*$B$45,$D$36&gt;0),$N$122)))</f>
        <v>N.A.</v>
      </c>
      <c r="C160" s="105" t="s">
        <v>212</v>
      </c>
      <c r="D160" s="327" t="str">
        <f>IF(AND($D$34=0,$D$35=0,$D$36=0),"ho = not applicable for uncoped beam",IF(AND($D$34&gt;0,$D$35&gt;0,$D$35&lt;=0.5*$B$45,$D$36=0),$P$100,IF(AND($D$34&gt;0,$D$35&gt;0,$D$35&lt;=0.5*$B$45,$D$36&gt;0),$P$122)))</f>
        <v>ho = not applicable for uncoped beam</v>
      </c>
      <c r="E160" s="24"/>
      <c r="F160" s="2"/>
      <c r="G160" s="97"/>
      <c r="H160" s="9"/>
      <c r="I160" s="251"/>
      <c r="L160" s="226"/>
      <c r="M160" s="28" t="s">
        <v>357</v>
      </c>
      <c r="N160" s="226"/>
      <c r="O160" s="227"/>
      <c r="P160" s="226"/>
      <c r="Q160" s="226"/>
      <c r="R160" s="226"/>
      <c r="S160" s="226"/>
      <c r="T160" s="226"/>
      <c r="U160" s="226"/>
      <c r="V160" s="228"/>
      <c r="W160" s="226"/>
      <c r="X160" s="226"/>
      <c r="Y160" s="226"/>
      <c r="Z160" s="226"/>
      <c r="AA160" s="226"/>
      <c r="AB160" s="228"/>
      <c r="AC160" s="226"/>
      <c r="AD160" s="226"/>
      <c r="AE160" s="229"/>
      <c r="AF160" s="289" t="s">
        <v>602</v>
      </c>
      <c r="AG160" s="290">
        <v>13.5</v>
      </c>
      <c r="AH160" s="291">
        <v>18.1</v>
      </c>
      <c r="AI160" s="292">
        <v>0.36</v>
      </c>
      <c r="AJ160" s="293">
        <v>6.06</v>
      </c>
      <c r="AK160" s="292">
        <v>0.605</v>
      </c>
      <c r="AL160" s="294">
        <v>1.01</v>
      </c>
      <c r="AN160" s="49"/>
      <c r="AO160" s="98"/>
    </row>
    <row r="161" spans="1:41" ht="12.75">
      <c r="A161" s="329" t="s">
        <v>120</v>
      </c>
      <c r="B161" s="172" t="str">
        <f>IF(AND($D$34=0,$D$35=0,$D$36=0),"N.A.",IF(AND($D$34&gt;0,$D$35&gt;0,$D$35&lt;=0.5*$B$45,$D$36=0),$N$101,IF(AND($D$34&gt;0,$D$35&gt;0,$D$35&lt;=0.5*$B$45,$D$36&gt;0),$N$123)))</f>
        <v>N.A.</v>
      </c>
      <c r="C161" s="107" t="s">
        <v>206</v>
      </c>
      <c r="D161" s="327" t="str">
        <f>IF(AND($D$34=0,$D$35=0,$D$36=0),"ho = not applicable for uncoped beam",IF(AND($D$34&gt;0,$D$35&gt;0,$D$35&lt;=0.5*$B$45,$D$36=0),$P$101,IF(AND($D$34&gt;0,$D$35&gt;0,$D$35&lt;=0.5*$B$45,$D$36&gt;0),$P$123)))</f>
        <v>ho = not applicable for uncoped beam</v>
      </c>
      <c r="E161" s="24"/>
      <c r="F161" s="2"/>
      <c r="G161" s="44"/>
      <c r="H161" s="9"/>
      <c r="I161" s="251">
        <f>IF(AND($D$34=0,$D$35=0,$D$36=0),"",IF($B$161&gt;=$D$16,"Rwb &gt;= R,  O.K.  ","Rwb &lt; R, N.G.  "))</f>
      </c>
      <c r="L161" s="226"/>
      <c r="M161" s="32" t="s">
        <v>782</v>
      </c>
      <c r="N161" s="70">
        <f>$D$30-$D$49</f>
        <v>2.13</v>
      </c>
      <c r="O161" s="30" t="s">
        <v>229</v>
      </c>
      <c r="P161" s="30" t="s">
        <v>163</v>
      </c>
      <c r="S161" s="226"/>
      <c r="T161" s="228"/>
      <c r="U161" s="226"/>
      <c r="V161" s="228"/>
      <c r="W161" s="226"/>
      <c r="X161" s="226"/>
      <c r="Y161" s="226"/>
      <c r="Z161" s="226"/>
      <c r="AA161" s="226"/>
      <c r="AB161" s="228"/>
      <c r="AC161" s="226"/>
      <c r="AD161" s="226"/>
      <c r="AE161" s="229"/>
      <c r="AF161" s="289" t="s">
        <v>603</v>
      </c>
      <c r="AG161" s="290">
        <v>11.8</v>
      </c>
      <c r="AH161" s="291">
        <v>17.9</v>
      </c>
      <c r="AI161" s="292">
        <v>0.315</v>
      </c>
      <c r="AJ161" s="293">
        <v>6.02</v>
      </c>
      <c r="AK161" s="292">
        <v>0.525</v>
      </c>
      <c r="AL161" s="296">
        <v>0.927</v>
      </c>
      <c r="AN161" s="49" t="str">
        <f>IF(AO161="","N.A.","SR =")</f>
        <v>N.A.</v>
      </c>
      <c r="AO161" s="98">
        <f>IF(AND($D$34=0,$D$35=0,$D$36=0),"",$D$16/$B$161)</f>
      </c>
    </row>
    <row r="162" spans="1:41" ht="12.75">
      <c r="A162" s="18"/>
      <c r="B162" s="9"/>
      <c r="C162" s="9"/>
      <c r="D162" s="106"/>
      <c r="E162" s="23"/>
      <c r="F162" s="23"/>
      <c r="G162" s="23"/>
      <c r="H162" s="23"/>
      <c r="I162" s="13"/>
      <c r="L162" s="226"/>
      <c r="M162" s="32" t="s">
        <v>40</v>
      </c>
      <c r="N162" s="38">
        <f>$D$45-2*$D$49</f>
        <v>18.759999999999998</v>
      </c>
      <c r="O162" s="30" t="s">
        <v>229</v>
      </c>
      <c r="P162" s="30" t="s">
        <v>784</v>
      </c>
      <c r="S162" s="226"/>
      <c r="T162" s="226"/>
      <c r="U162" s="230" t="s">
        <v>55</v>
      </c>
      <c r="V162" s="231"/>
      <c r="W162" s="231"/>
      <c r="X162" s="231"/>
      <c r="Y162" s="231"/>
      <c r="Z162" s="231"/>
      <c r="AA162" s="231"/>
      <c r="AB162" s="231"/>
      <c r="AC162" s="231"/>
      <c r="AD162" s="231"/>
      <c r="AE162" s="229"/>
      <c r="AF162" s="289" t="s">
        <v>604</v>
      </c>
      <c r="AG162" s="290">
        <v>10.3</v>
      </c>
      <c r="AH162" s="291">
        <v>17.7</v>
      </c>
      <c r="AI162" s="292">
        <v>0.3</v>
      </c>
      <c r="AJ162" s="293">
        <v>6</v>
      </c>
      <c r="AK162" s="292">
        <v>0.425</v>
      </c>
      <c r="AL162" s="296">
        <v>0.827</v>
      </c>
      <c r="AN162" s="49"/>
      <c r="AO162" s="98"/>
    </row>
    <row r="163" spans="1:41" ht="12.75">
      <c r="A163" s="66" t="str">
        <f>IF(AND($D$34=0,$D$35=0,$D$36=0),$M$86,IF(AND($D$34&gt;0,$D$35&gt;0,$D$35&lt;=0.5*$B$45,$D$36=0),$M$102,IF(AND($D$34&gt;0,$D$35&gt;0,$D$35&lt;=0.5*$B$45,$D$36&gt;0),$M$124)))</f>
        <v>  Web Buckling (Flexural Local Buckling) Capacity for Uncoped Flanges:</v>
      </c>
      <c r="B163" s="330"/>
      <c r="C163" s="67"/>
      <c r="D163" s="67"/>
      <c r="E163" s="67"/>
      <c r="F163" s="9"/>
      <c r="G163" s="44"/>
      <c r="H163" s="9"/>
      <c r="I163" s="251"/>
      <c r="L163" s="226"/>
      <c r="M163" s="32" t="s">
        <v>306</v>
      </c>
      <c r="N163" s="40">
        <f>$D$17/$N$13</f>
        <v>1.25</v>
      </c>
      <c r="O163" s="30" t="s">
        <v>211</v>
      </c>
      <c r="P163" s="30" t="s">
        <v>164</v>
      </c>
      <c r="S163" s="226"/>
      <c r="T163" s="227">
        <v>1</v>
      </c>
      <c r="U163" s="227">
        <v>2</v>
      </c>
      <c r="V163" s="227">
        <v>3</v>
      </c>
      <c r="W163" s="227">
        <v>4</v>
      </c>
      <c r="X163" s="227">
        <v>5</v>
      </c>
      <c r="Y163" s="227">
        <v>6</v>
      </c>
      <c r="Z163" s="227">
        <v>7</v>
      </c>
      <c r="AA163" s="227">
        <v>8</v>
      </c>
      <c r="AB163" s="227">
        <v>9</v>
      </c>
      <c r="AC163" s="227">
        <v>10</v>
      </c>
      <c r="AD163" s="227">
        <v>11</v>
      </c>
      <c r="AE163" s="227">
        <v>12</v>
      </c>
      <c r="AF163" s="289" t="s">
        <v>605</v>
      </c>
      <c r="AG163" s="290">
        <v>29.5</v>
      </c>
      <c r="AH163" s="291">
        <v>17</v>
      </c>
      <c r="AI163" s="292">
        <v>0.585</v>
      </c>
      <c r="AJ163" s="291">
        <v>10.4</v>
      </c>
      <c r="AK163" s="292">
        <v>0.985</v>
      </c>
      <c r="AL163" s="294">
        <v>1.39</v>
      </c>
      <c r="AN163" s="49"/>
      <c r="AO163" s="98"/>
    </row>
    <row r="164" spans="1:41" ht="12.75">
      <c r="A164" s="329" t="s">
        <v>30</v>
      </c>
      <c r="B164" s="173" t="str">
        <f>IF(AND($D$34=0,$D$35=0,$D$36=0),"N.A.",IF(AND($D$34&gt;0,$D$35&gt;0,$D$35&lt;=0.5*$B$45,$D$36=0),$N$103,IF(AND($D$34&gt;0,$D$35&gt;0,$D$35&lt;=0.5*$B$45,$D$36&gt;0),"N.A.")))</f>
        <v>N.A.</v>
      </c>
      <c r="C164" s="9"/>
      <c r="D164" s="327" t="str">
        <f>IF(AND($D$34=0,$D$35=0,$D$36=0),"c/d = not applicable for uncoped beam",IF(AND($D$34&gt;0,$D$35&gt;0,$D$35&lt;=0.5*$B$45,$D$36=0),$P$103,IF(AND($D$34&gt;0,$D$35&gt;0,$D$35&lt;=0.5*$B$45,$D$36&gt;0),"c/d = not applicable for double coped beam")))</f>
        <v>c/d = not applicable for uncoped beam</v>
      </c>
      <c r="E164" s="9"/>
      <c r="F164" s="9"/>
      <c r="G164" s="44"/>
      <c r="H164" s="9"/>
      <c r="I164" s="251"/>
      <c r="L164" s="32">
        <v>1</v>
      </c>
      <c r="M164" s="32" t="s">
        <v>304</v>
      </c>
      <c r="N164" s="40" t="str">
        <f>IF($D$29=1,1*$N$163-$N$163*(1*$N$161+0*$D$31)/$N$162,"N.A.")</f>
        <v>N.A.</v>
      </c>
      <c r="O164" s="30" t="s">
        <v>206</v>
      </c>
      <c r="P164" s="30">
        <f>IF($D$29=1,"Rw = 1*Pb-Pb*(1*a+0*S)/T","")</f>
      </c>
      <c r="S164" s="227">
        <v>1</v>
      </c>
      <c r="T164" s="228" t="s">
        <v>307</v>
      </c>
      <c r="U164" s="226"/>
      <c r="V164" s="226"/>
      <c r="W164" s="226"/>
      <c r="X164" s="226"/>
      <c r="Y164" s="226"/>
      <c r="Z164" s="226"/>
      <c r="AA164" s="226"/>
      <c r="AB164" s="226"/>
      <c r="AC164" s="226"/>
      <c r="AD164" s="226"/>
      <c r="AE164" s="226"/>
      <c r="AF164" s="289" t="s">
        <v>606</v>
      </c>
      <c r="AG164" s="290">
        <v>26.2</v>
      </c>
      <c r="AH164" s="291">
        <v>16.8</v>
      </c>
      <c r="AI164" s="292">
        <v>0.525</v>
      </c>
      <c r="AJ164" s="291">
        <v>10.4</v>
      </c>
      <c r="AK164" s="292">
        <v>0.875</v>
      </c>
      <c r="AL164" s="294">
        <v>1.28</v>
      </c>
      <c r="AN164" s="49"/>
      <c r="AO164" s="98"/>
    </row>
    <row r="165" spans="1:38" ht="12.75">
      <c r="A165" s="329" t="s">
        <v>262</v>
      </c>
      <c r="B165" s="163" t="str">
        <f>IF(AND($D$34=0,$D$35=0,$D$36=0),"N.A.",IF(AND($D$34&gt;0,$D$35&gt;0,$D$35&lt;=0.5*$B$45,$D$36=0),$N$104,IF(AND($D$34&gt;0,$D$35&gt;0,$D$35&lt;=0.5*$B$45,$D$36&gt;0),"N.A.")))</f>
        <v>N.A.</v>
      </c>
      <c r="C165" s="9"/>
      <c r="D165" s="327" t="str">
        <f>IF(AND($D$34=0,$D$35=0,$D$36=0),"f = not applicable for uncoped beam",IF(AND($D$34&gt;0,$D$35&gt;0,$D$35&lt;=0.5*$B$45,$D$36=0),$P$104,IF(AND($D$34&gt;0,$D$35&gt;0,$D$35&lt;=0.5*$B$45,$D$36&gt;0),"f = not applicable for double coped beam")))</f>
        <v>f = not applicable for uncoped beam</v>
      </c>
      <c r="E165" s="9"/>
      <c r="F165" s="9"/>
      <c r="G165" s="44"/>
      <c r="H165" s="9"/>
      <c r="I165" s="251"/>
      <c r="L165" s="225">
        <v>1</v>
      </c>
      <c r="M165" s="225" t="s">
        <v>154</v>
      </c>
      <c r="N165" s="221" t="str">
        <f>IF($D$29=1,$N$164*$N$161,"N.A.")</f>
        <v>N.A.</v>
      </c>
      <c r="O165" s="228" t="s">
        <v>305</v>
      </c>
      <c r="P165" s="226">
        <f>IF($D$29=1,$T$164,"")</f>
      </c>
      <c r="S165" s="227"/>
      <c r="T165" s="221" t="str">
        <f>IF($D$29=1,$N$164*$N$161,"N.A.")</f>
        <v>N.A.</v>
      </c>
      <c r="U165" s="226"/>
      <c r="V165" s="226"/>
      <c r="W165" s="226"/>
      <c r="X165" s="226"/>
      <c r="Y165" s="226"/>
      <c r="Z165" s="226"/>
      <c r="AA165" s="226"/>
      <c r="AB165" s="226"/>
      <c r="AC165" s="226"/>
      <c r="AD165" s="226"/>
      <c r="AE165" s="226"/>
      <c r="AF165" s="289" t="s">
        <v>607</v>
      </c>
      <c r="AG165" s="290">
        <v>22.6</v>
      </c>
      <c r="AH165" s="291">
        <v>16.5</v>
      </c>
      <c r="AI165" s="292">
        <v>0.455</v>
      </c>
      <c r="AJ165" s="291">
        <v>10.3</v>
      </c>
      <c r="AK165" s="292">
        <v>0.76</v>
      </c>
      <c r="AL165" s="294">
        <v>1.16</v>
      </c>
    </row>
    <row r="166" spans="1:41" ht="12.75">
      <c r="A166" s="329" t="s">
        <v>29</v>
      </c>
      <c r="B166" s="163" t="str">
        <f>IF(AND($D$34=0,$D$35=0,$D$36=0),"N.A.",IF(AND($D$34&gt;0,$D$35&gt;0,$D$35&lt;=0.5*$B$45,$D$36=0),$N$105,IF(AND($D$34&gt;0,$D$35&gt;0,$D$35&lt;=0.5*$B$45,$D$36&gt;0),"N.A.")))</f>
        <v>N.A.</v>
      </c>
      <c r="C166" s="9"/>
      <c r="D166" s="327" t="str">
        <f>IF(AND($D$34=0,$D$35=0,$D$36=0),"c/ho = not applicable for uncoped beam",IF(AND($D$34&gt;0,$D$35&gt;0,$D$35&lt;=0.5*$B$45,$D$36=0),$P$105,IF(AND($D$34&gt;0,$D$35&gt;0,$D$35&lt;=0.5*$B$45,$D$36&gt;0),"c/ho = not applicable for double coped beam")))</f>
        <v>c/ho = not applicable for uncoped beam</v>
      </c>
      <c r="E166" s="9"/>
      <c r="F166" s="9"/>
      <c r="G166" s="44"/>
      <c r="H166" s="9"/>
      <c r="I166" s="251"/>
      <c r="L166" s="32">
        <v>2</v>
      </c>
      <c r="M166" s="32" t="s">
        <v>304</v>
      </c>
      <c r="N166" s="40" t="str">
        <f>IF($D$29=2,2*$N$163-$N$163*(2*$N$161+1*$D$31)/$N$162,"N.A.")</f>
        <v>N.A.</v>
      </c>
      <c r="O166" s="30" t="s">
        <v>206</v>
      </c>
      <c r="P166" s="30">
        <f>IF($D$29=2,"Rw = 2*Pb-Pb*(2*a+1*S)/T","")</f>
      </c>
      <c r="S166" s="227">
        <v>2</v>
      </c>
      <c r="T166" s="226" t="s">
        <v>307</v>
      </c>
      <c r="U166" s="226" t="s">
        <v>166</v>
      </c>
      <c r="V166" s="226"/>
      <c r="W166" s="226"/>
      <c r="X166" s="226"/>
      <c r="Y166" s="226"/>
      <c r="Z166" s="226"/>
      <c r="AA166" s="226"/>
      <c r="AB166" s="226"/>
      <c r="AC166" s="226"/>
      <c r="AD166" s="226"/>
      <c r="AE166" s="226"/>
      <c r="AF166" s="289" t="s">
        <v>608</v>
      </c>
      <c r="AG166" s="290">
        <v>19.7</v>
      </c>
      <c r="AH166" s="291">
        <v>16.3</v>
      </c>
      <c r="AI166" s="292">
        <v>0.395</v>
      </c>
      <c r="AJ166" s="291">
        <v>10.2</v>
      </c>
      <c r="AK166" s="292">
        <v>0.665</v>
      </c>
      <c r="AL166" s="294">
        <v>1.07</v>
      </c>
      <c r="AN166" s="49"/>
      <c r="AO166" s="98"/>
    </row>
    <row r="167" spans="1:41" ht="12.75">
      <c r="A167" s="329" t="s">
        <v>292</v>
      </c>
      <c r="B167" s="168" t="str">
        <f>IF(AND($D$34=0,$D$35=0,$D$36=0),"N.A.",IF(AND($D$34&gt;0,$D$35&gt;0,$D$35&lt;=0.5*$B$45,$D$36=0),$N$106,IF(AND($D$34&gt;0,$D$35&gt;0,$D$35&lt;=0.5*$B$45,$D$36&gt;0),"N.A.")))</f>
        <v>N.A.</v>
      </c>
      <c r="C167" s="9"/>
      <c r="D167" s="327" t="str">
        <f>IF(AND($D$34=0,$D$35=0,$D$36=0),"k = not applicable for uncoped beam",IF(AND($D$34&gt;0,$D$35&gt;0,$D$35&lt;=0.5*$B$45,$D$36=0),$P$106,IF(AND($D$34&gt;0,$D$35&gt;0,$D$35&lt;=0.5*$B$45,$D$36&gt;0),"k = not applicable for double coped beam")))</f>
        <v>k = not applicable for uncoped beam</v>
      </c>
      <c r="E167" s="9"/>
      <c r="F167" s="9"/>
      <c r="G167" s="44"/>
      <c r="H167" s="44"/>
      <c r="I167" s="251"/>
      <c r="L167" s="225">
        <v>2</v>
      </c>
      <c r="M167" s="225" t="s">
        <v>154</v>
      </c>
      <c r="N167" s="221" t="str">
        <f>IF($D$29=2,MAX($N$166*$N$161,$N$166*($N$161+$D$31)-$N$163*$D$31),"N.A.")</f>
        <v>N.A.</v>
      </c>
      <c r="O167" s="228" t="s">
        <v>305</v>
      </c>
      <c r="P167" s="228">
        <f>IF($D$29=2,LOOKUP(MATCH($N$167,$T$167:$AE$167,0),$T$163:$AE$163,$T$166:$AE$166),"")</f>
      </c>
      <c r="S167" s="227"/>
      <c r="T167" s="221" t="str">
        <f>IF($D$29=2,$N$166*$N$161,"N.A.")</f>
        <v>N.A.</v>
      </c>
      <c r="U167" s="221" t="str">
        <f>IF($D$29=2,$N$166*($N$161+$D$31)-$N$163*$D$31,"N.A.")</f>
        <v>N.A.</v>
      </c>
      <c r="V167" s="226"/>
      <c r="W167" s="226"/>
      <c r="X167" s="226"/>
      <c r="Y167" s="226"/>
      <c r="Z167" s="226"/>
      <c r="AA167" s="226"/>
      <c r="AB167" s="226"/>
      <c r="AC167" s="226"/>
      <c r="AD167" s="226"/>
      <c r="AE167" s="226"/>
      <c r="AF167" s="289" t="s">
        <v>609</v>
      </c>
      <c r="AG167" s="290">
        <v>16.8</v>
      </c>
      <c r="AH167" s="291">
        <v>16.4</v>
      </c>
      <c r="AI167" s="292">
        <v>0.43</v>
      </c>
      <c r="AJ167" s="293">
        <v>7.12</v>
      </c>
      <c r="AK167" s="292">
        <v>0.715</v>
      </c>
      <c r="AL167" s="294">
        <v>1.12</v>
      </c>
      <c r="AN167" s="49"/>
      <c r="AO167" s="98"/>
    </row>
    <row r="168" spans="1:41" ht="12.75">
      <c r="A168" s="50" t="s">
        <v>408</v>
      </c>
      <c r="B168" s="168" t="str">
        <f>IF(AND($D$34=0,$D$35=0,$D$36=0),"N.A.",IF(AND($D$34&gt;0,$D$35&gt;0,$D$35&lt;=0.5*$B$45,$D$36=0),"N.A.",IF(AND($D$34&gt;0,$D$35&gt;0,$D$35&lt;=0.5*$B$45,$D$36&gt;0),$N$125)))</f>
        <v>N.A.</v>
      </c>
      <c r="C168" s="9"/>
      <c r="D168" s="327" t="str">
        <f>IF(AND($D$34=0,$D$35=0,$D$36=0),"fd = not applicable for uncoped beam",IF(AND($D$34&gt;0,$D$35&gt;0,$D$35&lt;=0.5*$B$45,$D$36=0),"fd = not applicable for single coped beam",IF(AND($D$34&gt;0,$D$35&gt;0,$D$35&lt;=0.5*$B$45,$D$36&gt;0),$P$125)))</f>
        <v>fd = not applicable for uncoped beam</v>
      </c>
      <c r="E168" s="9"/>
      <c r="F168" s="9"/>
      <c r="G168" s="24"/>
      <c r="H168" s="44"/>
      <c r="I168" s="251"/>
      <c r="L168" s="32">
        <v>3</v>
      </c>
      <c r="M168" s="32" t="s">
        <v>304</v>
      </c>
      <c r="N168" s="40" t="str">
        <f>IF($D$29=3,3*$N$163-$N$163*(3*$N$161+3*$D$31)/$N$162,"N.A.")</f>
        <v>N.A.</v>
      </c>
      <c r="O168" s="30" t="s">
        <v>206</v>
      </c>
      <c r="P168" s="30">
        <f>IF($D$29=3,"Rw = 3*Pb-Pb*(3*a+3*S)/T","")</f>
      </c>
      <c r="S168" s="227">
        <v>3</v>
      </c>
      <c r="T168" s="226" t="s">
        <v>307</v>
      </c>
      <c r="U168" s="226" t="s">
        <v>131</v>
      </c>
      <c r="V168" s="226" t="s">
        <v>167</v>
      </c>
      <c r="W168" s="226"/>
      <c r="X168" s="226"/>
      <c r="Y168" s="226"/>
      <c r="Z168" s="226"/>
      <c r="AA168" s="226"/>
      <c r="AB168" s="226"/>
      <c r="AC168" s="226"/>
      <c r="AD168" s="226"/>
      <c r="AE168" s="226"/>
      <c r="AF168" s="289" t="s">
        <v>610</v>
      </c>
      <c r="AG168" s="290">
        <v>14.7</v>
      </c>
      <c r="AH168" s="291">
        <v>16.3</v>
      </c>
      <c r="AI168" s="292">
        <v>0.38</v>
      </c>
      <c r="AJ168" s="293">
        <v>7.07</v>
      </c>
      <c r="AK168" s="292">
        <v>0.63</v>
      </c>
      <c r="AL168" s="294">
        <v>1.03</v>
      </c>
      <c r="AN168" s="49"/>
      <c r="AO168" s="98"/>
    </row>
    <row r="169" spans="1:41" ht="12.75">
      <c r="A169" s="50" t="s">
        <v>409</v>
      </c>
      <c r="B169" s="168" t="str">
        <f>IF(AND($D$34=0,$D$35=0,$D$36=0),"N.A.",IF(AND($D$34&gt;0,$D$35&gt;0,$D$35&lt;=0.5*$B$45,$D$36=0),"N.A.",IF(AND($D$34&gt;0,$D$35&gt;0,$D$35&lt;=0.5*$B$45,$D$36&gt;0),$N$126)))</f>
        <v>N.A.</v>
      </c>
      <c r="C169" s="9"/>
      <c r="D169" s="327" t="str">
        <f>IF(AND($D$34=0,$D$35=0,$D$36=0),"lambda = not applicable for uncoped beam",IF(AND($D$34&gt;0,$D$35&gt;0,$D$35&lt;=0.5*$B$45,$D$36=0),"lambda = not applicable for single coped beam",IF(AND($D$34&gt;0,$D$35&gt;0,$D$35&lt;=0.5*$B$45,$D$36&gt;0),$P$126)))</f>
        <v>lambda = not applicable for uncoped beam</v>
      </c>
      <c r="E169" s="9"/>
      <c r="F169" s="9"/>
      <c r="G169" s="24"/>
      <c r="H169" s="44"/>
      <c r="I169" s="251"/>
      <c r="L169" s="225">
        <v>3</v>
      </c>
      <c r="M169" s="225" t="s">
        <v>154</v>
      </c>
      <c r="N169" s="221" t="str">
        <f>IF($D$29=3,MAX($N$168*$N$161,$N$168*($N$161+$D$31)-$N$163*$D$31,$N$168*($N$161+2*$D$31)-3*$N$163*$D$31),"N.A.")</f>
        <v>N.A.</v>
      </c>
      <c r="O169" s="228" t="s">
        <v>305</v>
      </c>
      <c r="P169" s="228">
        <f>IF($D$29=3,LOOKUP(MATCH($N$169,$T$169:$AE$169,0),$T$163:$AE$163,$T$168:$AE$168),"")</f>
      </c>
      <c r="S169" s="227"/>
      <c r="T169" s="221" t="str">
        <f>IF($D$29=3,$N$168*$N$161,"N.A.")</f>
        <v>N.A.</v>
      </c>
      <c r="U169" s="221" t="str">
        <f>IF($D$29=3,$N$168*($N$161+$D$31)-$N$163*$D$31,"N.A.")</f>
        <v>N.A.</v>
      </c>
      <c r="V169" s="221" t="str">
        <f>IF($D$29=3,$N$168*($N$161+2*$D$31)-3*$N$163*$D$31,"N.A.")</f>
        <v>N.A.</v>
      </c>
      <c r="W169" s="226"/>
      <c r="X169" s="226"/>
      <c r="Y169" s="226"/>
      <c r="Z169" s="226"/>
      <c r="AA169" s="226"/>
      <c r="AB169" s="226"/>
      <c r="AC169" s="226"/>
      <c r="AD169" s="226"/>
      <c r="AE169" s="226"/>
      <c r="AF169" s="289" t="s">
        <v>611</v>
      </c>
      <c r="AG169" s="290">
        <v>13.3</v>
      </c>
      <c r="AH169" s="291">
        <v>16.1</v>
      </c>
      <c r="AI169" s="292">
        <v>0.345</v>
      </c>
      <c r="AJ169" s="293">
        <v>7.04</v>
      </c>
      <c r="AK169" s="292">
        <v>0.565</v>
      </c>
      <c r="AL169" s="296">
        <v>0.967</v>
      </c>
      <c r="AN169" s="49"/>
      <c r="AO169" s="98"/>
    </row>
    <row r="170" spans="1:41" ht="12.75">
      <c r="A170" s="50" t="s">
        <v>410</v>
      </c>
      <c r="B170" s="168" t="str">
        <f>IF(AND($D$34=0,$D$35=0,$D$36=0),"N.A.",IF(AND($D$34&gt;0,$D$35&gt;0,$D$35&lt;=0.5*$B$45,$D$36=0),"N.A.",IF(AND($D$34&gt;0,$D$35&gt;0,$D$35&lt;=0.5*$B$45,$D$36&gt;0),$N$127)))</f>
        <v>N.A.</v>
      </c>
      <c r="C170" s="9"/>
      <c r="D170" s="350" t="str">
        <f>IF(AND($D$34=0,$D$35=0,$D$36=0),"Q = not applicable for uncoped beam",IF(AND($D$34&gt;0,$D$35&gt;0,$D$35&lt;=0.5*$B$45,$D$36=0),"Q = not applicable for single coped beam",IF(AND($D$34&gt;0,$D$35&gt;0,$D$35&lt;=0.5*$B$45,$D$36&gt;0),$P$127)))</f>
        <v>Q = not applicable for uncoped beam</v>
      </c>
      <c r="E170" s="9"/>
      <c r="F170" s="9"/>
      <c r="G170" s="24"/>
      <c r="H170" s="44"/>
      <c r="I170" s="251"/>
      <c r="L170" s="32">
        <v>4</v>
      </c>
      <c r="M170" s="32" t="s">
        <v>304</v>
      </c>
      <c r="N170" s="40">
        <f>IF($D$29=4,4*$N$163-$N$163*(4*$N$161+6*$D$31)/$N$162,"N.A.")</f>
        <v>3.2329424307036243</v>
      </c>
      <c r="O170" s="30" t="s">
        <v>206</v>
      </c>
      <c r="P170" s="30" t="str">
        <f>IF($D$29=4,"Rw = 4*Pb-Pb*(4*a+6*S)/T","")</f>
        <v>Rw = 4*Pb-Pb*(4*a+6*S)/T</v>
      </c>
      <c r="S170" s="227">
        <v>4</v>
      </c>
      <c r="T170" s="226" t="s">
        <v>307</v>
      </c>
      <c r="U170" s="226" t="s">
        <v>166</v>
      </c>
      <c r="V170" s="226" t="s">
        <v>167</v>
      </c>
      <c r="W170" s="226" t="s">
        <v>168</v>
      </c>
      <c r="X170" s="226"/>
      <c r="Y170" s="226"/>
      <c r="Z170" s="226"/>
      <c r="AA170" s="226"/>
      <c r="AB170" s="226"/>
      <c r="AC170" s="226"/>
      <c r="AD170" s="226"/>
      <c r="AE170" s="226"/>
      <c r="AF170" s="289" t="s">
        <v>612</v>
      </c>
      <c r="AG170" s="290">
        <v>11.8</v>
      </c>
      <c r="AH170" s="291">
        <v>16</v>
      </c>
      <c r="AI170" s="292">
        <v>0.305</v>
      </c>
      <c r="AJ170" s="293">
        <v>7</v>
      </c>
      <c r="AK170" s="292">
        <v>0.505</v>
      </c>
      <c r="AL170" s="296">
        <v>0.907</v>
      </c>
      <c r="AN170" s="49"/>
      <c r="AO170" s="98"/>
    </row>
    <row r="171" spans="1:41" ht="12.75">
      <c r="A171" s="329" t="s">
        <v>129</v>
      </c>
      <c r="B171" s="168" t="str">
        <f>IF(AND($D$34=0,$D$35=0,$D$36=0),"N.A.",IF(AND($D$34&gt;0,$D$35&gt;0,$D$35&lt;=0.5*$B$45,$D$36=0),$N$107,IF(AND($D$34&gt;0,$D$35&gt;0,$D$35&lt;=0.5*$B$45,$D$36&gt;0),$N$128)))</f>
        <v>N.A.</v>
      </c>
      <c r="C171" s="105" t="s">
        <v>212</v>
      </c>
      <c r="D171" s="328" t="str">
        <f>IF(AND($D$34=0,$D$35=0,$D$36=0),"Fbc = not applicable for uncoped beam",IF(AND($D$34&gt;0,$D$35&gt;0,$D$35&lt;=0.5*$B$45,$D$36=0),$P$107,IF(AND($D$34&gt;0,$D$35&gt;0,$D$35&lt;=0.5*$B$45,$D$36&gt;0),$P$128)))</f>
        <v>Fbc = not applicable for uncoped beam</v>
      </c>
      <c r="E171" s="9"/>
      <c r="F171" s="59"/>
      <c r="G171" s="24"/>
      <c r="H171" s="79"/>
      <c r="I171" s="251"/>
      <c r="L171" s="225">
        <v>4</v>
      </c>
      <c r="M171" s="225" t="s">
        <v>154</v>
      </c>
      <c r="N171" s="221">
        <f>IF($D$29=4,MAX($N$170*$N$161,$N$170*($N$161+$D$31)-$N$163*$D$31,$N$170*($N$161+2*$D$31)-3*$N$163*$D$31,$N$170*($N$161+3*$D$31)-6*$N$163*$D$31),"N.A.")</f>
        <v>15.033821961620461</v>
      </c>
      <c r="O171" s="228" t="s">
        <v>305</v>
      </c>
      <c r="P171" s="228" t="str">
        <f>IF($D$29=4,LOOKUP(MATCH($N$171,$T$171:$AE$171,0),$T$163:$AE$163,$T$170:$AE$170),"")</f>
        <v>Mw = Rw*(a+2*S)-3*Pb*S</v>
      </c>
      <c r="S171" s="227"/>
      <c r="T171" s="221">
        <f>IF($D$29=4,$N$170*$N$161,"N.A.")</f>
        <v>6.88616737739872</v>
      </c>
      <c r="U171" s="221">
        <f>IF($D$29=4,$N$170*($N$161+$D$31)-$N$163*$D$31,"N.A.")</f>
        <v>12.834994669509591</v>
      </c>
      <c r="V171" s="221">
        <f>IF($D$29=4,$N$170*($N$161+2*$D$31)-3*$N$163*$D$31,"N.A.")</f>
        <v>15.033821961620461</v>
      </c>
      <c r="W171" s="221">
        <f>IF($D$29=4,$N$170*($N$161+3*$D$31)-6*$N$163*$D$31,"N.A.")</f>
        <v>13.482649253731338</v>
      </c>
      <c r="X171" s="226"/>
      <c r="Y171" s="226"/>
      <c r="Z171" s="226"/>
      <c r="AA171" s="226"/>
      <c r="AB171" s="226"/>
      <c r="AC171" s="226"/>
      <c r="AD171" s="226"/>
      <c r="AE171" s="226"/>
      <c r="AF171" s="289" t="s">
        <v>613</v>
      </c>
      <c r="AG171" s="290">
        <v>10.6</v>
      </c>
      <c r="AH171" s="291">
        <v>15.9</v>
      </c>
      <c r="AI171" s="292">
        <v>0.295</v>
      </c>
      <c r="AJ171" s="293">
        <v>6.99</v>
      </c>
      <c r="AK171" s="292">
        <v>0.43</v>
      </c>
      <c r="AL171" s="296">
        <v>0.832</v>
      </c>
      <c r="AN171" s="49"/>
      <c r="AO171" s="98"/>
    </row>
    <row r="172" spans="1:41" ht="12.75">
      <c r="A172" s="329" t="s">
        <v>120</v>
      </c>
      <c r="B172" s="172" t="str">
        <f>IF(AND($D$34=0,$D$35=0,$D$36=0),"N.A.",IF(AND($D$34&gt;0,$D$35&gt;0,$D$35&lt;=0.5*$B$45,$D$36=0),$N$108,IF(AND($D$34&gt;0,$D$35&gt;0,$D$35&lt;=0.5*$B$45,$D$36&gt;0),$N$129)))</f>
        <v>N.A.</v>
      </c>
      <c r="C172" s="105" t="s">
        <v>206</v>
      </c>
      <c r="D172" s="328" t="str">
        <f>IF(AND($D$34=0,$D$35=0,$D$36=0),"Rwb = not applicable for uncoped beam",IF(AND($D$34&gt;0,$D$35&gt;0,$D$35&lt;=0.5*$B$45,$D$36=0),$P$108,IF(AND($D$34&gt;0,$D$35&gt;0,$D$35&lt;=0.5*$B$45,$D$36&gt;0),$P$129)))</f>
        <v>Rwb = not applicable for uncoped beam</v>
      </c>
      <c r="E172" s="9"/>
      <c r="F172" s="331"/>
      <c r="G172" s="9"/>
      <c r="H172" s="9"/>
      <c r="I172" s="251">
        <f>IF(AND($D$34=0,$D$35=0,$D$36=0),"",IF($B$172&gt;=$D$16,"Rwb &gt;= R,  O.K.  ","Rwb &lt; R, N.G.  "))</f>
      </c>
      <c r="L172" s="32">
        <v>5</v>
      </c>
      <c r="M172" s="32" t="s">
        <v>304</v>
      </c>
      <c r="N172" s="40" t="str">
        <f>IF($D$29=5,5*$N$163-$N$163*(5*$N$161+10*$D$31)/$N$162,"N.A.")</f>
        <v>N.A.</v>
      </c>
      <c r="O172" s="30" t="s">
        <v>206</v>
      </c>
      <c r="P172" s="30">
        <f>IF($D$29=5,"Rw = 5*Pb-Pb*(5*a+10*S)/T","")</f>
      </c>
      <c r="S172" s="227">
        <v>5</v>
      </c>
      <c r="T172" s="226" t="s">
        <v>307</v>
      </c>
      <c r="U172" s="226" t="s">
        <v>166</v>
      </c>
      <c r="V172" s="226" t="s">
        <v>167</v>
      </c>
      <c r="W172" s="226" t="s">
        <v>168</v>
      </c>
      <c r="X172" s="226" t="s">
        <v>169</v>
      </c>
      <c r="Y172" s="226"/>
      <c r="Z172" s="226"/>
      <c r="AA172" s="226"/>
      <c r="AB172" s="226"/>
      <c r="AC172" s="226"/>
      <c r="AD172" s="226"/>
      <c r="AE172" s="226"/>
      <c r="AF172" s="289" t="s">
        <v>614</v>
      </c>
      <c r="AG172" s="297">
        <v>9.13</v>
      </c>
      <c r="AH172" s="291">
        <v>15.9</v>
      </c>
      <c r="AI172" s="292">
        <v>0.275</v>
      </c>
      <c r="AJ172" s="293">
        <v>5.53</v>
      </c>
      <c r="AK172" s="292">
        <v>0.44</v>
      </c>
      <c r="AL172" s="296">
        <v>0.842</v>
      </c>
      <c r="AN172" s="49" t="str">
        <f>IF(AO172="","N.A.","SR =")</f>
        <v>N.A.</v>
      </c>
      <c r="AO172" s="98">
        <f>IF(AND($D$34=0,$D$35=0,$D$36=0),"",$D$16/$B$172)</f>
      </c>
    </row>
    <row r="173" spans="1:41" ht="12.75">
      <c r="A173" s="18"/>
      <c r="B173" s="75"/>
      <c r="C173" s="107"/>
      <c r="D173" s="54"/>
      <c r="E173" s="9"/>
      <c r="F173" s="9"/>
      <c r="G173" s="9"/>
      <c r="H173" s="87"/>
      <c r="I173" s="251"/>
      <c r="L173" s="225">
        <v>5</v>
      </c>
      <c r="M173" s="225" t="s">
        <v>154</v>
      </c>
      <c r="N173" s="221" t="str">
        <f>IF($D$29=5,MAX($N$172*$N$161,$N$172*($N$161+$D$31)-$N$163*$D$31,$N$172*($N$161+2*$D$31)-3*$N$163*$D$31,$N$172*($N$161+3*$D$31)-6*$N$163*$D$31,$N$172*($N$161+4*$D$31)-10*$N$163*$D$31),"N.A.")</f>
        <v>N.A.</v>
      </c>
      <c r="O173" s="228" t="s">
        <v>305</v>
      </c>
      <c r="P173" s="228">
        <f>IF($D$29=5,LOOKUP(MATCH($N$173,$T$173:$AE$173,0),$T$163:$AE$163,$T$172:$AE$172),"")</f>
      </c>
      <c r="S173" s="227"/>
      <c r="T173" s="221" t="str">
        <f>IF($D$29=5,$N$172*$N$161,"N.A.")</f>
        <v>N.A.</v>
      </c>
      <c r="U173" s="221" t="str">
        <f>IF($D$29=5,$N$172*($N$161+$D$31)-$N$163*$D$31,"N.A.")</f>
        <v>N.A.</v>
      </c>
      <c r="V173" s="221" t="str">
        <f>IF($D$29=5,$N$172*($N$161+2*$D$31)-3*$N$163*$D$31,"N.A.")</f>
        <v>N.A.</v>
      </c>
      <c r="W173" s="221" t="str">
        <f>IF($D$29=5,$N$172*($N$161+3*$D$31)-6*$N$163*$D$31,"N.A.")</f>
        <v>N.A.</v>
      </c>
      <c r="X173" s="221" t="str">
        <f>IF($D$29=5,$N$172*($N$161+4*$D$31)-10*$N$163*$D$31,"N.A.")</f>
        <v>N.A.</v>
      </c>
      <c r="Y173" s="226"/>
      <c r="Z173" s="226"/>
      <c r="AA173" s="226"/>
      <c r="AB173" s="226"/>
      <c r="AC173" s="226"/>
      <c r="AD173" s="226"/>
      <c r="AE173" s="226"/>
      <c r="AF173" s="289" t="s">
        <v>615</v>
      </c>
      <c r="AG173" s="297">
        <v>7.68</v>
      </c>
      <c r="AH173" s="291">
        <v>15.7</v>
      </c>
      <c r="AI173" s="292">
        <v>0.25</v>
      </c>
      <c r="AJ173" s="293">
        <v>5.5</v>
      </c>
      <c r="AK173" s="292">
        <v>0.345</v>
      </c>
      <c r="AL173" s="296">
        <v>0.747</v>
      </c>
      <c r="AN173" s="49"/>
      <c r="AO173" s="98"/>
    </row>
    <row r="174" spans="1:38" ht="12.75">
      <c r="A174" s="63" t="s">
        <v>179</v>
      </c>
      <c r="B174" s="44"/>
      <c r="C174" s="115"/>
      <c r="D174" s="44"/>
      <c r="E174" s="44"/>
      <c r="F174" s="44"/>
      <c r="G174" s="44"/>
      <c r="H174" s="44"/>
      <c r="I174" s="251"/>
      <c r="L174" s="32">
        <v>6</v>
      </c>
      <c r="M174" s="32" t="s">
        <v>304</v>
      </c>
      <c r="N174" s="40" t="str">
        <f>IF($D$29=6,6*$N$163-$N$163*(6*$N$161+15*$D$31)/$N$162,"N.A.")</f>
        <v>N.A.</v>
      </c>
      <c r="O174" s="30" t="s">
        <v>206</v>
      </c>
      <c r="P174" s="30">
        <f>IF($D$29=6,"Rw = 6*Pb-Pb*(6*a+15*S)/T","")</f>
      </c>
      <c r="S174" s="227">
        <v>6</v>
      </c>
      <c r="T174" s="228" t="s">
        <v>307</v>
      </c>
      <c r="U174" s="228" t="s">
        <v>166</v>
      </c>
      <c r="V174" s="228" t="s">
        <v>167</v>
      </c>
      <c r="W174" s="228" t="s">
        <v>168</v>
      </c>
      <c r="X174" s="228" t="s">
        <v>169</v>
      </c>
      <c r="Y174" s="228" t="s">
        <v>170</v>
      </c>
      <c r="Z174" s="226"/>
      <c r="AA174" s="226"/>
      <c r="AB174" s="226"/>
      <c r="AC174" s="226"/>
      <c r="AD174" s="226"/>
      <c r="AE174" s="226"/>
      <c r="AF174" s="289" t="s">
        <v>616</v>
      </c>
      <c r="AG174" s="295">
        <v>215</v>
      </c>
      <c r="AH174" s="291">
        <v>22.4</v>
      </c>
      <c r="AI174" s="293">
        <v>3.07</v>
      </c>
      <c r="AJ174" s="291">
        <v>17.9</v>
      </c>
      <c r="AK174" s="293">
        <v>4.91</v>
      </c>
      <c r="AL174" s="294">
        <v>5.51</v>
      </c>
    </row>
    <row r="175" spans="1:38" ht="12.75">
      <c r="A175" s="66" t="s">
        <v>180</v>
      </c>
      <c r="B175" s="44"/>
      <c r="C175" s="115"/>
      <c r="D175" s="62"/>
      <c r="E175" s="54"/>
      <c r="F175" s="44"/>
      <c r="G175" s="44"/>
      <c r="H175" s="44"/>
      <c r="I175" s="251"/>
      <c r="L175" s="225">
        <v>6</v>
      </c>
      <c r="M175" s="225" t="s">
        <v>154</v>
      </c>
      <c r="N175" s="221" t="str">
        <f>IF($D$29=6,MAX($N$174*$N$161,$N$174*($N$161+$D$31)-$N$163*$D$31,$N$174*($N$161+2*$D$31)-3*$N$163*$D$31,$N$174*($N$161+3*$D$31)-6*$N$163*$D$31,$N$174*($N$161+4*$D$31)-10*$N$163*$D$31,$N$174*($N$161+5*$D$31)-15*$N$163*$D$31),"N.A.")</f>
        <v>N.A.</v>
      </c>
      <c r="O175" s="228" t="s">
        <v>305</v>
      </c>
      <c r="P175" s="228">
        <f>IF($D$29=6,LOOKUP(MATCH($N$175,$T$175:$AE$175,0),$T$163:$AE$163,$T$174:$AE$174),"")</f>
      </c>
      <c r="S175" s="227"/>
      <c r="T175" s="221" t="str">
        <f>IF($D$29=6,$N$174*$N$161,"N.A.")</f>
        <v>N.A.</v>
      </c>
      <c r="U175" s="221" t="str">
        <f>IF($D$29=6,$N$174*($N$161+$D$31)-$N$163*$D$31,"N.A.")</f>
        <v>N.A.</v>
      </c>
      <c r="V175" s="221" t="str">
        <f>IF($D$29=6,$N$174*($N$161+2*$D$31)-3*$N$163*$D$31,"N.A.")</f>
        <v>N.A.</v>
      </c>
      <c r="W175" s="221" t="str">
        <f>IF($D$29=6,$N$174*($N$161+3*$D$31)-6*$N$163*$D$31,"N.A.")</f>
        <v>N.A.</v>
      </c>
      <c r="X175" s="221" t="str">
        <f>IF($D$29=6,$N$174*($N$161+4*$D$31)-10*$N$163*$D$31,"N.A.")</f>
        <v>N.A.</v>
      </c>
      <c r="Y175" s="221" t="str">
        <f>IF($D$29=6,$N$174*($N$161+5*$D$31)-15*$N$163*$D$31,"N.A.")</f>
        <v>N.A.</v>
      </c>
      <c r="Z175" s="226"/>
      <c r="AA175" s="226"/>
      <c r="AB175" s="226"/>
      <c r="AC175" s="226"/>
      <c r="AD175" s="226"/>
      <c r="AE175" s="226"/>
      <c r="AF175" s="289" t="s">
        <v>617</v>
      </c>
      <c r="AG175" s="295">
        <v>196</v>
      </c>
      <c r="AH175" s="291">
        <v>21.6</v>
      </c>
      <c r="AI175" s="293">
        <v>2.83</v>
      </c>
      <c r="AJ175" s="291">
        <v>17.7</v>
      </c>
      <c r="AK175" s="293">
        <v>4.52</v>
      </c>
      <c r="AL175" s="294">
        <v>5.12</v>
      </c>
    </row>
    <row r="176" spans="1:41" ht="12.75">
      <c r="A176" s="68" t="s">
        <v>184</v>
      </c>
      <c r="B176" s="171">
        <f>$N$132</f>
        <v>0.4</v>
      </c>
      <c r="C176" s="107" t="s">
        <v>229</v>
      </c>
      <c r="D176" s="51" t="str">
        <f>$P$132</f>
        <v>twg = tw+td*(Fyd/Fyg)</v>
      </c>
      <c r="E176" s="54"/>
      <c r="F176" s="44"/>
      <c r="G176" s="44"/>
      <c r="H176" s="44"/>
      <c r="I176" s="251"/>
      <c r="L176" s="32">
        <v>7</v>
      </c>
      <c r="M176" s="32" t="s">
        <v>304</v>
      </c>
      <c r="N176" s="40" t="str">
        <f>IF($D$29=7,7*$N$163-$N$163*(7*$N$161+21*$D$31)/$N$162,"N.A.")</f>
        <v>N.A.</v>
      </c>
      <c r="O176" s="30" t="s">
        <v>206</v>
      </c>
      <c r="P176" s="30">
        <f>IF($D$29=7,"Rw = 7*Pb-Pb*(7*a+21*S)/T","")</f>
      </c>
      <c r="S176" s="227">
        <v>7</v>
      </c>
      <c r="T176" s="226" t="s">
        <v>307</v>
      </c>
      <c r="U176" s="226" t="s">
        <v>166</v>
      </c>
      <c r="V176" s="226" t="s">
        <v>167</v>
      </c>
      <c r="W176" s="226" t="s">
        <v>168</v>
      </c>
      <c r="X176" s="226" t="s">
        <v>169</v>
      </c>
      <c r="Y176" s="226" t="s">
        <v>170</v>
      </c>
      <c r="Z176" s="226" t="s">
        <v>270</v>
      </c>
      <c r="AA176" s="226"/>
      <c r="AB176" s="226"/>
      <c r="AC176" s="226"/>
      <c r="AD176" s="226"/>
      <c r="AE176" s="226"/>
      <c r="AF176" s="289" t="s">
        <v>618</v>
      </c>
      <c r="AG176" s="295">
        <v>178</v>
      </c>
      <c r="AH176" s="291">
        <v>20.9</v>
      </c>
      <c r="AI176" s="293">
        <v>2.6</v>
      </c>
      <c r="AJ176" s="291">
        <v>17.4</v>
      </c>
      <c r="AK176" s="293">
        <v>4.16</v>
      </c>
      <c r="AL176" s="294">
        <v>4.76</v>
      </c>
      <c r="AN176" s="49"/>
      <c r="AO176" s="98"/>
    </row>
    <row r="177" spans="1:41" ht="12.75">
      <c r="A177" s="68" t="s">
        <v>434</v>
      </c>
      <c r="B177" s="172">
        <f>$N$133</f>
        <v>218.40000000000003</v>
      </c>
      <c r="C177" s="107" t="s">
        <v>206</v>
      </c>
      <c r="D177" s="51" t="str">
        <f>$P$133</f>
        <v>Rpc = (1/2)*(2.4*Fu*twg*db*Nb)</v>
      </c>
      <c r="E177" s="54"/>
      <c r="F177" s="44"/>
      <c r="G177" s="44"/>
      <c r="H177" s="58"/>
      <c r="I177" s="251" t="str">
        <f>IF($D$16&gt;0,IF($B$177&gt;=$D$16,"Rpc &gt;= R,  O.K.  ","Rpc &lt; R, N.G.  "),"")</f>
        <v>Rpc &gt;= R,  O.K.  </v>
      </c>
      <c r="L177" s="225">
        <v>7</v>
      </c>
      <c r="M177" s="225" t="s">
        <v>154</v>
      </c>
      <c r="N177" s="221" t="str">
        <f>IF($D$29=7,MAX($N$176*$N$161,$N$176*($N$161+$D$31)-$N$163*$D$31,$N$176*($N$161+2*$D$31)-3*$N$163*$D$31,$N$176*($N$161+3*$D$31)-6*$N$163*$D$31,$N$176*($N$161+4*$D$31)-10*$N$163*$D$31,$N$176*($N$161+5*$D$31)-15*$N$163*$D$31,$N$176*($N$161+6*$D$31)-21*$N$163*$D$31),"N.A.")</f>
        <v>N.A.</v>
      </c>
      <c r="O177" s="228" t="s">
        <v>305</v>
      </c>
      <c r="P177" s="228">
        <f>IF($D$29=7,LOOKUP(MATCH($N$177,$T$177:$AE$177,0),$T$163:$AE$163,$T$176:$AE$176),"")</f>
      </c>
      <c r="S177" s="227"/>
      <c r="T177" s="221" t="str">
        <f>IF($D$29=7,$N$176*$N$161,"N.A.")</f>
        <v>N.A.</v>
      </c>
      <c r="U177" s="221" t="str">
        <f>IF($D$29=7,$N$176*($N$161+$D$31)-$N$163*$D$31,"N.A.")</f>
        <v>N.A.</v>
      </c>
      <c r="V177" s="221" t="str">
        <f>IF($D$29=7,$N$176*($N$161+2*$D$31)-3*$N$163*$D$31,"N.A.")</f>
        <v>N.A.</v>
      </c>
      <c r="W177" s="221" t="str">
        <f>IF($D$29=7,$N$176*($N$161+3*$D$31)-6*$N$163*$D$31,"N.A.")</f>
        <v>N.A.</v>
      </c>
      <c r="X177" s="221" t="str">
        <f>IF($D$29=7,$N$176*($N$161+4*$D$31)-10*$N$163*$D$31,"N.A.")</f>
        <v>N.A.</v>
      </c>
      <c r="Y177" s="221" t="str">
        <f>IF($D$29=7,$N$176*($N$161+5*$D$31)-15*$N$163*$D$31,"N.A.")</f>
        <v>N.A.</v>
      </c>
      <c r="Z177" s="221" t="str">
        <f>IF($D$29=7,$N$176*($N$161+6*$D$31)-21*$N$163*$D$31,"N.A.")</f>
        <v>N.A.</v>
      </c>
      <c r="AA177" s="226"/>
      <c r="AB177" s="226"/>
      <c r="AC177" s="226"/>
      <c r="AD177" s="226"/>
      <c r="AE177" s="226"/>
      <c r="AF177" s="289" t="s">
        <v>619</v>
      </c>
      <c r="AG177" s="295">
        <v>162</v>
      </c>
      <c r="AH177" s="291">
        <v>20.2</v>
      </c>
      <c r="AI177" s="293">
        <v>2.38</v>
      </c>
      <c r="AJ177" s="291">
        <v>17.2</v>
      </c>
      <c r="AK177" s="293">
        <v>3.82</v>
      </c>
      <c r="AL177" s="294">
        <v>4.42</v>
      </c>
      <c r="AN177" s="49" t="s">
        <v>278</v>
      </c>
      <c r="AO177" s="98">
        <f>IF($D$16&gt;0,$D$16/$B$177,"")</f>
        <v>0.1831501831501831</v>
      </c>
    </row>
    <row r="178" spans="1:38" ht="12.75">
      <c r="A178" s="18"/>
      <c r="B178" s="9"/>
      <c r="C178" s="9"/>
      <c r="D178" s="9"/>
      <c r="E178" s="9"/>
      <c r="F178" s="9"/>
      <c r="G178" s="9"/>
      <c r="H178" s="9"/>
      <c r="I178" s="251"/>
      <c r="L178" s="32">
        <v>8</v>
      </c>
      <c r="M178" s="32" t="s">
        <v>304</v>
      </c>
      <c r="N178" s="40" t="str">
        <f>IF($D$29=8,8*$N$163-$N$163*(8*$N$161+28*$D$31)/$N$162,"N.A.")</f>
        <v>N.A.</v>
      </c>
      <c r="O178" s="30" t="s">
        <v>206</v>
      </c>
      <c r="P178" s="30">
        <f>IF($D$29=8,"Rw = 8*Pb-Pb*(8*a+28*S)/T","")</f>
      </c>
      <c r="S178" s="227">
        <v>8</v>
      </c>
      <c r="T178" s="226" t="s">
        <v>307</v>
      </c>
      <c r="U178" s="226" t="s">
        <v>166</v>
      </c>
      <c r="V178" s="226" t="s">
        <v>167</v>
      </c>
      <c r="W178" s="226" t="s">
        <v>168</v>
      </c>
      <c r="X178" s="226" t="s">
        <v>169</v>
      </c>
      <c r="Y178" s="226" t="s">
        <v>170</v>
      </c>
      <c r="Z178" s="226" t="s">
        <v>270</v>
      </c>
      <c r="AA178" s="226" t="s">
        <v>271</v>
      </c>
      <c r="AB178" s="226"/>
      <c r="AC178" s="226"/>
      <c r="AD178" s="226"/>
      <c r="AE178" s="226"/>
      <c r="AF178" s="289" t="s">
        <v>620</v>
      </c>
      <c r="AG178" s="295">
        <v>147</v>
      </c>
      <c r="AH178" s="291">
        <v>19.6</v>
      </c>
      <c r="AI178" s="293">
        <v>2.19</v>
      </c>
      <c r="AJ178" s="291">
        <v>17</v>
      </c>
      <c r="AK178" s="293">
        <v>3.5</v>
      </c>
      <c r="AL178" s="294">
        <v>4.1</v>
      </c>
    </row>
    <row r="179" spans="1:41" ht="12.75">
      <c r="A179" s="72" t="s">
        <v>181</v>
      </c>
      <c r="B179" s="44"/>
      <c r="C179" s="9"/>
      <c r="D179" s="51" t="str">
        <f>$P$134</f>
        <v>(assume LRFD "yield line" theory and convert results back to ASD)</v>
      </c>
      <c r="E179" s="44"/>
      <c r="F179" s="54"/>
      <c r="G179" s="54"/>
      <c r="H179" s="87"/>
      <c r="I179" s="251"/>
      <c r="L179" s="225">
        <v>8</v>
      </c>
      <c r="M179" s="225" t="s">
        <v>154</v>
      </c>
      <c r="N179" s="221" t="str">
        <f>IF($D$29=8,MAX($N$178*$N$161,$N$178*($N$161+$D$31)-$N$163*$D$31,$N$178*($N$161+2*$D$31)-3*$N$163*$D$31,$N$178*($N$161+3*$D$31)-6*$N$163*$D$31,$N$178*($N$161+4*$D$31)-10*$N$163*$D$31,$N$178*($N$161+5*$D$31)-15*$N$163*$D$31,$N$178*($N$161+6*$D$31)-21*$N$163*$D$31,$N$178*($N$161+7*$D$31)-28*$N$163*$D$31),"N.A.")</f>
        <v>N.A.</v>
      </c>
      <c r="O179" s="228" t="s">
        <v>305</v>
      </c>
      <c r="P179" s="228">
        <f>IF($D$29=8,LOOKUP(MATCH($N$179,$T$179:$AE$179,0),$T$163:$AE$163,$T$178:$AE$178),"")</f>
      </c>
      <c r="S179" s="227"/>
      <c r="T179" s="221" t="str">
        <f>IF($D$29=8,$N$178*$N$161,"N.A.")</f>
        <v>N.A.</v>
      </c>
      <c r="U179" s="221" t="str">
        <f>IF($D$29=8,$N$178*($N$161+$D$31)-$N$163*$D$31,"N.A.")</f>
        <v>N.A.</v>
      </c>
      <c r="V179" s="221" t="str">
        <f>IF($D$29=8,$N$178*($N$161+2*$D$31)-3*$N$163*$D$31,"N.A.")</f>
        <v>N.A.</v>
      </c>
      <c r="W179" s="221" t="str">
        <f>IF($D$29=8,$N$178*($N$161+3*$D$31)-6*$N$163*$D$31,"N.A.")</f>
        <v>N.A.</v>
      </c>
      <c r="X179" s="221" t="str">
        <f>IF($D$29=8,$N$178*($N$161+4*$D$31)-10*$N$163*$D$31,"N.A.")</f>
        <v>N.A.</v>
      </c>
      <c r="Y179" s="221" t="str">
        <f>IF($D$29=8,$N$178*($N$161+5*$D$31)-15*$N$163*$D$31,"N.A.")</f>
        <v>N.A.</v>
      </c>
      <c r="Z179" s="221" t="str">
        <f>IF($D$29=8,$N$178*($N$161+6*$D$31)-21*$N$163*$D$31,"N.A.")</f>
        <v>N.A.</v>
      </c>
      <c r="AA179" s="221" t="str">
        <f>IF($D$29=8,$N$178*($N$161+7*$D$31)-28*$N$163*$D$31,"N.A.")</f>
        <v>N.A.</v>
      </c>
      <c r="AB179" s="226"/>
      <c r="AC179" s="226"/>
      <c r="AD179" s="226"/>
      <c r="AE179" s="226"/>
      <c r="AF179" s="289" t="s">
        <v>621</v>
      </c>
      <c r="AG179" s="295">
        <v>134</v>
      </c>
      <c r="AH179" s="291">
        <v>19</v>
      </c>
      <c r="AI179" s="293">
        <v>2.02</v>
      </c>
      <c r="AJ179" s="291">
        <v>16.8</v>
      </c>
      <c r="AK179" s="293">
        <v>3.21</v>
      </c>
      <c r="AL179" s="294">
        <v>3.81</v>
      </c>
      <c r="AN179" s="49"/>
      <c r="AO179" s="98"/>
    </row>
    <row r="180" spans="1:41" ht="12.75">
      <c r="A180" s="76" t="s">
        <v>184</v>
      </c>
      <c r="B180" s="171">
        <f>$N$135</f>
        <v>0.4</v>
      </c>
      <c r="C180" s="233" t="s">
        <v>229</v>
      </c>
      <c r="D180" s="51" t="str">
        <f>$P$135</f>
        <v>twg = tw+td*(Fyd/Fyg)</v>
      </c>
      <c r="E180" s="44"/>
      <c r="F180" s="54"/>
      <c r="G180" s="54"/>
      <c r="H180" s="58"/>
      <c r="I180" s="251"/>
      <c r="L180" s="32">
        <v>9</v>
      </c>
      <c r="M180" s="32" t="s">
        <v>304</v>
      </c>
      <c r="N180" s="40" t="str">
        <f>IF($D$29=9,9*$N$163-$N$163*(9*$N$161+36*$D$31)/$N$162,"N.A.")</f>
        <v>N.A.</v>
      </c>
      <c r="O180" s="30" t="s">
        <v>206</v>
      </c>
      <c r="P180" s="30">
        <f>IF($D$29=9,"Rw = 9*Pb-Pb*(9*a+36*S)/T","")</f>
      </c>
      <c r="S180" s="227">
        <v>9</v>
      </c>
      <c r="T180" s="226" t="s">
        <v>307</v>
      </c>
      <c r="U180" s="226" t="s">
        <v>166</v>
      </c>
      <c r="V180" s="226" t="s">
        <v>167</v>
      </c>
      <c r="W180" s="226" t="s">
        <v>168</v>
      </c>
      <c r="X180" s="226" t="s">
        <v>169</v>
      </c>
      <c r="Y180" s="226" t="s">
        <v>170</v>
      </c>
      <c r="Z180" s="226" t="s">
        <v>270</v>
      </c>
      <c r="AA180" s="226" t="s">
        <v>271</v>
      </c>
      <c r="AB180" s="226" t="s">
        <v>272</v>
      </c>
      <c r="AC180" s="226"/>
      <c r="AD180" s="226"/>
      <c r="AE180" s="226"/>
      <c r="AF180" s="289" t="s">
        <v>622</v>
      </c>
      <c r="AG180" s="295">
        <v>125</v>
      </c>
      <c r="AH180" s="291">
        <v>18.7</v>
      </c>
      <c r="AI180" s="293">
        <v>1.88</v>
      </c>
      <c r="AJ180" s="291">
        <v>16.7</v>
      </c>
      <c r="AK180" s="293">
        <v>3.04</v>
      </c>
      <c r="AL180" s="294">
        <v>3.63</v>
      </c>
      <c r="AN180" s="49"/>
      <c r="AO180" s="98"/>
    </row>
    <row r="181" spans="1:41" ht="12.75">
      <c r="A181" s="76" t="s">
        <v>334</v>
      </c>
      <c r="B181" s="164">
        <f>$N$136</f>
        <v>2.0000000000000004</v>
      </c>
      <c r="C181" s="233" t="s">
        <v>206</v>
      </c>
      <c r="D181" s="51" t="str">
        <f>$P$136</f>
        <v>mp = 0.25*Fyg*twg^2</v>
      </c>
      <c r="E181" s="9"/>
      <c r="F181" s="9"/>
      <c r="G181" s="9"/>
      <c r="H181" s="9"/>
      <c r="I181" s="251"/>
      <c r="L181" s="225">
        <v>9</v>
      </c>
      <c r="M181" s="225" t="s">
        <v>154</v>
      </c>
      <c r="N181" s="221" t="str">
        <f>IF($D$29=9,MAX($N$180*$N$161,$N$180*($N$161+$D$31)-$N$163*$D$31,$N$180*($N$161+2*$D$31)-3*$N$163*$D$31,$N$180*($N$161+3*$D$31)-6*$N$163*$D$31,$N$180*($N$161+4*$D$31)-10*$N$163*$D$31,$N$180*($N$161+5*$D$31)-15*$N$163*$D$31,$N$180*($N$161+6*$D$31)-21*$N$163*$D$31,$N$180*($N$161+7*$D$31)-28*$N$163*$D$31,$N$180*($N$161+8*$D$31)-36*$N$163*$D$31),"N.A.")</f>
        <v>N.A.</v>
      </c>
      <c r="O181" s="228" t="s">
        <v>305</v>
      </c>
      <c r="P181" s="228">
        <f>IF($D$29=9,LOOKUP(MATCH($N$181,$T$181:$AE$181,0),$T$163:$AE$163,$T$180:$AE$180),"")</f>
      </c>
      <c r="S181" s="227"/>
      <c r="T181" s="221" t="str">
        <f>IF($D$29=9,$N$180*$N$161,"N.A.")</f>
        <v>N.A.</v>
      </c>
      <c r="U181" s="221" t="str">
        <f>IF($D$29=9,$N$180*($N$161+$D$31)-$N$163*$D$31,"N.A.")</f>
        <v>N.A.</v>
      </c>
      <c r="V181" s="221" t="str">
        <f>IF($D$29=9,$N$180*($N$161+2*$D$31)-3*$N$163*$D$31,"N.A.")</f>
        <v>N.A.</v>
      </c>
      <c r="W181" s="221" t="str">
        <f>IF($D$29=9,$N$180*($N$161+3*$D$31)-6*$N$163*$D$31,"N.A.")</f>
        <v>N.A.</v>
      </c>
      <c r="X181" s="221" t="str">
        <f>IF($D$29=9,$N$180*($N$161+4*$D$31)-10*$N$163*$D$31,"N.A.")</f>
        <v>N.A.</v>
      </c>
      <c r="Y181" s="221" t="str">
        <f>IF($D$29=9,$N$180*($N$161+5*$D$31)-15*$N$163*$D$31,"N.A.")</f>
        <v>N.A.</v>
      </c>
      <c r="Z181" s="221" t="str">
        <f>IF($D$29=9,$N$180*($N$161+6*$D$31)-21*$N$163*$D$31,"N.A.")</f>
        <v>N.A.</v>
      </c>
      <c r="AA181" s="221" t="str">
        <f>IF($D$29=9,$N$180*($N$161+7*$D$31)-28*$N$163*$D$31,"N.A.")</f>
        <v>N.A.</v>
      </c>
      <c r="AB181" s="221" t="str">
        <f>IF($D$29=9,$N$180*($N$161+8*$D$31)-36*$N$163*$D$31,"N.A.")</f>
        <v>N.A.</v>
      </c>
      <c r="AC181" s="226"/>
      <c r="AD181" s="226"/>
      <c r="AE181" s="226"/>
      <c r="AF181" s="289" t="s">
        <v>623</v>
      </c>
      <c r="AG181" s="295">
        <v>117</v>
      </c>
      <c r="AH181" s="291">
        <v>18.3</v>
      </c>
      <c r="AI181" s="293">
        <v>1.77</v>
      </c>
      <c r="AJ181" s="291">
        <v>16.6</v>
      </c>
      <c r="AK181" s="293">
        <v>2.85</v>
      </c>
      <c r="AL181" s="294">
        <v>3.44</v>
      </c>
      <c r="AN181" s="49"/>
      <c r="AO181" s="98"/>
    </row>
    <row r="182" spans="1:46" ht="12.75">
      <c r="A182" s="76" t="s">
        <v>337</v>
      </c>
      <c r="B182" s="164">
        <f>$N$137</f>
        <v>18.759999999999998</v>
      </c>
      <c r="C182" s="233" t="s">
        <v>229</v>
      </c>
      <c r="D182" s="51" t="str">
        <f>$P$137</f>
        <v>Tg = dg-2*kg</v>
      </c>
      <c r="E182" s="9"/>
      <c r="F182" s="9"/>
      <c r="G182" s="9"/>
      <c r="H182" s="9"/>
      <c r="I182" s="251"/>
      <c r="L182" s="32">
        <v>10</v>
      </c>
      <c r="M182" s="32" t="s">
        <v>304</v>
      </c>
      <c r="N182" s="40" t="str">
        <f>IF($D$29=10,10*$N$163-$N$163*(10*$N$161+45*$D$31)/$N$162,"N.A.")</f>
        <v>N.A.</v>
      </c>
      <c r="O182" s="30" t="s">
        <v>206</v>
      </c>
      <c r="P182" s="30">
        <f>IF($D$29=10,"Rw = 10*Pb-Pb*(10*a+45*S)/T","")</f>
      </c>
      <c r="S182" s="227">
        <v>10</v>
      </c>
      <c r="T182" s="226" t="s">
        <v>307</v>
      </c>
      <c r="U182" s="226" t="s">
        <v>166</v>
      </c>
      <c r="V182" s="226" t="s">
        <v>167</v>
      </c>
      <c r="W182" s="226" t="s">
        <v>168</v>
      </c>
      <c r="X182" s="226" t="s">
        <v>169</v>
      </c>
      <c r="Y182" s="226" t="s">
        <v>170</v>
      </c>
      <c r="Z182" s="226" t="s">
        <v>270</v>
      </c>
      <c r="AA182" s="226" t="s">
        <v>271</v>
      </c>
      <c r="AB182" s="226" t="s">
        <v>272</v>
      </c>
      <c r="AC182" s="226" t="s">
        <v>273</v>
      </c>
      <c r="AD182" s="226"/>
      <c r="AE182" s="226"/>
      <c r="AF182" s="289" t="s">
        <v>624</v>
      </c>
      <c r="AG182" s="295">
        <v>109</v>
      </c>
      <c r="AH182" s="291">
        <v>17.9</v>
      </c>
      <c r="AI182" s="293">
        <v>1.66</v>
      </c>
      <c r="AJ182" s="291">
        <v>16.5</v>
      </c>
      <c r="AK182" s="293">
        <v>2.66</v>
      </c>
      <c r="AL182" s="294">
        <v>3.26</v>
      </c>
      <c r="AN182" s="49"/>
      <c r="AO182" s="98"/>
      <c r="AT182" s="125"/>
    </row>
    <row r="183" spans="1:41" ht="12.75">
      <c r="A183" s="68" t="s">
        <v>782</v>
      </c>
      <c r="B183" s="164">
        <f>$N$138</f>
        <v>2.13</v>
      </c>
      <c r="C183" s="233" t="s">
        <v>229</v>
      </c>
      <c r="D183" s="51" t="str">
        <f>$P$138</f>
        <v>a = D1-kg</v>
      </c>
      <c r="E183" s="9"/>
      <c r="F183" s="9"/>
      <c r="G183" s="9"/>
      <c r="H183" s="9"/>
      <c r="I183" s="251"/>
      <c r="L183" s="225">
        <v>10</v>
      </c>
      <c r="M183" s="225" t="s">
        <v>154</v>
      </c>
      <c r="N183" s="221" t="str">
        <f>IF($D$29=10,MAX($N$182*$N$161,$N$182*($N$161+$D$31)-$N$163*$D$31,$N$182*($N$161+2*$D$31)-3*$N$163*$D$31,$N$182*($N$161+3*$D$31)-6*$N$163*$D$31,$N$182*($N$161+4*$D$31)-10*$N$163*$D$31,$N$182*($N$161+5*$D$31)-15*$N$163*$D$31,$N$182*($N$161+6*$D$31)-21*$N$163*$D$31,$N$182*($N$161+7*$D$31)-28*$N$163*$D$31,$N$182*($N$161+8*$D$31)-36*$N$163*$D$31,$N$182*($N$161+9*$D$31)-45*$N$163*$D$31),"N.A.")</f>
        <v>N.A.</v>
      </c>
      <c r="O183" s="228" t="s">
        <v>305</v>
      </c>
      <c r="P183" s="228">
        <f>IF($D$29=10,LOOKUP(MATCH($N$183,$T$183:$AE$183,0),$T$163:$AE$163,$T$182:$AE$182),"")</f>
      </c>
      <c r="S183" s="227"/>
      <c r="T183" s="221" t="str">
        <f>IF($D$29=10,$N$182*$N$161,"N.A.")</f>
        <v>N.A.</v>
      </c>
      <c r="U183" s="221" t="str">
        <f>IF($D$29=10,$N$182*($N$161+$D$31)-$N$163*$D$31,"N.A.")</f>
        <v>N.A.</v>
      </c>
      <c r="V183" s="221" t="str">
        <f>IF($D$29=10,$N$182*($N$161+2*$D$31)-3*$N$163*$D$31,"N.A.")</f>
        <v>N.A.</v>
      </c>
      <c r="W183" s="221" t="str">
        <f>IF($D$29=10,$N$182*($N$161+3*$D$31)-6*$N$163*$D$31,"N.A.")</f>
        <v>N.A.</v>
      </c>
      <c r="X183" s="221" t="str">
        <f>IF($D$29=10,$N$182*($N$161+4*$D$31)-10*$N$163*$D$31,"N.A.")</f>
        <v>N.A.</v>
      </c>
      <c r="Y183" s="221" t="str">
        <f>IF($D$29=10,$N$182*($N$161+5*$D$31)-15*$N$163*$D$31,"N.A.")</f>
        <v>N.A.</v>
      </c>
      <c r="Z183" s="221" t="str">
        <f>IF($D$29=10,$N$182*($N$161+6*$D$31)-21*$N$163*$D$31,"N.A.")</f>
        <v>N.A.</v>
      </c>
      <c r="AA183" s="221" t="str">
        <f>IF($D$29=10,$N$182*($N$161+7*$D$31)-28*$N$163*$D$31,"N.A.")</f>
        <v>N.A.</v>
      </c>
      <c r="AB183" s="221" t="str">
        <f>IF($D$29=10,$N$182*($N$161+8*$D$31)-36*$N$163*$D$31,"N.A.")</f>
        <v>N.A.</v>
      </c>
      <c r="AC183" s="221" t="str">
        <f>IF($D$29=10,$N$182*($N$161+9*$D$31)-45*$N$163*$D$31,"N.A.")</f>
        <v>N.A.</v>
      </c>
      <c r="AD183" s="221"/>
      <c r="AE183" s="226"/>
      <c r="AF183" s="289" t="s">
        <v>625</v>
      </c>
      <c r="AG183" s="295">
        <v>101</v>
      </c>
      <c r="AH183" s="291">
        <v>17.5</v>
      </c>
      <c r="AI183" s="293">
        <v>1.54</v>
      </c>
      <c r="AJ183" s="291">
        <v>16.4</v>
      </c>
      <c r="AK183" s="293">
        <v>2.47</v>
      </c>
      <c r="AL183" s="294">
        <v>3.07</v>
      </c>
      <c r="AN183" s="49"/>
      <c r="AO183" s="98"/>
    </row>
    <row r="184" spans="1:46" ht="12.75">
      <c r="A184" s="68" t="s">
        <v>780</v>
      </c>
      <c r="B184" s="164">
        <f>$N$139</f>
        <v>7.629999999999999</v>
      </c>
      <c r="C184" s="233" t="s">
        <v>229</v>
      </c>
      <c r="D184" s="51" t="str">
        <f>$P$139</f>
        <v>b = Tg-(a+c)</v>
      </c>
      <c r="E184" s="9"/>
      <c r="F184" s="9"/>
      <c r="G184" s="9"/>
      <c r="H184" s="9"/>
      <c r="I184" s="251"/>
      <c r="L184" s="32">
        <v>11</v>
      </c>
      <c r="M184" s="32" t="s">
        <v>304</v>
      </c>
      <c r="N184" s="40" t="str">
        <f>IF($D$29=11,11*$N$163-$N$163*(11*$N$161+55*$D$31)/$N$162,"N.A.")</f>
        <v>N.A.</v>
      </c>
      <c r="O184" s="30" t="s">
        <v>206</v>
      </c>
      <c r="P184" s="30">
        <f>IF($D$29=11,"Rw = 11*Pb-Pb*(11*a+55*S)/T","")</f>
      </c>
      <c r="S184" s="227">
        <v>11</v>
      </c>
      <c r="T184" s="226" t="s">
        <v>307</v>
      </c>
      <c r="U184" s="226" t="s">
        <v>166</v>
      </c>
      <c r="V184" s="226" t="s">
        <v>167</v>
      </c>
      <c r="W184" s="226" t="s">
        <v>168</v>
      </c>
      <c r="X184" s="226" t="s">
        <v>169</v>
      </c>
      <c r="Y184" s="226" t="s">
        <v>170</v>
      </c>
      <c r="Z184" s="226" t="s">
        <v>270</v>
      </c>
      <c r="AA184" s="226" t="s">
        <v>271</v>
      </c>
      <c r="AB184" s="226" t="s">
        <v>272</v>
      </c>
      <c r="AC184" s="226" t="s">
        <v>273</v>
      </c>
      <c r="AD184" s="226" t="s">
        <v>274</v>
      </c>
      <c r="AE184" s="226"/>
      <c r="AF184" s="289" t="s">
        <v>626</v>
      </c>
      <c r="AG184" s="290">
        <v>91.4</v>
      </c>
      <c r="AH184" s="291">
        <v>17.1</v>
      </c>
      <c r="AI184" s="293">
        <v>1.41</v>
      </c>
      <c r="AJ184" s="291">
        <v>16.2</v>
      </c>
      <c r="AK184" s="293">
        <v>2.26</v>
      </c>
      <c r="AL184" s="294">
        <v>2.86</v>
      </c>
      <c r="AN184" s="49"/>
      <c r="AO184" s="98"/>
      <c r="AT184" s="125"/>
    </row>
    <row r="185" spans="1:41" ht="12.75">
      <c r="A185" s="68" t="s">
        <v>348</v>
      </c>
      <c r="B185" s="164">
        <f>$N$140</f>
        <v>9</v>
      </c>
      <c r="C185" s="233" t="s">
        <v>229</v>
      </c>
      <c r="D185" s="51" t="str">
        <f>$P$140</f>
        <v>c = (Nr-1)*S</v>
      </c>
      <c r="E185" s="9"/>
      <c r="F185" s="9"/>
      <c r="G185" s="9"/>
      <c r="H185" s="9"/>
      <c r="I185" s="251"/>
      <c r="L185" s="225">
        <v>11</v>
      </c>
      <c r="M185" s="225" t="s">
        <v>154</v>
      </c>
      <c r="N185" s="221" t="str">
        <f>IF($D$29=11,MAX($N$184*$N$161,$N$184*($N$161+$D$31)-$N$163*$D$31,$N$184*($N$161+2*$D$31)-3*$N$163*$D$31,$N$184*($N$161+3*$D$31)-6*$N$163*$D$31,$N$184*($N$161+4*$D$31)-10*$N$163*$D$31,$N$184*($N$161+5*$D$31)-15*$N$163*$D$31,$N$184*($N$161+6*$D$31)-21*$N$163*$D$31,$N$184*($N$161+7*$D$31)-28*$N$163*$D$31,$N$184*($N$161+8*$D$31)-36*$N$163*$D$31,$N$184*($N$161+9*$D$31)-45*$N$163*$D$31,$N$184*($N$161+10*$D$31)-55*$N$163*$D$31),"N.A.")</f>
        <v>N.A.</v>
      </c>
      <c r="O185" s="228" t="s">
        <v>305</v>
      </c>
      <c r="P185" s="228">
        <f>IF($D$29=11,LOOKUP(MATCH($N$185,$T$185:$AE$185,0),$T$163:$AE$163,$T$184:$AE$184),"")</f>
      </c>
      <c r="S185" s="227"/>
      <c r="T185" s="221" t="str">
        <f>IF($D$29=11,$N$184*$N$161,"N.A.")</f>
        <v>N.A.</v>
      </c>
      <c r="U185" s="221" t="str">
        <f>IF($D$29=11,$N$184*($N$161+$D$31)-$N$163*$D$31,"N.A.")</f>
        <v>N.A.</v>
      </c>
      <c r="V185" s="221" t="str">
        <f>IF($D$29=11,$N$184*($N$161+2*$D$31)-3*$N$163*$D$31,"N.A.")</f>
        <v>N.A.</v>
      </c>
      <c r="W185" s="221" t="str">
        <f>IF($D$29=11,$N$184*($N$161+3*$D$31)-6*$N$163*$D$31,"N.A.")</f>
        <v>N.A.</v>
      </c>
      <c r="X185" s="221" t="str">
        <f>IF($D$29=11,$N$184*($N$161+4*$D$31)-10*$N$163*$D$31,"N.A.")</f>
        <v>N.A.</v>
      </c>
      <c r="Y185" s="221" t="str">
        <f>IF($D$29=11,$N$184*($N$161+5*$D$31)-15*$N$163*$D$31,"N.A.")</f>
        <v>N.A.</v>
      </c>
      <c r="Z185" s="221" t="str">
        <f>IF($D$29=11,$N$184*($N$161+6*$D$31)-21*$N$163*$D$31,"N.A.")</f>
        <v>N.A.</v>
      </c>
      <c r="AA185" s="221" t="str">
        <f>IF($D$29=11,$N$184*($N$161+7*$D$31)-28*$N$163*$D$31,"N.A.")</f>
        <v>N.A.</v>
      </c>
      <c r="AB185" s="221" t="str">
        <f>IF($D$29=11,$N$184*($N$161+8*$D$31)-36*$N$163*$D$31,"N.A.")</f>
        <v>N.A.</v>
      </c>
      <c r="AC185" s="221" t="str">
        <f>IF($D$29=11,$N$184*($N$161+9*$D$31)-45*$N$163*$D$31,"N.A.")</f>
        <v>N.A.</v>
      </c>
      <c r="AD185" s="221" t="str">
        <f>IF($D$29=11,$N$184*($N$161+10*$D$31)-55*$N$163*$D$31,"N.A.")</f>
        <v>N.A.</v>
      </c>
      <c r="AE185" s="221"/>
      <c r="AF185" s="289" t="s">
        <v>627</v>
      </c>
      <c r="AG185" s="290">
        <v>83.3</v>
      </c>
      <c r="AH185" s="291">
        <v>16.7</v>
      </c>
      <c r="AI185" s="293">
        <v>1.29</v>
      </c>
      <c r="AJ185" s="291">
        <v>16.1</v>
      </c>
      <c r="AK185" s="293">
        <v>2.07</v>
      </c>
      <c r="AL185" s="294">
        <v>2.67</v>
      </c>
      <c r="AN185" s="49"/>
      <c r="AO185" s="98"/>
    </row>
    <row r="186" spans="1:41" ht="12.75">
      <c r="A186" s="68" t="s">
        <v>282</v>
      </c>
      <c r="B186" s="164">
        <f>$N$141</f>
        <v>3.5</v>
      </c>
      <c r="C186" s="233" t="s">
        <v>229</v>
      </c>
      <c r="D186" s="51" t="str">
        <f>$P$141</f>
        <v>L = g</v>
      </c>
      <c r="E186" s="9"/>
      <c r="F186" s="9"/>
      <c r="G186" s="9"/>
      <c r="H186" s="9"/>
      <c r="I186" s="251"/>
      <c r="L186" s="32">
        <v>12</v>
      </c>
      <c r="M186" s="32" t="s">
        <v>304</v>
      </c>
      <c r="N186" s="40" t="str">
        <f>IF($D$29=12,12*$N$163-$N$163*(12*$N$161+66*$D$31)/$N$162,"N.A.")</f>
        <v>N.A.</v>
      </c>
      <c r="O186" s="30" t="s">
        <v>206</v>
      </c>
      <c r="P186" s="30">
        <f>IF($D$29=12,"Rw = 12*Pb-Pb*(12*a+66*S)/T","")</f>
      </c>
      <c r="S186" s="227">
        <v>12</v>
      </c>
      <c r="T186" s="226" t="s">
        <v>307</v>
      </c>
      <c r="U186" s="226" t="s">
        <v>166</v>
      </c>
      <c r="V186" s="226" t="s">
        <v>167</v>
      </c>
      <c r="W186" s="226" t="s">
        <v>168</v>
      </c>
      <c r="X186" s="226" t="s">
        <v>169</v>
      </c>
      <c r="Y186" s="226" t="s">
        <v>170</v>
      </c>
      <c r="Z186" s="226" t="s">
        <v>270</v>
      </c>
      <c r="AA186" s="226" t="s">
        <v>271</v>
      </c>
      <c r="AB186" s="226" t="s">
        <v>272</v>
      </c>
      <c r="AC186" s="226" t="s">
        <v>273</v>
      </c>
      <c r="AD186" s="226" t="s">
        <v>274</v>
      </c>
      <c r="AE186" s="226" t="s">
        <v>275</v>
      </c>
      <c r="AF186" s="289" t="s">
        <v>628</v>
      </c>
      <c r="AG186" s="290">
        <v>75.6</v>
      </c>
      <c r="AH186" s="291">
        <v>16.4</v>
      </c>
      <c r="AI186" s="293">
        <v>1.18</v>
      </c>
      <c r="AJ186" s="291">
        <v>16</v>
      </c>
      <c r="AK186" s="293">
        <v>1.89</v>
      </c>
      <c r="AL186" s="294">
        <v>2.49</v>
      </c>
      <c r="AN186" s="49"/>
      <c r="AO186" s="98"/>
    </row>
    <row r="187" spans="1:41" ht="12.75">
      <c r="A187" s="80" t="s">
        <v>339</v>
      </c>
      <c r="B187" s="168">
        <f>$N$142</f>
        <v>0.9</v>
      </c>
      <c r="C187" s="233"/>
      <c r="D187" s="81" t="s">
        <v>341</v>
      </c>
      <c r="E187" s="9"/>
      <c r="F187" s="9"/>
      <c r="G187" s="9"/>
      <c r="H187" s="9"/>
      <c r="I187" s="251"/>
      <c r="L187" s="225">
        <v>12</v>
      </c>
      <c r="M187" s="225" t="s">
        <v>154</v>
      </c>
      <c r="N187" s="221" t="str">
        <f>IF($D$29=12,MAX($N$186*$N$161,$N$186*($N$161+$D$31)-$N$163*$D$31,$N$186*($N$161+2*$D$31)-3*$N$163*$D$31,$N$186*($N$161+3*$D$31)-6*$N$163*$D$31,$N$186*($N$161+4*$D$31)-10*$N$163*$D$31,$N$186*($N$161+5*$D$31)-15*$N$163*$D$31,$N$186*($N$161+6*$D$31)-21*$N$163*$D$31,$N$186*($N$161+7*$D$31)-28*$N$163*$D$31,$N$186*($N$161+8*$D$31)-36*$N$163*$D$31,$N$186*($N$161+9*$D$31)-45*$N$163*$D$31,$N$186*($N$161+10*$D$31)-55*$N$163*$D$31,$N$186*($N$161+11*$D$31)-66*$N$163*$D$31),"N.A.")</f>
        <v>N.A.</v>
      </c>
      <c r="O187" s="228" t="s">
        <v>305</v>
      </c>
      <c r="P187" s="228">
        <f>IF($D$29=12,LOOKUP(MATCH($N$187,$T$187:$AE$187,0),$T$163:$AE$163,$T$186:$AE$186),"")</f>
      </c>
      <c r="S187" s="227"/>
      <c r="T187" s="221" t="str">
        <f>IF($D$29=12,$N$186*$N$161,"N.A.")</f>
        <v>N.A.</v>
      </c>
      <c r="U187" s="221" t="str">
        <f>IF($D$29=12,$N$186*($N$161+$D$31)-$N$163*$D$31,"N.A.")</f>
        <v>N.A.</v>
      </c>
      <c r="V187" s="221" t="str">
        <f>IF($D$29=12,$N$186*($N$161+2*$D$31)-3*$N$163*$D$31,"N.A.")</f>
        <v>N.A.</v>
      </c>
      <c r="W187" s="221" t="str">
        <f>IF($D$29=12,$N$186*($N$161+3*$D$31)-6*$N$163*$D$31,"N.A.")</f>
        <v>N.A.</v>
      </c>
      <c r="X187" s="221" t="str">
        <f>IF($D$29=12,$N$186*($N$161+4*$D$31)-10*$N$163*$D$31,"N.A.")</f>
        <v>N.A.</v>
      </c>
      <c r="Y187" s="221" t="str">
        <f>IF($D$29=12,$N$186*($N$161+5*$D$31)-15*$N$163*$D$31,"N.A.")</f>
        <v>N.A.</v>
      </c>
      <c r="Z187" s="221" t="str">
        <f>IF($D$29=12,$N$186*($N$161+6*$D$31)-21*$N$163*$D$31,"N.A.")</f>
        <v>N.A.</v>
      </c>
      <c r="AA187" s="221" t="str">
        <f>IF($D$29=12,$N$186*($N$161+7*$D$31)-28*$N$163*$D$31,"N.A.")</f>
        <v>N.A.</v>
      </c>
      <c r="AB187" s="221" t="str">
        <f>IF($D$29=12,$N$186*($N$161+8*$D$31)-36*$N$163*$D$31,"N.A.")</f>
        <v>N.A.</v>
      </c>
      <c r="AC187" s="221" t="str">
        <f>IF($D$29=12,$N$186*($N$161+9*$D$31)-45*$N$163*$D$31,"N.A.")</f>
        <v>N.A.</v>
      </c>
      <c r="AD187" s="221" t="str">
        <f>IF($D$29=12,$N$186*($N$161+10*$D$31)-55*$N$163*$D$31,"N.A.")</f>
        <v>N.A.</v>
      </c>
      <c r="AE187" s="221" t="str">
        <f>IF($D$29=12,$N$186*($N$161+11*$D$31)-66*$N$163*$D$31,"N.A.")</f>
        <v>N.A.</v>
      </c>
      <c r="AF187" s="289" t="s">
        <v>629</v>
      </c>
      <c r="AG187" s="290">
        <v>68.5</v>
      </c>
      <c r="AH187" s="291">
        <v>16</v>
      </c>
      <c r="AI187" s="293">
        <v>1.07</v>
      </c>
      <c r="AJ187" s="291">
        <v>15.9</v>
      </c>
      <c r="AK187" s="293">
        <v>1.72</v>
      </c>
      <c r="AL187" s="294">
        <v>2.32</v>
      </c>
      <c r="AN187" s="49"/>
      <c r="AO187" s="98"/>
    </row>
    <row r="188" spans="1:41" ht="12.75">
      <c r="A188" s="80" t="s">
        <v>340</v>
      </c>
      <c r="B188" s="168">
        <f>$N$143</f>
        <v>37.96065576653459</v>
      </c>
      <c r="C188" s="233" t="s">
        <v>206</v>
      </c>
      <c r="D188" s="81" t="s">
        <v>358</v>
      </c>
      <c r="E188" s="44"/>
      <c r="F188" s="54"/>
      <c r="G188" s="54"/>
      <c r="H188" s="9"/>
      <c r="I188" s="251"/>
      <c r="M188" s="138"/>
      <c r="N188" s="133"/>
      <c r="O188" s="133"/>
      <c r="P188" s="133"/>
      <c r="Q188" s="133"/>
      <c r="R188" s="133"/>
      <c r="S188" s="133"/>
      <c r="T188" s="133"/>
      <c r="U188" s="132"/>
      <c r="V188" s="133"/>
      <c r="W188" s="133"/>
      <c r="X188" s="133"/>
      <c r="Y188" s="133"/>
      <c r="Z188" s="132"/>
      <c r="AA188" s="132"/>
      <c r="AB188" s="365"/>
      <c r="AC188" s="365"/>
      <c r="AD188" s="36"/>
      <c r="AF188" s="289" t="s">
        <v>630</v>
      </c>
      <c r="AG188" s="290">
        <v>62</v>
      </c>
      <c r="AH188" s="291">
        <v>15.7</v>
      </c>
      <c r="AI188" s="292">
        <v>0.98</v>
      </c>
      <c r="AJ188" s="291">
        <v>15.8</v>
      </c>
      <c r="AK188" s="293">
        <v>1.56</v>
      </c>
      <c r="AL188" s="294">
        <v>2.16</v>
      </c>
      <c r="AN188" s="49"/>
      <c r="AO188" s="98"/>
    </row>
    <row r="189" spans="1:41" ht="12.75">
      <c r="A189" s="68" t="s">
        <v>338</v>
      </c>
      <c r="B189" s="172">
        <f>$N$144</f>
        <v>25.307103844356394</v>
      </c>
      <c r="C189" s="233" t="s">
        <v>206</v>
      </c>
      <c r="D189" s="51" t="s">
        <v>346</v>
      </c>
      <c r="E189" s="54"/>
      <c r="F189" s="54"/>
      <c r="G189" s="44"/>
      <c r="H189" s="85"/>
      <c r="I189" s="251"/>
      <c r="M189" s="138"/>
      <c r="N189" s="133"/>
      <c r="O189" s="133"/>
      <c r="P189" s="133"/>
      <c r="Q189" s="133"/>
      <c r="R189" s="133"/>
      <c r="S189" s="133"/>
      <c r="T189" s="133"/>
      <c r="U189" s="133"/>
      <c r="V189" s="132"/>
      <c r="W189" s="133"/>
      <c r="X189" s="133"/>
      <c r="Y189" s="132"/>
      <c r="Z189" s="133"/>
      <c r="AA189" s="133"/>
      <c r="AB189" s="133"/>
      <c r="AC189" s="133"/>
      <c r="AD189" s="36"/>
      <c r="AF189" s="289" t="s">
        <v>631</v>
      </c>
      <c r="AG189" s="290">
        <v>56.8</v>
      </c>
      <c r="AH189" s="291">
        <v>15.5</v>
      </c>
      <c r="AI189" s="292">
        <v>0.89</v>
      </c>
      <c r="AJ189" s="291">
        <v>15.7</v>
      </c>
      <c r="AK189" s="293">
        <v>1.44</v>
      </c>
      <c r="AL189" s="294">
        <v>2.04</v>
      </c>
      <c r="AN189" s="49"/>
      <c r="AO189" s="98"/>
    </row>
    <row r="190" spans="1:41" ht="12.75">
      <c r="A190" s="18"/>
      <c r="B190" s="9"/>
      <c r="C190" s="9"/>
      <c r="D190" s="9"/>
      <c r="E190" s="9"/>
      <c r="F190" s="9"/>
      <c r="G190" s="9"/>
      <c r="H190" s="79"/>
      <c r="I190" s="251" t="str">
        <f>IF($D$17&gt;0,IF($D$39="Yes",IF($B$189&gt;=$D$17,"Pa &gt;= P,  O.K.  ","Pa &lt; P, N.G.  "),""),"")</f>
        <v>Pa &gt;= P,  O.K.  </v>
      </c>
      <c r="M190" s="138"/>
      <c r="N190" s="133"/>
      <c r="O190" s="133"/>
      <c r="P190" s="133"/>
      <c r="Q190" s="133"/>
      <c r="R190" s="133"/>
      <c r="S190" s="133"/>
      <c r="T190" s="133"/>
      <c r="U190" s="132"/>
      <c r="V190" s="132"/>
      <c r="W190" s="132"/>
      <c r="X190" s="133"/>
      <c r="Y190" s="133"/>
      <c r="Z190" s="133"/>
      <c r="AA190" s="133"/>
      <c r="AB190" s="132"/>
      <c r="AC190" s="133"/>
      <c r="AD190" s="36"/>
      <c r="AF190" s="289" t="s">
        <v>632</v>
      </c>
      <c r="AG190" s="290">
        <v>51.8</v>
      </c>
      <c r="AH190" s="291">
        <v>15.2</v>
      </c>
      <c r="AI190" s="292">
        <v>0.83</v>
      </c>
      <c r="AJ190" s="291">
        <v>15.7</v>
      </c>
      <c r="AK190" s="293">
        <v>1.31</v>
      </c>
      <c r="AL190" s="294">
        <v>1.91</v>
      </c>
      <c r="AN190" s="49" t="s">
        <v>278</v>
      </c>
      <c r="AO190" s="98">
        <f>IF($D$17&gt;0,IF($D$39="Yes",$D$17/$B$189,""),"")</f>
        <v>0.3951459661880689</v>
      </c>
    </row>
    <row r="191" spans="1:41" ht="12.75">
      <c r="A191" s="18"/>
      <c r="B191" s="9"/>
      <c r="C191" s="9"/>
      <c r="D191" s="9"/>
      <c r="E191" s="9"/>
      <c r="F191" s="9"/>
      <c r="G191" s="9"/>
      <c r="H191" s="9"/>
      <c r="I191" s="13"/>
      <c r="M191" s="138"/>
      <c r="N191" s="133"/>
      <c r="O191" s="133"/>
      <c r="P191" s="133"/>
      <c r="Q191" s="133"/>
      <c r="R191" s="133"/>
      <c r="S191" s="133"/>
      <c r="T191" s="133"/>
      <c r="U191" s="132"/>
      <c r="V191" s="133"/>
      <c r="W191" s="133"/>
      <c r="X191" s="133"/>
      <c r="Y191" s="133"/>
      <c r="Z191" s="133"/>
      <c r="AA191" s="133"/>
      <c r="AB191" s="133"/>
      <c r="AC191" s="133"/>
      <c r="AD191" s="36"/>
      <c r="AF191" s="289" t="s">
        <v>633</v>
      </c>
      <c r="AG191" s="290">
        <v>46.7</v>
      </c>
      <c r="AH191" s="291">
        <v>15</v>
      </c>
      <c r="AI191" s="292">
        <v>0.745</v>
      </c>
      <c r="AJ191" s="291">
        <v>15.6</v>
      </c>
      <c r="AK191" s="293">
        <v>1.19</v>
      </c>
      <c r="AL191" s="294">
        <v>1.79</v>
      </c>
      <c r="AN191" s="49"/>
      <c r="AO191" s="98"/>
    </row>
    <row r="192" spans="1:41" ht="12.75">
      <c r="A192" s="72" t="s">
        <v>182</v>
      </c>
      <c r="B192" s="44"/>
      <c r="C192" s="115"/>
      <c r="D192" s="51"/>
      <c r="E192" s="54"/>
      <c r="F192" s="44"/>
      <c r="G192" s="97"/>
      <c r="H192" s="9"/>
      <c r="I192" s="251"/>
      <c r="M192" s="138"/>
      <c r="N192" s="133"/>
      <c r="O192" s="133"/>
      <c r="P192" s="133"/>
      <c r="Q192" s="133"/>
      <c r="R192" s="133"/>
      <c r="S192" s="133"/>
      <c r="T192" s="133"/>
      <c r="U192" s="133"/>
      <c r="V192" s="132"/>
      <c r="W192" s="133"/>
      <c r="X192" s="133"/>
      <c r="Y192" s="133"/>
      <c r="Z192" s="133"/>
      <c r="AA192" s="133"/>
      <c r="AB192" s="133"/>
      <c r="AC192" s="133"/>
      <c r="AD192" s="36"/>
      <c r="AF192" s="289" t="s">
        <v>634</v>
      </c>
      <c r="AG192" s="290">
        <v>42.7</v>
      </c>
      <c r="AH192" s="291">
        <v>14.8</v>
      </c>
      <c r="AI192" s="292">
        <v>0.68</v>
      </c>
      <c r="AJ192" s="291">
        <v>15.5</v>
      </c>
      <c r="AK192" s="293">
        <v>1.09</v>
      </c>
      <c r="AL192" s="294">
        <v>1.69</v>
      </c>
      <c r="AN192" s="49"/>
      <c r="AO192" s="98"/>
    </row>
    <row r="193" spans="1:41" ht="12.75">
      <c r="A193" s="68" t="s">
        <v>184</v>
      </c>
      <c r="B193" s="171">
        <f>$N$146</f>
        <v>0.4</v>
      </c>
      <c r="C193" s="107" t="s">
        <v>229</v>
      </c>
      <c r="D193" s="51" t="str">
        <f>$P$146</f>
        <v>twg = tw+td*(Fyd/Fyg)</v>
      </c>
      <c r="E193" s="9"/>
      <c r="F193" s="9"/>
      <c r="G193" s="9"/>
      <c r="H193" s="9"/>
      <c r="I193" s="251"/>
      <c r="M193" s="138"/>
      <c r="N193" s="133"/>
      <c r="O193" s="133"/>
      <c r="P193" s="133"/>
      <c r="Q193" s="133"/>
      <c r="R193" s="133"/>
      <c r="S193" s="133"/>
      <c r="T193" s="132"/>
      <c r="U193" s="133"/>
      <c r="V193" s="132"/>
      <c r="W193" s="133"/>
      <c r="X193" s="133"/>
      <c r="Y193" s="133"/>
      <c r="Z193" s="133"/>
      <c r="AA193" s="133"/>
      <c r="AB193" s="133"/>
      <c r="AC193" s="132"/>
      <c r="AD193" s="36"/>
      <c r="AF193" s="289" t="s">
        <v>635</v>
      </c>
      <c r="AG193" s="290">
        <v>38.8</v>
      </c>
      <c r="AH193" s="291">
        <v>14.7</v>
      </c>
      <c r="AI193" s="292">
        <v>0.645</v>
      </c>
      <c r="AJ193" s="291">
        <v>14.7</v>
      </c>
      <c r="AK193" s="293">
        <v>1.03</v>
      </c>
      <c r="AL193" s="294">
        <v>1.63</v>
      </c>
      <c r="AN193" s="49"/>
      <c r="AO193" s="98"/>
    </row>
    <row r="194" spans="1:41" ht="12.75">
      <c r="A194" s="61" t="s">
        <v>304</v>
      </c>
      <c r="B194" s="168">
        <f>$N$147</f>
        <v>3.2329424307036243</v>
      </c>
      <c r="C194" s="106" t="s">
        <v>206</v>
      </c>
      <c r="D194" s="51" t="str">
        <f>$P$147</f>
        <v>Rw = 4*Pb-Pb*(4*a+6*S)/T</v>
      </c>
      <c r="E194" s="9"/>
      <c r="F194" s="9"/>
      <c r="G194" s="44"/>
      <c r="H194" s="44"/>
      <c r="I194" s="251"/>
      <c r="M194" s="138"/>
      <c r="N194" s="133"/>
      <c r="O194" s="133"/>
      <c r="P194" s="133"/>
      <c r="Q194" s="133"/>
      <c r="R194" s="133"/>
      <c r="S194" s="133"/>
      <c r="T194" s="133"/>
      <c r="U194" s="133"/>
      <c r="V194" s="133"/>
      <c r="W194" s="133"/>
      <c r="X194" s="133"/>
      <c r="Y194" s="133"/>
      <c r="Z194" s="133"/>
      <c r="AA194" s="132"/>
      <c r="AB194" s="133"/>
      <c r="AC194" s="132"/>
      <c r="AD194" s="36"/>
      <c r="AF194" s="289" t="s">
        <v>636</v>
      </c>
      <c r="AG194" s="290">
        <v>35.3</v>
      </c>
      <c r="AH194" s="291">
        <v>14.5</v>
      </c>
      <c r="AI194" s="292">
        <v>0.59</v>
      </c>
      <c r="AJ194" s="291">
        <v>14.7</v>
      </c>
      <c r="AK194" s="292">
        <v>0.94</v>
      </c>
      <c r="AL194" s="294">
        <v>1.54</v>
      </c>
      <c r="AN194" s="49"/>
      <c r="AO194" s="98"/>
    </row>
    <row r="195" spans="1:41" ht="12.75">
      <c r="A195" s="68" t="s">
        <v>201</v>
      </c>
      <c r="B195" s="168">
        <f>$N$148</f>
        <v>3.1540901762962186</v>
      </c>
      <c r="C195" s="107" t="s">
        <v>212</v>
      </c>
      <c r="D195" s="51" t="str">
        <f>$P$148</f>
        <v>fv = Rw/(twg*(g-dhg))</v>
      </c>
      <c r="E195" s="54"/>
      <c r="F195" s="54"/>
      <c r="G195" s="44"/>
      <c r="H195" s="9"/>
      <c r="I195" s="251"/>
      <c r="M195" s="132"/>
      <c r="N195" s="133"/>
      <c r="O195" s="133"/>
      <c r="P195" s="132"/>
      <c r="Q195" s="133"/>
      <c r="R195" s="133"/>
      <c r="S195" s="133"/>
      <c r="T195" s="133"/>
      <c r="U195" s="133"/>
      <c r="V195" s="133"/>
      <c r="W195" s="133"/>
      <c r="X195" s="133"/>
      <c r="Y195" s="133"/>
      <c r="Z195" s="133"/>
      <c r="AA195" s="133"/>
      <c r="AB195" s="133"/>
      <c r="AC195" s="133"/>
      <c r="AD195" s="36"/>
      <c r="AF195" s="289" t="s">
        <v>637</v>
      </c>
      <c r="AG195" s="290">
        <v>32</v>
      </c>
      <c r="AH195" s="291">
        <v>14.3</v>
      </c>
      <c r="AI195" s="292">
        <v>0.525</v>
      </c>
      <c r="AJ195" s="291">
        <v>14.6</v>
      </c>
      <c r="AK195" s="292">
        <v>0.86</v>
      </c>
      <c r="AL195" s="294">
        <v>1.46</v>
      </c>
      <c r="AN195" s="49"/>
      <c r="AO195" s="98"/>
    </row>
    <row r="196" spans="1:41" ht="12.75">
      <c r="A196" s="68" t="s">
        <v>214</v>
      </c>
      <c r="B196" s="172">
        <f>$N$149</f>
        <v>20</v>
      </c>
      <c r="C196" s="107" t="s">
        <v>212</v>
      </c>
      <c r="D196" s="51" t="str">
        <f>$P$149</f>
        <v>Fv = (1/1.5)*0.6*Fyg</v>
      </c>
      <c r="E196" s="54"/>
      <c r="F196" s="54"/>
      <c r="G196" s="9"/>
      <c r="H196" s="79"/>
      <c r="I196" s="251" t="str">
        <f>IF($D$17&gt;0,IF($D$39="Yes",IF($B$196&gt;=$B$195,"Fv &gt;= fv,  O.K.  ","Fv &lt; fv, N.G.  "),""),"")</f>
        <v>Fv &gt;= fv,  O.K.  </v>
      </c>
      <c r="M196" s="132"/>
      <c r="N196" s="133"/>
      <c r="O196" s="133"/>
      <c r="P196" s="133"/>
      <c r="Q196" s="133"/>
      <c r="R196" s="133"/>
      <c r="S196" s="133"/>
      <c r="T196" s="133"/>
      <c r="U196" s="133"/>
      <c r="V196" s="133"/>
      <c r="W196" s="133"/>
      <c r="X196" s="133"/>
      <c r="Y196" s="133"/>
      <c r="Z196" s="133"/>
      <c r="AA196" s="133"/>
      <c r="AB196" s="133"/>
      <c r="AC196" s="133"/>
      <c r="AD196" s="36"/>
      <c r="AF196" s="289" t="s">
        <v>638</v>
      </c>
      <c r="AG196" s="290">
        <v>29.1</v>
      </c>
      <c r="AH196" s="291">
        <v>14.2</v>
      </c>
      <c r="AI196" s="292">
        <v>0.485</v>
      </c>
      <c r="AJ196" s="291">
        <v>14.6</v>
      </c>
      <c r="AK196" s="292">
        <v>0.78</v>
      </c>
      <c r="AL196" s="294">
        <v>1.38</v>
      </c>
      <c r="AN196" s="49" t="s">
        <v>278</v>
      </c>
      <c r="AO196" s="8">
        <f>IF($D$17&gt;0,IF($D$39="Yes",$B$195/$B$196,""),"")</f>
        <v>0.15770450881481093</v>
      </c>
    </row>
    <row r="197" spans="1:41" ht="12.75">
      <c r="A197" s="18"/>
      <c r="B197" s="9"/>
      <c r="C197" s="106"/>
      <c r="D197" s="9"/>
      <c r="E197" s="9"/>
      <c r="F197" s="9"/>
      <c r="G197" s="44"/>
      <c r="H197" s="44"/>
      <c r="I197" s="251"/>
      <c r="M197" s="132"/>
      <c r="N197" s="133"/>
      <c r="O197" s="133"/>
      <c r="P197" s="133"/>
      <c r="Q197" s="133"/>
      <c r="R197" s="133"/>
      <c r="S197" s="133"/>
      <c r="T197" s="133"/>
      <c r="U197" s="133"/>
      <c r="V197" s="133"/>
      <c r="W197" s="133"/>
      <c r="X197" s="133"/>
      <c r="Y197" s="133"/>
      <c r="Z197" s="133"/>
      <c r="AA197" s="133"/>
      <c r="AB197" s="132"/>
      <c r="AC197" s="133"/>
      <c r="AD197" s="36"/>
      <c r="AF197" s="289" t="s">
        <v>639</v>
      </c>
      <c r="AG197" s="290">
        <v>26.5</v>
      </c>
      <c r="AH197" s="291">
        <v>14</v>
      </c>
      <c r="AI197" s="292">
        <v>0.44</v>
      </c>
      <c r="AJ197" s="291">
        <v>14.5</v>
      </c>
      <c r="AK197" s="292">
        <v>0.71</v>
      </c>
      <c r="AL197" s="294">
        <v>1.31</v>
      </c>
      <c r="AN197" s="49"/>
      <c r="AO197" s="98"/>
    </row>
    <row r="198" spans="1:41" ht="12.75">
      <c r="A198" s="78" t="s">
        <v>183</v>
      </c>
      <c r="B198" s="54"/>
      <c r="C198" s="115"/>
      <c r="D198" s="62"/>
      <c r="E198" s="54"/>
      <c r="F198" s="54"/>
      <c r="G198" s="44"/>
      <c r="H198" s="44"/>
      <c r="I198" s="251"/>
      <c r="M198" s="132"/>
      <c r="N198" s="133"/>
      <c r="O198" s="133"/>
      <c r="P198" s="133"/>
      <c r="Q198" s="133"/>
      <c r="R198" s="133"/>
      <c r="S198" s="133"/>
      <c r="T198" s="133"/>
      <c r="U198" s="133"/>
      <c r="V198" s="133"/>
      <c r="W198" s="133"/>
      <c r="X198" s="133"/>
      <c r="Y198" s="133"/>
      <c r="Z198" s="133"/>
      <c r="AA198" s="133"/>
      <c r="AB198" s="133"/>
      <c r="AC198" s="133"/>
      <c r="AD198" s="36"/>
      <c r="AF198" s="289" t="s">
        <v>640</v>
      </c>
      <c r="AG198" s="290">
        <v>24</v>
      </c>
      <c r="AH198" s="291">
        <v>14.3</v>
      </c>
      <c r="AI198" s="292">
        <v>0.51</v>
      </c>
      <c r="AJ198" s="291">
        <v>10.1</v>
      </c>
      <c r="AK198" s="292">
        <v>0.855</v>
      </c>
      <c r="AL198" s="294">
        <v>1.45</v>
      </c>
      <c r="AN198" s="49"/>
      <c r="AO198" s="98"/>
    </row>
    <row r="199" spans="1:41" ht="12.75">
      <c r="A199" s="76" t="s">
        <v>150</v>
      </c>
      <c r="B199" s="162" t="str">
        <f>$N$151</f>
        <v>N.A.</v>
      </c>
      <c r="C199" s="107" t="s">
        <v>229</v>
      </c>
      <c r="D199" s="51" t="str">
        <f>$P$151</f>
        <v>Ldw = 2*((Nr-1)*S+2*ED)</v>
      </c>
      <c r="E199" s="54"/>
      <c r="F199" s="54"/>
      <c r="G199" s="44"/>
      <c r="H199" s="44"/>
      <c r="I199" s="251"/>
      <c r="M199" s="132"/>
      <c r="N199" s="133"/>
      <c r="O199" s="138"/>
      <c r="P199" s="133"/>
      <c r="Q199" s="133"/>
      <c r="R199" s="133"/>
      <c r="S199" s="133"/>
      <c r="T199" s="133"/>
      <c r="U199" s="133"/>
      <c r="V199" s="133"/>
      <c r="W199" s="133"/>
      <c r="X199" s="133"/>
      <c r="Y199" s="133"/>
      <c r="Z199" s="133"/>
      <c r="AA199" s="133"/>
      <c r="AB199" s="133"/>
      <c r="AC199" s="132"/>
      <c r="AD199" s="36"/>
      <c r="AF199" s="289" t="s">
        <v>641</v>
      </c>
      <c r="AG199" s="290">
        <v>21.8</v>
      </c>
      <c r="AH199" s="291">
        <v>14.2</v>
      </c>
      <c r="AI199" s="292">
        <v>0.45</v>
      </c>
      <c r="AJ199" s="291">
        <v>10.1</v>
      </c>
      <c r="AK199" s="292">
        <v>0.785</v>
      </c>
      <c r="AL199" s="294">
        <v>1.38</v>
      </c>
      <c r="AN199" s="49"/>
      <c r="AO199" s="98"/>
    </row>
    <row r="200" spans="1:41" ht="12.75">
      <c r="A200" s="76" t="s">
        <v>139</v>
      </c>
      <c r="B200" s="168" t="str">
        <f>$N$152</f>
        <v>N.A.</v>
      </c>
      <c r="C200" s="107" t="s">
        <v>140</v>
      </c>
      <c r="D200" s="51" t="str">
        <f>$P$152</f>
        <v>fw = P/Ldw</v>
      </c>
      <c r="E200" s="54"/>
      <c r="F200" s="54"/>
      <c r="G200" s="44"/>
      <c r="H200" s="44"/>
      <c r="I200" s="251"/>
      <c r="M200" s="132"/>
      <c r="N200" s="133"/>
      <c r="O200" s="133"/>
      <c r="P200" s="133"/>
      <c r="Q200" s="133"/>
      <c r="R200" s="133"/>
      <c r="S200" s="133"/>
      <c r="T200" s="133"/>
      <c r="U200" s="133"/>
      <c r="V200" s="133"/>
      <c r="W200" s="133"/>
      <c r="X200" s="133"/>
      <c r="Y200" s="133"/>
      <c r="Z200" s="133"/>
      <c r="AA200" s="133"/>
      <c r="AB200" s="133"/>
      <c r="AC200" s="133"/>
      <c r="AD200" s="36"/>
      <c r="AF200" s="289" t="s">
        <v>642</v>
      </c>
      <c r="AG200" s="290">
        <v>20</v>
      </c>
      <c r="AH200" s="291">
        <v>14</v>
      </c>
      <c r="AI200" s="292">
        <v>0.415</v>
      </c>
      <c r="AJ200" s="291">
        <v>10</v>
      </c>
      <c r="AK200" s="292">
        <v>0.72</v>
      </c>
      <c r="AL200" s="294">
        <v>1.31</v>
      </c>
      <c r="AN200" s="49"/>
      <c r="AO200" s="98"/>
    </row>
    <row r="201" spans="1:41" ht="12.75">
      <c r="A201" s="80" t="s">
        <v>147</v>
      </c>
      <c r="B201" s="168" t="str">
        <f>$N$153</f>
        <v>N.A.</v>
      </c>
      <c r="C201" s="107" t="s">
        <v>280</v>
      </c>
      <c r="D201" s="81" t="s">
        <v>151</v>
      </c>
      <c r="E201" s="54"/>
      <c r="F201" s="54"/>
      <c r="G201" s="44"/>
      <c r="H201" s="97"/>
      <c r="I201" s="251"/>
      <c r="M201" s="132"/>
      <c r="N201" s="368"/>
      <c r="O201" s="133"/>
      <c r="P201" s="133"/>
      <c r="Q201" s="133"/>
      <c r="R201" s="133"/>
      <c r="S201" s="133"/>
      <c r="T201" s="133"/>
      <c r="U201" s="133"/>
      <c r="V201" s="132"/>
      <c r="W201" s="133"/>
      <c r="X201" s="132"/>
      <c r="Y201" s="133"/>
      <c r="Z201" s="133"/>
      <c r="AA201" s="133"/>
      <c r="AB201" s="133"/>
      <c r="AC201" s="133"/>
      <c r="AD201" s="36"/>
      <c r="AF201" s="289" t="s">
        <v>643</v>
      </c>
      <c r="AG201" s="290">
        <v>17.9</v>
      </c>
      <c r="AH201" s="291">
        <v>13.9</v>
      </c>
      <c r="AI201" s="292">
        <v>0.375</v>
      </c>
      <c r="AJ201" s="291">
        <v>10</v>
      </c>
      <c r="AK201" s="292">
        <v>0.645</v>
      </c>
      <c r="AL201" s="294">
        <v>1.24</v>
      </c>
      <c r="AN201" s="49"/>
      <c r="AO201" s="98"/>
    </row>
    <row r="202" spans="1:41" ht="12.75">
      <c r="A202" s="80" t="s">
        <v>225</v>
      </c>
      <c r="B202" s="172" t="str">
        <f>$N$154</f>
        <v>N.A.</v>
      </c>
      <c r="C202" s="107" t="s">
        <v>280</v>
      </c>
      <c r="D202" s="81" t="s">
        <v>225</v>
      </c>
      <c r="E202" s="51" t="str">
        <f>$Q$154</f>
        <v>0.40*Fyd*td/((SQRT(2)/2)*0.30*70)</v>
      </c>
      <c r="F202" s="54"/>
      <c r="G202" s="9"/>
      <c r="H202" s="9"/>
      <c r="I202" s="251"/>
      <c r="M202" s="132"/>
      <c r="N202" s="133"/>
      <c r="O202" s="133"/>
      <c r="P202" s="133"/>
      <c r="Q202" s="138"/>
      <c r="R202" s="133"/>
      <c r="S202" s="133"/>
      <c r="T202" s="133"/>
      <c r="U202" s="133"/>
      <c r="V202" s="132"/>
      <c r="W202" s="133"/>
      <c r="X202" s="133"/>
      <c r="Y202" s="132"/>
      <c r="Z202" s="133"/>
      <c r="AA202" s="133"/>
      <c r="AB202" s="133"/>
      <c r="AC202" s="133"/>
      <c r="AD202" s="36"/>
      <c r="AF202" s="289" t="s">
        <v>644</v>
      </c>
      <c r="AG202" s="290">
        <v>15.6</v>
      </c>
      <c r="AH202" s="291">
        <v>13.9</v>
      </c>
      <c r="AI202" s="292">
        <v>0.37</v>
      </c>
      <c r="AJ202" s="293">
        <v>8.06</v>
      </c>
      <c r="AK202" s="292">
        <v>0.66</v>
      </c>
      <c r="AL202" s="294">
        <v>1.25</v>
      </c>
      <c r="AN202" s="49"/>
      <c r="AO202" s="98"/>
    </row>
    <row r="203" spans="1:41" ht="12.75">
      <c r="A203" s="80"/>
      <c r="B203" s="46"/>
      <c r="C203" s="107"/>
      <c r="D203" s="81"/>
      <c r="E203" s="51"/>
      <c r="F203" s="44"/>
      <c r="G203" s="58"/>
      <c r="H203" s="9"/>
      <c r="I203" s="251">
        <f>IF($D$17&gt;0,IF($D$39="Yes",IF($D$37&gt;0,IF($B$201&lt;=$B$202,"Weld size &lt;= weld max., O.K.  ","Weld size &gt; weld max."),""),""),"")</f>
      </c>
      <c r="M203" s="132"/>
      <c r="N203" s="133"/>
      <c r="O203" s="138"/>
      <c r="P203" s="133"/>
      <c r="Q203" s="133"/>
      <c r="R203" s="133"/>
      <c r="S203" s="133"/>
      <c r="T203" s="133"/>
      <c r="U203" s="138"/>
      <c r="V203" s="133"/>
      <c r="W203" s="133"/>
      <c r="X203" s="133"/>
      <c r="Y203" s="133"/>
      <c r="Z203" s="132"/>
      <c r="AA203" s="133"/>
      <c r="AB203" s="133"/>
      <c r="AC203" s="133"/>
      <c r="AD203" s="36"/>
      <c r="AF203" s="289" t="s">
        <v>645</v>
      </c>
      <c r="AG203" s="290">
        <v>14.1</v>
      </c>
      <c r="AH203" s="291">
        <v>13.8</v>
      </c>
      <c r="AI203" s="292">
        <v>0.34</v>
      </c>
      <c r="AJ203" s="293">
        <v>8.03</v>
      </c>
      <c r="AK203" s="292">
        <v>0.595</v>
      </c>
      <c r="AL203" s="294">
        <v>1.19</v>
      </c>
      <c r="AN203" s="49" t="s">
        <v>278</v>
      </c>
      <c r="AO203" s="98">
        <f>IF($D$17&gt;0,IF($D$39="Yes",IF($D$37&gt;0,$B$201/$B$202,""),""),"")</f>
      </c>
    </row>
    <row r="204" spans="1:41" ht="12.75">
      <c r="A204" s="143"/>
      <c r="B204" s="77"/>
      <c r="C204" s="146"/>
      <c r="D204" s="77"/>
      <c r="E204" s="77"/>
      <c r="F204" s="77"/>
      <c r="G204" s="77"/>
      <c r="H204" s="20"/>
      <c r="I204" s="122"/>
      <c r="M204" s="132"/>
      <c r="N204" s="133"/>
      <c r="O204" s="133"/>
      <c r="P204" s="133"/>
      <c r="Q204" s="133"/>
      <c r="R204" s="133"/>
      <c r="S204" s="133"/>
      <c r="T204" s="133"/>
      <c r="U204" s="133"/>
      <c r="V204" s="133"/>
      <c r="W204" s="133"/>
      <c r="X204" s="133"/>
      <c r="Y204" s="133"/>
      <c r="Z204" s="133"/>
      <c r="AA204" s="132"/>
      <c r="AB204" s="133"/>
      <c r="AC204" s="133"/>
      <c r="AD204" s="36"/>
      <c r="AF204" s="289" t="s">
        <v>646</v>
      </c>
      <c r="AG204" s="290">
        <v>12.6</v>
      </c>
      <c r="AH204" s="291">
        <v>13.7</v>
      </c>
      <c r="AI204" s="292">
        <v>0.305</v>
      </c>
      <c r="AJ204" s="293">
        <v>8</v>
      </c>
      <c r="AK204" s="292">
        <v>0.53</v>
      </c>
      <c r="AL204" s="294">
        <v>1.12</v>
      </c>
      <c r="AN204" s="49"/>
      <c r="AO204" s="98"/>
    </row>
    <row r="205" spans="1:41" ht="12.75">
      <c r="A205" s="17"/>
      <c r="B205" s="17"/>
      <c r="C205" s="17"/>
      <c r="D205" s="17"/>
      <c r="E205" s="17"/>
      <c r="F205" s="17"/>
      <c r="G205" s="17"/>
      <c r="H205" s="17"/>
      <c r="I205" s="17"/>
      <c r="M205" s="132"/>
      <c r="N205" s="133"/>
      <c r="O205" s="133"/>
      <c r="P205" s="133"/>
      <c r="Q205" s="133"/>
      <c r="R205" s="138"/>
      <c r="S205" s="133"/>
      <c r="T205" s="133"/>
      <c r="U205" s="133"/>
      <c r="V205" s="133"/>
      <c r="W205" s="133"/>
      <c r="X205" s="133"/>
      <c r="Y205" s="133"/>
      <c r="Z205" s="133"/>
      <c r="AA205" s="133"/>
      <c r="AB205" s="133"/>
      <c r="AC205" s="133"/>
      <c r="AD205" s="36"/>
      <c r="AF205" s="289" t="s">
        <v>647</v>
      </c>
      <c r="AG205" s="290">
        <v>11.2</v>
      </c>
      <c r="AH205" s="291">
        <v>14.1</v>
      </c>
      <c r="AI205" s="292">
        <v>0.31</v>
      </c>
      <c r="AJ205" s="293">
        <v>6.77</v>
      </c>
      <c r="AK205" s="292">
        <v>0.515</v>
      </c>
      <c r="AL205" s="296">
        <v>0.915</v>
      </c>
      <c r="AN205" s="49"/>
      <c r="AO205" s="98"/>
    </row>
    <row r="206" spans="1:41" ht="12.75">
      <c r="A206" s="9"/>
      <c r="B206" s="9"/>
      <c r="C206" s="9"/>
      <c r="D206" s="9"/>
      <c r="E206" s="9"/>
      <c r="F206" s="9"/>
      <c r="G206" s="9"/>
      <c r="H206" s="9"/>
      <c r="I206" s="59"/>
      <c r="M206" s="366"/>
      <c r="N206" s="138"/>
      <c r="O206" s="138"/>
      <c r="P206" s="138"/>
      <c r="Q206" s="138"/>
      <c r="R206" s="138"/>
      <c r="S206" s="138"/>
      <c r="T206" s="138"/>
      <c r="U206" s="138"/>
      <c r="V206" s="138"/>
      <c r="W206" s="138"/>
      <c r="X206" s="138"/>
      <c r="Y206" s="138"/>
      <c r="Z206" s="138"/>
      <c r="AA206" s="138"/>
      <c r="AB206" s="138"/>
      <c r="AC206" s="138"/>
      <c r="AD206" s="36"/>
      <c r="AF206" s="289" t="s">
        <v>648</v>
      </c>
      <c r="AG206" s="290">
        <v>10</v>
      </c>
      <c r="AH206" s="291">
        <v>14</v>
      </c>
      <c r="AI206" s="292">
        <v>0.285</v>
      </c>
      <c r="AJ206" s="293">
        <v>6.75</v>
      </c>
      <c r="AK206" s="292">
        <v>0.455</v>
      </c>
      <c r="AL206" s="296">
        <v>0.855</v>
      </c>
      <c r="AO206" s="98"/>
    </row>
    <row r="207" spans="1:41" ht="12.75">
      <c r="A207" s="9"/>
      <c r="B207" s="9"/>
      <c r="C207" s="9"/>
      <c r="D207" s="9"/>
      <c r="E207" s="9"/>
      <c r="F207" s="9"/>
      <c r="G207" s="9"/>
      <c r="H207" s="9"/>
      <c r="I207" s="9"/>
      <c r="M207" s="36"/>
      <c r="N207" s="36"/>
      <c r="O207" s="36"/>
      <c r="P207" s="36"/>
      <c r="Q207" s="36"/>
      <c r="R207" s="36"/>
      <c r="S207" s="36"/>
      <c r="T207" s="36"/>
      <c r="U207" s="36"/>
      <c r="V207" s="36"/>
      <c r="W207" s="36"/>
      <c r="X207" s="36"/>
      <c r="Y207" s="36"/>
      <c r="Z207" s="36"/>
      <c r="AA207" s="36"/>
      <c r="AB207" s="36"/>
      <c r="AC207" s="36"/>
      <c r="AD207" s="36"/>
      <c r="AF207" s="289" t="s">
        <v>649</v>
      </c>
      <c r="AG207" s="297">
        <v>8.85</v>
      </c>
      <c r="AH207" s="291">
        <v>13.8</v>
      </c>
      <c r="AI207" s="292">
        <v>0.27</v>
      </c>
      <c r="AJ207" s="293">
        <v>6.73</v>
      </c>
      <c r="AK207" s="292">
        <v>0.385</v>
      </c>
      <c r="AL207" s="296">
        <v>0.785</v>
      </c>
      <c r="AO207" s="98"/>
    </row>
    <row r="208" spans="1:41" ht="12.75">
      <c r="A208" s="9"/>
      <c r="B208" s="9"/>
      <c r="C208" s="9"/>
      <c r="D208" s="9"/>
      <c r="E208" s="9"/>
      <c r="F208" s="9"/>
      <c r="G208" s="9"/>
      <c r="H208" s="9"/>
      <c r="I208" s="9"/>
      <c r="M208" s="355"/>
      <c r="N208" s="112"/>
      <c r="O208" s="362"/>
      <c r="P208" s="112"/>
      <c r="Q208" s="112"/>
      <c r="R208" s="112"/>
      <c r="S208" s="112"/>
      <c r="T208" s="112"/>
      <c r="U208" s="356"/>
      <c r="V208" s="112"/>
      <c r="W208" s="112"/>
      <c r="X208" s="112"/>
      <c r="Y208" s="112"/>
      <c r="Z208" s="112"/>
      <c r="AA208" s="112"/>
      <c r="AB208" s="112"/>
      <c r="AC208" s="112"/>
      <c r="AD208" s="36"/>
      <c r="AF208" s="289" t="s">
        <v>650</v>
      </c>
      <c r="AG208" s="297">
        <v>7.69</v>
      </c>
      <c r="AH208" s="291">
        <v>13.9</v>
      </c>
      <c r="AI208" s="292">
        <v>0.255</v>
      </c>
      <c r="AJ208" s="293">
        <v>5.03</v>
      </c>
      <c r="AK208" s="292">
        <v>0.42</v>
      </c>
      <c r="AL208" s="296">
        <v>0.82</v>
      </c>
      <c r="AO208" s="98"/>
    </row>
    <row r="209" spans="1:41" ht="12.75">
      <c r="A209" s="9"/>
      <c r="B209" s="9"/>
      <c r="C209" s="9"/>
      <c r="D209" s="9"/>
      <c r="E209" s="9"/>
      <c r="F209" s="9"/>
      <c r="G209" s="9"/>
      <c r="H209" s="9"/>
      <c r="I209" s="9"/>
      <c r="M209" s="357"/>
      <c r="N209" s="355"/>
      <c r="O209" s="362"/>
      <c r="P209" s="112"/>
      <c r="Q209" s="112"/>
      <c r="R209" s="112"/>
      <c r="S209" s="112"/>
      <c r="T209" s="355"/>
      <c r="U209" s="112"/>
      <c r="V209" s="112"/>
      <c r="W209" s="112"/>
      <c r="X209" s="112"/>
      <c r="Y209" s="362"/>
      <c r="Z209" s="112"/>
      <c r="AA209" s="112"/>
      <c r="AB209" s="362"/>
      <c r="AC209" s="112"/>
      <c r="AD209" s="36"/>
      <c r="AF209" s="289" t="s">
        <v>651</v>
      </c>
      <c r="AG209" s="297">
        <v>6.49</v>
      </c>
      <c r="AH209" s="291">
        <v>13.7</v>
      </c>
      <c r="AI209" s="292">
        <v>0.23</v>
      </c>
      <c r="AJ209" s="293">
        <v>5</v>
      </c>
      <c r="AK209" s="292">
        <v>0.335</v>
      </c>
      <c r="AL209" s="296">
        <v>0.735</v>
      </c>
      <c r="AO209" s="98"/>
    </row>
    <row r="210" spans="1:38" ht="12.75">
      <c r="A210" s="9"/>
      <c r="B210" s="9"/>
      <c r="C210" s="9"/>
      <c r="D210" s="9"/>
      <c r="E210" s="9"/>
      <c r="F210" s="9"/>
      <c r="G210" s="9"/>
      <c r="H210" s="9"/>
      <c r="I210" s="9"/>
      <c r="M210" s="363"/>
      <c r="N210" s="139"/>
      <c r="O210" s="139"/>
      <c r="P210" s="139"/>
      <c r="Q210" s="139"/>
      <c r="R210" s="139"/>
      <c r="S210" s="139"/>
      <c r="T210" s="139"/>
      <c r="U210" s="139"/>
      <c r="V210" s="139"/>
      <c r="W210" s="139"/>
      <c r="X210" s="139"/>
      <c r="Y210" s="139"/>
      <c r="Z210" s="139"/>
      <c r="AA210" s="139"/>
      <c r="AB210" s="139"/>
      <c r="AC210" s="139"/>
      <c r="AD210" s="36"/>
      <c r="AF210" s="289" t="s">
        <v>652</v>
      </c>
      <c r="AG210" s="290">
        <v>98.8</v>
      </c>
      <c r="AH210" s="291">
        <v>16.8</v>
      </c>
      <c r="AI210" s="293">
        <v>1.78</v>
      </c>
      <c r="AJ210" s="291">
        <v>13.4</v>
      </c>
      <c r="AK210" s="293">
        <v>2.96</v>
      </c>
      <c r="AL210" s="294">
        <v>3.55</v>
      </c>
    </row>
    <row r="211" spans="1:41" ht="12.75">
      <c r="A211" s="9"/>
      <c r="B211" s="9"/>
      <c r="C211" s="9"/>
      <c r="D211" s="9"/>
      <c r="E211" s="9"/>
      <c r="F211" s="9"/>
      <c r="G211" s="9"/>
      <c r="H211" s="9"/>
      <c r="I211" s="9"/>
      <c r="M211" s="132"/>
      <c r="N211" s="133"/>
      <c r="O211" s="133"/>
      <c r="P211" s="133"/>
      <c r="Q211" s="132"/>
      <c r="R211" s="133"/>
      <c r="S211" s="133"/>
      <c r="T211" s="133"/>
      <c r="U211" s="133"/>
      <c r="V211" s="133"/>
      <c r="W211" s="133"/>
      <c r="X211" s="132"/>
      <c r="Y211" s="133"/>
      <c r="Z211" s="133"/>
      <c r="AA211" s="133"/>
      <c r="AB211" s="133"/>
      <c r="AC211" s="133"/>
      <c r="AD211" s="36"/>
      <c r="AF211" s="289" t="s">
        <v>653</v>
      </c>
      <c r="AG211" s="290">
        <v>89.6</v>
      </c>
      <c r="AH211" s="291">
        <v>16.3</v>
      </c>
      <c r="AI211" s="293">
        <v>1.63</v>
      </c>
      <c r="AJ211" s="291">
        <v>13.2</v>
      </c>
      <c r="AK211" s="293">
        <v>2.71</v>
      </c>
      <c r="AL211" s="294">
        <v>3.3</v>
      </c>
      <c r="AN211" s="49"/>
      <c r="AO211" s="98"/>
    </row>
    <row r="212" spans="1:38" ht="12.75">
      <c r="A212" s="9"/>
      <c r="B212" s="9"/>
      <c r="C212" s="9"/>
      <c r="D212" s="9"/>
      <c r="E212" s="9"/>
      <c r="F212" s="9"/>
      <c r="G212" s="9"/>
      <c r="H212" s="9"/>
      <c r="I212" s="9"/>
      <c r="M212" s="138"/>
      <c r="N212" s="133"/>
      <c r="O212" s="133"/>
      <c r="P212" s="133"/>
      <c r="Q212" s="132"/>
      <c r="R212" s="133"/>
      <c r="S212" s="133"/>
      <c r="T212" s="133"/>
      <c r="U212" s="133"/>
      <c r="V212" s="133"/>
      <c r="W212" s="133"/>
      <c r="X212" s="133"/>
      <c r="Y212" s="133"/>
      <c r="Z212" s="133"/>
      <c r="AA212" s="133"/>
      <c r="AB212" s="133"/>
      <c r="AC212" s="133"/>
      <c r="AD212" s="36"/>
      <c r="AF212" s="289" t="s">
        <v>654</v>
      </c>
      <c r="AG212" s="290">
        <v>81.9</v>
      </c>
      <c r="AH212" s="291">
        <v>15.9</v>
      </c>
      <c r="AI212" s="293">
        <v>1.53</v>
      </c>
      <c r="AJ212" s="291">
        <v>13.1</v>
      </c>
      <c r="AK212" s="293">
        <v>2.47</v>
      </c>
      <c r="AL212" s="294">
        <v>3.07</v>
      </c>
    </row>
    <row r="213" spans="1:38" ht="12.75">
      <c r="A213" s="9"/>
      <c r="B213" s="9"/>
      <c r="C213" s="9"/>
      <c r="D213" s="9"/>
      <c r="E213" s="9"/>
      <c r="F213" s="9"/>
      <c r="G213" s="9"/>
      <c r="H213" s="9"/>
      <c r="I213" s="9"/>
      <c r="M213" s="138"/>
      <c r="N213" s="133"/>
      <c r="O213" s="133"/>
      <c r="P213" s="133"/>
      <c r="Q213" s="133"/>
      <c r="R213" s="133"/>
      <c r="S213" s="133"/>
      <c r="T213" s="132"/>
      <c r="U213" s="133"/>
      <c r="V213" s="133"/>
      <c r="W213" s="132"/>
      <c r="X213" s="133"/>
      <c r="Y213" s="133"/>
      <c r="Z213" s="133"/>
      <c r="AA213" s="133"/>
      <c r="AB213" s="133"/>
      <c r="AC213" s="133"/>
      <c r="AD213" s="36"/>
      <c r="AF213" s="289" t="s">
        <v>655</v>
      </c>
      <c r="AG213" s="290">
        <v>74</v>
      </c>
      <c r="AH213" s="291">
        <v>15.4</v>
      </c>
      <c r="AI213" s="293">
        <v>1.4</v>
      </c>
      <c r="AJ213" s="291">
        <v>13</v>
      </c>
      <c r="AK213" s="293">
        <v>2.25</v>
      </c>
      <c r="AL213" s="294">
        <v>2.85</v>
      </c>
    </row>
    <row r="214" spans="1:38" ht="12.75">
      <c r="A214" s="9"/>
      <c r="B214" s="9"/>
      <c r="C214" s="9"/>
      <c r="D214" s="9"/>
      <c r="E214" s="9"/>
      <c r="F214" s="9"/>
      <c r="G214" s="9"/>
      <c r="H214" s="9"/>
      <c r="I214" s="9"/>
      <c r="M214" s="138"/>
      <c r="N214" s="133"/>
      <c r="O214" s="133"/>
      <c r="P214" s="133"/>
      <c r="Q214" s="133"/>
      <c r="R214" s="132"/>
      <c r="S214" s="133"/>
      <c r="T214" s="133"/>
      <c r="U214" s="133"/>
      <c r="V214" s="133"/>
      <c r="W214" s="133"/>
      <c r="X214" s="133"/>
      <c r="Y214" s="133"/>
      <c r="Z214" s="133"/>
      <c r="AA214" s="133"/>
      <c r="AB214" s="133"/>
      <c r="AC214" s="365"/>
      <c r="AD214" s="36"/>
      <c r="AF214" s="289" t="s">
        <v>656</v>
      </c>
      <c r="AG214" s="290">
        <v>67.7</v>
      </c>
      <c r="AH214" s="291">
        <v>15.1</v>
      </c>
      <c r="AI214" s="293">
        <v>1.29</v>
      </c>
      <c r="AJ214" s="291">
        <v>12.9</v>
      </c>
      <c r="AK214" s="293">
        <v>2.07</v>
      </c>
      <c r="AL214" s="294">
        <v>2.67</v>
      </c>
    </row>
    <row r="215" spans="1:38" ht="12.75">
      <c r="A215" s="9"/>
      <c r="B215" s="9"/>
      <c r="C215" s="9"/>
      <c r="D215" s="9"/>
      <c r="E215" s="9"/>
      <c r="F215" s="9"/>
      <c r="G215" s="9"/>
      <c r="H215" s="9"/>
      <c r="I215" s="9"/>
      <c r="M215" s="138"/>
      <c r="N215" s="133"/>
      <c r="O215" s="133"/>
      <c r="P215" s="133"/>
      <c r="Q215" s="133"/>
      <c r="R215" s="133"/>
      <c r="S215" s="133"/>
      <c r="T215" s="133"/>
      <c r="U215" s="133"/>
      <c r="V215" s="133"/>
      <c r="W215" s="133"/>
      <c r="X215" s="133"/>
      <c r="Y215" s="133"/>
      <c r="Z215" s="133"/>
      <c r="AA215" s="133"/>
      <c r="AB215" s="133"/>
      <c r="AC215" s="133"/>
      <c r="AD215" s="36"/>
      <c r="AF215" s="289" t="s">
        <v>657</v>
      </c>
      <c r="AG215" s="290">
        <v>61.8</v>
      </c>
      <c r="AH215" s="291">
        <v>14.7</v>
      </c>
      <c r="AI215" s="293">
        <v>1.18</v>
      </c>
      <c r="AJ215" s="291">
        <v>12.8</v>
      </c>
      <c r="AK215" s="293">
        <v>1.9</v>
      </c>
      <c r="AL215" s="294">
        <v>2.5</v>
      </c>
    </row>
    <row r="216" spans="1:38" ht="12.75">
      <c r="A216" s="9"/>
      <c r="B216" s="9"/>
      <c r="C216" s="9"/>
      <c r="D216" s="9"/>
      <c r="E216" s="9"/>
      <c r="F216" s="9"/>
      <c r="G216" s="9"/>
      <c r="H216" s="9"/>
      <c r="I216" s="9"/>
      <c r="M216" s="138"/>
      <c r="N216" s="133"/>
      <c r="O216" s="133"/>
      <c r="P216" s="133"/>
      <c r="Q216" s="133"/>
      <c r="R216" s="133"/>
      <c r="S216" s="133"/>
      <c r="T216" s="133"/>
      <c r="U216" s="132"/>
      <c r="V216" s="133"/>
      <c r="W216" s="133"/>
      <c r="X216" s="133"/>
      <c r="Y216" s="133"/>
      <c r="Z216" s="132"/>
      <c r="AA216" s="132"/>
      <c r="AB216" s="365"/>
      <c r="AC216" s="365"/>
      <c r="AD216" s="36"/>
      <c r="AF216" s="289" t="s">
        <v>658</v>
      </c>
      <c r="AG216" s="290">
        <v>55.8</v>
      </c>
      <c r="AH216" s="291">
        <v>14.4</v>
      </c>
      <c r="AI216" s="293">
        <v>1.06</v>
      </c>
      <c r="AJ216" s="291">
        <v>12.7</v>
      </c>
      <c r="AK216" s="293">
        <v>1.74</v>
      </c>
      <c r="AL216" s="294">
        <v>2.33</v>
      </c>
    </row>
    <row r="217" spans="1:38" ht="12.75">
      <c r="A217" s="9"/>
      <c r="B217" s="9"/>
      <c r="C217" s="9"/>
      <c r="D217" s="9"/>
      <c r="E217" s="9"/>
      <c r="F217" s="9"/>
      <c r="G217" s="9"/>
      <c r="H217" s="9"/>
      <c r="I217" s="9"/>
      <c r="M217" s="138"/>
      <c r="N217" s="133"/>
      <c r="O217" s="133"/>
      <c r="P217" s="133"/>
      <c r="Q217" s="133"/>
      <c r="R217" s="133"/>
      <c r="S217" s="133"/>
      <c r="T217" s="133"/>
      <c r="U217" s="133"/>
      <c r="V217" s="132"/>
      <c r="W217" s="133"/>
      <c r="X217" s="133"/>
      <c r="Y217" s="132"/>
      <c r="Z217" s="133"/>
      <c r="AA217" s="133"/>
      <c r="AB217" s="133"/>
      <c r="AC217" s="133"/>
      <c r="AD217" s="36"/>
      <c r="AF217" s="289" t="s">
        <v>659</v>
      </c>
      <c r="AG217" s="290">
        <v>50</v>
      </c>
      <c r="AH217" s="291">
        <v>14</v>
      </c>
      <c r="AI217" s="292">
        <v>0.96</v>
      </c>
      <c r="AJ217" s="291">
        <v>12.6</v>
      </c>
      <c r="AK217" s="293">
        <v>1.56</v>
      </c>
      <c r="AL217" s="294">
        <v>2.16</v>
      </c>
    </row>
    <row r="218" spans="1:38" ht="12.75">
      <c r="A218" s="9"/>
      <c r="B218" s="9"/>
      <c r="C218" s="9"/>
      <c r="D218" s="9"/>
      <c r="E218" s="9"/>
      <c r="F218" s="9"/>
      <c r="G218" s="9"/>
      <c r="H218" s="9"/>
      <c r="I218" s="9"/>
      <c r="M218" s="138"/>
      <c r="N218" s="133"/>
      <c r="O218" s="133"/>
      <c r="P218" s="133"/>
      <c r="Q218" s="133"/>
      <c r="R218" s="133"/>
      <c r="S218" s="133"/>
      <c r="T218" s="133"/>
      <c r="U218" s="132"/>
      <c r="V218" s="132"/>
      <c r="W218" s="132"/>
      <c r="X218" s="133"/>
      <c r="Y218" s="133"/>
      <c r="Z218" s="133"/>
      <c r="AA218" s="133"/>
      <c r="AB218" s="132"/>
      <c r="AC218" s="133"/>
      <c r="AD218" s="36"/>
      <c r="AF218" s="289" t="s">
        <v>660</v>
      </c>
      <c r="AG218" s="290">
        <v>44.7</v>
      </c>
      <c r="AH218" s="291">
        <v>13.7</v>
      </c>
      <c r="AI218" s="292">
        <v>0.87</v>
      </c>
      <c r="AJ218" s="291">
        <v>12.5</v>
      </c>
      <c r="AK218" s="293">
        <v>1.4</v>
      </c>
      <c r="AL218" s="294">
        <v>2</v>
      </c>
    </row>
    <row r="219" spans="1:38" ht="12.75">
      <c r="A219" s="9"/>
      <c r="B219" s="9"/>
      <c r="C219" s="9"/>
      <c r="D219" s="9"/>
      <c r="E219" s="9"/>
      <c r="F219" s="9"/>
      <c r="G219" s="9"/>
      <c r="H219" s="9"/>
      <c r="I219" s="9"/>
      <c r="M219" s="138"/>
      <c r="N219" s="133"/>
      <c r="O219" s="133"/>
      <c r="P219" s="133"/>
      <c r="Q219" s="133"/>
      <c r="R219" s="133"/>
      <c r="S219" s="133"/>
      <c r="T219" s="133"/>
      <c r="U219" s="132"/>
      <c r="V219" s="133"/>
      <c r="W219" s="133"/>
      <c r="X219" s="133"/>
      <c r="Y219" s="133"/>
      <c r="Z219" s="133"/>
      <c r="AA219" s="133"/>
      <c r="AB219" s="133"/>
      <c r="AC219" s="133"/>
      <c r="AD219" s="36"/>
      <c r="AF219" s="289" t="s">
        <v>661</v>
      </c>
      <c r="AG219" s="290">
        <v>39.9</v>
      </c>
      <c r="AH219" s="291">
        <v>13.4</v>
      </c>
      <c r="AI219" s="292">
        <v>0.79</v>
      </c>
      <c r="AJ219" s="291">
        <v>12.4</v>
      </c>
      <c r="AK219" s="293">
        <v>1.25</v>
      </c>
      <c r="AL219" s="294">
        <v>1.85</v>
      </c>
    </row>
    <row r="220" spans="1:38" ht="12.75">
      <c r="A220" s="9"/>
      <c r="B220" s="9"/>
      <c r="C220" s="9"/>
      <c r="D220" s="9"/>
      <c r="E220" s="9"/>
      <c r="F220" s="9"/>
      <c r="G220" s="9"/>
      <c r="H220" s="9"/>
      <c r="I220" s="9"/>
      <c r="M220" s="138"/>
      <c r="N220" s="133"/>
      <c r="O220" s="133"/>
      <c r="P220" s="133"/>
      <c r="Q220" s="133"/>
      <c r="R220" s="133"/>
      <c r="S220" s="133"/>
      <c r="T220" s="133"/>
      <c r="U220" s="133"/>
      <c r="V220" s="132"/>
      <c r="W220" s="133"/>
      <c r="X220" s="133"/>
      <c r="Y220" s="133"/>
      <c r="Z220" s="133"/>
      <c r="AA220" s="133"/>
      <c r="AB220" s="133"/>
      <c r="AC220" s="133"/>
      <c r="AD220" s="36"/>
      <c r="AF220" s="289" t="s">
        <v>662</v>
      </c>
      <c r="AG220" s="290">
        <v>35.3</v>
      </c>
      <c r="AH220" s="291">
        <v>13.1</v>
      </c>
      <c r="AI220" s="292">
        <v>0.71</v>
      </c>
      <c r="AJ220" s="291">
        <v>12.3</v>
      </c>
      <c r="AK220" s="293">
        <v>1.11</v>
      </c>
      <c r="AL220" s="294">
        <v>1.7</v>
      </c>
    </row>
    <row r="221" spans="1:38" ht="12.75">
      <c r="A221" s="9"/>
      <c r="B221" s="9"/>
      <c r="C221" s="9"/>
      <c r="D221" s="9"/>
      <c r="E221" s="9"/>
      <c r="F221" s="9"/>
      <c r="G221" s="9"/>
      <c r="H221" s="9"/>
      <c r="I221" s="9"/>
      <c r="M221" s="138"/>
      <c r="N221" s="133"/>
      <c r="O221" s="133"/>
      <c r="P221" s="133"/>
      <c r="Q221" s="133"/>
      <c r="R221" s="133"/>
      <c r="S221" s="133"/>
      <c r="T221" s="132"/>
      <c r="U221" s="133"/>
      <c r="V221" s="132"/>
      <c r="W221" s="133"/>
      <c r="X221" s="133"/>
      <c r="Y221" s="133"/>
      <c r="Z221" s="133"/>
      <c r="AA221" s="133"/>
      <c r="AB221" s="133"/>
      <c r="AC221" s="132"/>
      <c r="AD221" s="36"/>
      <c r="AF221" s="289" t="s">
        <v>663</v>
      </c>
      <c r="AG221" s="290">
        <v>31.2</v>
      </c>
      <c r="AH221" s="291">
        <v>12.9</v>
      </c>
      <c r="AI221" s="292">
        <v>0.61</v>
      </c>
      <c r="AJ221" s="291">
        <v>12.2</v>
      </c>
      <c r="AK221" s="292">
        <v>0.99</v>
      </c>
      <c r="AL221" s="294">
        <v>1.59</v>
      </c>
    </row>
    <row r="222" spans="1:38" ht="12.75">
      <c r="A222" s="9"/>
      <c r="B222" s="9"/>
      <c r="C222" s="9"/>
      <c r="D222" s="9"/>
      <c r="E222" s="9"/>
      <c r="F222" s="9"/>
      <c r="G222" s="9"/>
      <c r="H222" s="9"/>
      <c r="I222" s="9"/>
      <c r="M222" s="138"/>
      <c r="N222" s="133"/>
      <c r="O222" s="133"/>
      <c r="P222" s="133"/>
      <c r="Q222" s="133"/>
      <c r="R222" s="133"/>
      <c r="S222" s="133"/>
      <c r="T222" s="133"/>
      <c r="U222" s="133"/>
      <c r="V222" s="133"/>
      <c r="W222" s="133"/>
      <c r="X222" s="133"/>
      <c r="Y222" s="133"/>
      <c r="Z222" s="133"/>
      <c r="AA222" s="132"/>
      <c r="AB222" s="133"/>
      <c r="AC222" s="132"/>
      <c r="AD222" s="36"/>
      <c r="AF222" s="289" t="s">
        <v>664</v>
      </c>
      <c r="AG222" s="290">
        <v>28.2</v>
      </c>
      <c r="AH222" s="291">
        <v>12.7</v>
      </c>
      <c r="AI222" s="292">
        <v>0.55</v>
      </c>
      <c r="AJ222" s="291">
        <v>12.2</v>
      </c>
      <c r="AK222" s="292">
        <v>0.9</v>
      </c>
      <c r="AL222" s="294">
        <v>1.5</v>
      </c>
    </row>
    <row r="223" spans="1:45" ht="12.75">
      <c r="A223" s="9"/>
      <c r="B223" s="9"/>
      <c r="C223" s="9"/>
      <c r="D223" s="9"/>
      <c r="E223" s="9"/>
      <c r="F223" s="9"/>
      <c r="G223" s="9"/>
      <c r="H223" s="9"/>
      <c r="I223" s="9"/>
      <c r="M223" s="132"/>
      <c r="N223" s="133"/>
      <c r="O223" s="133"/>
      <c r="P223" s="132"/>
      <c r="Q223" s="133"/>
      <c r="R223" s="133"/>
      <c r="S223" s="133"/>
      <c r="T223" s="133"/>
      <c r="U223" s="133"/>
      <c r="V223" s="133"/>
      <c r="W223" s="133"/>
      <c r="X223" s="133"/>
      <c r="Y223" s="133"/>
      <c r="Z223" s="133"/>
      <c r="AA223" s="133"/>
      <c r="AB223" s="133"/>
      <c r="AC223" s="133"/>
      <c r="AD223" s="36"/>
      <c r="AF223" s="289" t="s">
        <v>665</v>
      </c>
      <c r="AG223" s="290">
        <v>25.6</v>
      </c>
      <c r="AH223" s="291">
        <v>12.5</v>
      </c>
      <c r="AI223" s="292">
        <v>0.515</v>
      </c>
      <c r="AJ223" s="291">
        <v>12.1</v>
      </c>
      <c r="AK223" s="292">
        <v>0.81</v>
      </c>
      <c r="AL223" s="294">
        <v>1.41</v>
      </c>
      <c r="AR223" s="15"/>
      <c r="AS223" s="15"/>
    </row>
    <row r="224" spans="1:38" ht="12.75">
      <c r="A224" s="9"/>
      <c r="B224" s="9"/>
      <c r="C224" s="9"/>
      <c r="D224" s="9"/>
      <c r="E224" s="9"/>
      <c r="F224" s="9"/>
      <c r="G224" s="9"/>
      <c r="H224" s="9"/>
      <c r="I224" s="9"/>
      <c r="M224" s="132"/>
      <c r="N224" s="133"/>
      <c r="O224" s="133"/>
      <c r="P224" s="133"/>
      <c r="Q224" s="133"/>
      <c r="R224" s="133"/>
      <c r="S224" s="133"/>
      <c r="T224" s="133"/>
      <c r="U224" s="133"/>
      <c r="V224" s="133"/>
      <c r="W224" s="133"/>
      <c r="X224" s="133"/>
      <c r="Y224" s="133"/>
      <c r="Z224" s="133"/>
      <c r="AA224" s="133"/>
      <c r="AB224" s="133"/>
      <c r="AC224" s="133"/>
      <c r="AD224" s="36"/>
      <c r="AF224" s="289" t="s">
        <v>666</v>
      </c>
      <c r="AG224" s="290">
        <v>23.2</v>
      </c>
      <c r="AH224" s="291">
        <v>12.4</v>
      </c>
      <c r="AI224" s="292">
        <v>0.47</v>
      </c>
      <c r="AJ224" s="291">
        <v>12.1</v>
      </c>
      <c r="AK224" s="292">
        <v>0.735</v>
      </c>
      <c r="AL224" s="294">
        <v>1.33</v>
      </c>
    </row>
    <row r="225" spans="1:38" ht="12.75">
      <c r="A225" s="9"/>
      <c r="B225" s="9"/>
      <c r="C225" s="9"/>
      <c r="D225" s="9"/>
      <c r="E225" s="9"/>
      <c r="F225" s="9"/>
      <c r="G225" s="9"/>
      <c r="H225" s="9"/>
      <c r="I225" s="9"/>
      <c r="M225" s="132"/>
      <c r="N225" s="133"/>
      <c r="O225" s="133"/>
      <c r="P225" s="133"/>
      <c r="Q225" s="133"/>
      <c r="R225" s="133"/>
      <c r="S225" s="133"/>
      <c r="T225" s="133"/>
      <c r="U225" s="133"/>
      <c r="V225" s="133"/>
      <c r="W225" s="133"/>
      <c r="X225" s="133"/>
      <c r="Y225" s="133"/>
      <c r="Z225" s="133"/>
      <c r="AA225" s="133"/>
      <c r="AB225" s="132"/>
      <c r="AC225" s="133"/>
      <c r="AD225" s="36"/>
      <c r="AF225" s="289" t="s">
        <v>667</v>
      </c>
      <c r="AG225" s="290">
        <v>21.1</v>
      </c>
      <c r="AH225" s="291">
        <v>12.3</v>
      </c>
      <c r="AI225" s="292">
        <v>0.43</v>
      </c>
      <c r="AJ225" s="291">
        <v>12</v>
      </c>
      <c r="AK225" s="292">
        <v>0.67</v>
      </c>
      <c r="AL225" s="294">
        <v>1.27</v>
      </c>
    </row>
    <row r="226" spans="1:38" ht="12.75">
      <c r="A226" s="9"/>
      <c r="B226" s="9"/>
      <c r="C226" s="9"/>
      <c r="D226" s="9"/>
      <c r="E226" s="9"/>
      <c r="F226" s="9"/>
      <c r="G226" s="9"/>
      <c r="H226" s="9"/>
      <c r="I226" s="9"/>
      <c r="M226" s="132"/>
      <c r="N226" s="133"/>
      <c r="O226" s="133"/>
      <c r="P226" s="133"/>
      <c r="Q226" s="133"/>
      <c r="R226" s="133"/>
      <c r="S226" s="133"/>
      <c r="T226" s="133"/>
      <c r="U226" s="133"/>
      <c r="V226" s="133"/>
      <c r="W226" s="133"/>
      <c r="X226" s="133"/>
      <c r="Y226" s="133"/>
      <c r="Z226" s="133"/>
      <c r="AA226" s="133"/>
      <c r="AB226" s="133"/>
      <c r="AC226" s="133"/>
      <c r="AD226" s="36"/>
      <c r="AF226" s="289" t="s">
        <v>668</v>
      </c>
      <c r="AG226" s="290">
        <v>19.1</v>
      </c>
      <c r="AH226" s="291">
        <v>12.1</v>
      </c>
      <c r="AI226" s="292">
        <v>0.39</v>
      </c>
      <c r="AJ226" s="291">
        <v>12</v>
      </c>
      <c r="AK226" s="292">
        <v>0.605</v>
      </c>
      <c r="AL226" s="294">
        <v>1.2</v>
      </c>
    </row>
    <row r="227" spans="1:38" ht="12.75">
      <c r="A227" s="9"/>
      <c r="B227" s="9"/>
      <c r="C227" s="9"/>
      <c r="D227" s="9"/>
      <c r="E227" s="9"/>
      <c r="F227" s="9"/>
      <c r="G227" s="9"/>
      <c r="H227" s="9"/>
      <c r="I227" s="9"/>
      <c r="M227" s="132"/>
      <c r="N227" s="133"/>
      <c r="O227" s="138"/>
      <c r="P227" s="133"/>
      <c r="Q227" s="133"/>
      <c r="R227" s="133"/>
      <c r="S227" s="133"/>
      <c r="T227" s="133"/>
      <c r="U227" s="133"/>
      <c r="V227" s="133"/>
      <c r="W227" s="133"/>
      <c r="X227" s="133"/>
      <c r="Y227" s="133"/>
      <c r="Z227" s="133"/>
      <c r="AA227" s="133"/>
      <c r="AB227" s="133"/>
      <c r="AC227" s="132"/>
      <c r="AD227" s="36"/>
      <c r="AF227" s="289" t="s">
        <v>669</v>
      </c>
      <c r="AG227" s="290">
        <v>17</v>
      </c>
      <c r="AH227" s="291">
        <v>12.2</v>
      </c>
      <c r="AI227" s="292">
        <v>0.36</v>
      </c>
      <c r="AJ227" s="291">
        <v>10</v>
      </c>
      <c r="AK227" s="292">
        <v>0.64</v>
      </c>
      <c r="AL227" s="294">
        <v>1.24</v>
      </c>
    </row>
    <row r="228" spans="1:38" ht="12.75">
      <c r="A228" s="9"/>
      <c r="B228" s="9"/>
      <c r="C228" s="9"/>
      <c r="D228" s="9"/>
      <c r="E228" s="9"/>
      <c r="F228" s="9"/>
      <c r="G228" s="9"/>
      <c r="H228" s="9"/>
      <c r="I228" s="9"/>
      <c r="M228" s="132"/>
      <c r="N228" s="133"/>
      <c r="O228" s="133"/>
      <c r="P228" s="133"/>
      <c r="Q228" s="133"/>
      <c r="R228" s="133"/>
      <c r="S228" s="133"/>
      <c r="T228" s="133"/>
      <c r="U228" s="133"/>
      <c r="V228" s="133"/>
      <c r="W228" s="133"/>
      <c r="X228" s="133"/>
      <c r="Y228" s="133"/>
      <c r="Z228" s="133"/>
      <c r="AA228" s="133"/>
      <c r="AB228" s="133"/>
      <c r="AC228" s="133"/>
      <c r="AD228" s="36"/>
      <c r="AF228" s="289" t="s">
        <v>670</v>
      </c>
      <c r="AG228" s="290">
        <v>15.6</v>
      </c>
      <c r="AH228" s="291">
        <v>12.1</v>
      </c>
      <c r="AI228" s="292">
        <v>0.345</v>
      </c>
      <c r="AJ228" s="291">
        <v>10</v>
      </c>
      <c r="AK228" s="292">
        <v>0.575</v>
      </c>
      <c r="AL228" s="294">
        <v>1.18</v>
      </c>
    </row>
    <row r="229" spans="1:38" ht="12.75">
      <c r="A229" s="9"/>
      <c r="B229" s="9"/>
      <c r="C229" s="9"/>
      <c r="D229" s="9"/>
      <c r="E229" s="9"/>
      <c r="F229" s="9"/>
      <c r="G229" s="9"/>
      <c r="H229" s="9"/>
      <c r="I229" s="9"/>
      <c r="M229" s="132"/>
      <c r="N229" s="368"/>
      <c r="O229" s="133"/>
      <c r="P229" s="133"/>
      <c r="Q229" s="133"/>
      <c r="R229" s="133"/>
      <c r="S229" s="133"/>
      <c r="T229" s="133"/>
      <c r="U229" s="133"/>
      <c r="V229" s="132"/>
      <c r="W229" s="133"/>
      <c r="X229" s="132"/>
      <c r="Y229" s="133"/>
      <c r="Z229" s="133"/>
      <c r="AA229" s="133"/>
      <c r="AB229" s="133"/>
      <c r="AC229" s="133"/>
      <c r="AD229" s="36"/>
      <c r="AF229" s="289" t="s">
        <v>671</v>
      </c>
      <c r="AG229" s="290">
        <v>14.6</v>
      </c>
      <c r="AH229" s="291">
        <v>12.2</v>
      </c>
      <c r="AI229" s="292">
        <v>0.37</v>
      </c>
      <c r="AJ229" s="293">
        <v>8.08</v>
      </c>
      <c r="AK229" s="292">
        <v>0.64</v>
      </c>
      <c r="AL229" s="294">
        <v>1.14</v>
      </c>
    </row>
    <row r="230" spans="1:38" ht="12.75">
      <c r="A230" s="9"/>
      <c r="B230" s="9"/>
      <c r="C230" s="9"/>
      <c r="D230" s="9"/>
      <c r="E230" s="9"/>
      <c r="F230" s="9"/>
      <c r="G230" s="9"/>
      <c r="H230" s="9"/>
      <c r="I230" s="9"/>
      <c r="M230" s="132"/>
      <c r="N230" s="133"/>
      <c r="O230" s="133"/>
      <c r="P230" s="133"/>
      <c r="Q230" s="138"/>
      <c r="R230" s="133"/>
      <c r="S230" s="133"/>
      <c r="T230" s="133"/>
      <c r="U230" s="133"/>
      <c r="V230" s="132"/>
      <c r="W230" s="133"/>
      <c r="X230" s="133"/>
      <c r="Y230" s="132"/>
      <c r="Z230" s="133"/>
      <c r="AA230" s="133"/>
      <c r="AB230" s="133"/>
      <c r="AC230" s="133"/>
      <c r="AD230" s="36"/>
      <c r="AF230" s="289" t="s">
        <v>672</v>
      </c>
      <c r="AG230" s="290">
        <v>13.1</v>
      </c>
      <c r="AH230" s="291">
        <v>12.1</v>
      </c>
      <c r="AI230" s="292">
        <v>0.335</v>
      </c>
      <c r="AJ230" s="293">
        <v>8.05</v>
      </c>
      <c r="AK230" s="292">
        <v>0.575</v>
      </c>
      <c r="AL230" s="294">
        <v>1.08</v>
      </c>
    </row>
    <row r="231" spans="1:38" ht="12.75">
      <c r="A231" s="9"/>
      <c r="B231" s="9"/>
      <c r="C231" s="9"/>
      <c r="D231" s="9"/>
      <c r="E231" s="9"/>
      <c r="F231" s="9"/>
      <c r="G231" s="9"/>
      <c r="H231" s="9"/>
      <c r="I231" s="9"/>
      <c r="M231" s="132"/>
      <c r="N231" s="133"/>
      <c r="O231" s="138"/>
      <c r="P231" s="133"/>
      <c r="Q231" s="133"/>
      <c r="R231" s="133"/>
      <c r="S231" s="133"/>
      <c r="T231" s="133"/>
      <c r="U231" s="138"/>
      <c r="V231" s="133"/>
      <c r="W231" s="133"/>
      <c r="X231" s="133"/>
      <c r="Y231" s="133"/>
      <c r="Z231" s="132"/>
      <c r="AA231" s="133"/>
      <c r="AB231" s="133"/>
      <c r="AC231" s="133"/>
      <c r="AD231" s="36"/>
      <c r="AF231" s="289" t="s">
        <v>673</v>
      </c>
      <c r="AG231" s="290">
        <v>11.7</v>
      </c>
      <c r="AH231" s="291">
        <v>11.9</v>
      </c>
      <c r="AI231" s="292">
        <v>0.295</v>
      </c>
      <c r="AJ231" s="293">
        <v>8.01</v>
      </c>
      <c r="AK231" s="292">
        <v>0.515</v>
      </c>
      <c r="AL231" s="294">
        <v>1.02</v>
      </c>
    </row>
    <row r="232" spans="1:38" ht="12.75">
      <c r="A232" s="9"/>
      <c r="B232" s="9"/>
      <c r="C232" s="9"/>
      <c r="D232" s="9"/>
      <c r="E232" s="9"/>
      <c r="F232" s="9"/>
      <c r="G232" s="9"/>
      <c r="H232" s="9"/>
      <c r="I232" s="9"/>
      <c r="M232" s="132"/>
      <c r="N232" s="133"/>
      <c r="O232" s="133"/>
      <c r="P232" s="133"/>
      <c r="Q232" s="133"/>
      <c r="R232" s="133"/>
      <c r="S232" s="133"/>
      <c r="T232" s="133"/>
      <c r="U232" s="133"/>
      <c r="V232" s="133"/>
      <c r="W232" s="133"/>
      <c r="X232" s="133"/>
      <c r="Y232" s="133"/>
      <c r="Z232" s="133"/>
      <c r="AA232" s="132"/>
      <c r="AB232" s="133"/>
      <c r="AC232" s="133"/>
      <c r="AD232" s="36"/>
      <c r="AF232" s="289" t="s">
        <v>674</v>
      </c>
      <c r="AG232" s="290">
        <v>10.3</v>
      </c>
      <c r="AH232" s="291">
        <v>12.5</v>
      </c>
      <c r="AI232" s="292">
        <v>0.3</v>
      </c>
      <c r="AJ232" s="293">
        <v>6.56</v>
      </c>
      <c r="AK232" s="292">
        <v>0.52</v>
      </c>
      <c r="AL232" s="296">
        <v>0.82</v>
      </c>
    </row>
    <row r="233" spans="1:38" ht="12.75">
      <c r="A233" s="9"/>
      <c r="B233" s="9"/>
      <c r="C233" s="9"/>
      <c r="D233" s="9"/>
      <c r="E233" s="9"/>
      <c r="F233" s="9"/>
      <c r="G233" s="9"/>
      <c r="H233" s="9"/>
      <c r="I233" s="9"/>
      <c r="M233" s="132"/>
      <c r="N233" s="133"/>
      <c r="O233" s="133"/>
      <c r="P233" s="133"/>
      <c r="Q233" s="133"/>
      <c r="R233" s="138"/>
      <c r="S233" s="133"/>
      <c r="T233" s="133"/>
      <c r="U233" s="133"/>
      <c r="V233" s="133"/>
      <c r="W233" s="133"/>
      <c r="X233" s="133"/>
      <c r="Y233" s="133"/>
      <c r="Z233" s="133"/>
      <c r="AA233" s="133"/>
      <c r="AB233" s="133"/>
      <c r="AC233" s="133"/>
      <c r="AD233" s="36"/>
      <c r="AF233" s="289" t="s">
        <v>675</v>
      </c>
      <c r="AG233" s="297">
        <v>8.79</v>
      </c>
      <c r="AH233" s="291">
        <v>12.3</v>
      </c>
      <c r="AI233" s="292">
        <v>0.26</v>
      </c>
      <c r="AJ233" s="293">
        <v>6.52</v>
      </c>
      <c r="AK233" s="292">
        <v>0.44</v>
      </c>
      <c r="AL233" s="296">
        <v>0.74</v>
      </c>
    </row>
    <row r="234" spans="1:38" ht="12.75">
      <c r="A234" s="9"/>
      <c r="B234" s="9"/>
      <c r="C234" s="9"/>
      <c r="D234" s="9"/>
      <c r="E234" s="9"/>
      <c r="F234" s="9"/>
      <c r="G234" s="9"/>
      <c r="H234" s="9"/>
      <c r="I234" s="9"/>
      <c r="M234" s="366"/>
      <c r="N234" s="138"/>
      <c r="O234" s="138"/>
      <c r="P234" s="138"/>
      <c r="Q234" s="138"/>
      <c r="R234" s="138"/>
      <c r="S234" s="138"/>
      <c r="T234" s="138"/>
      <c r="U234" s="138"/>
      <c r="V234" s="138"/>
      <c r="W234" s="138"/>
      <c r="X234" s="138"/>
      <c r="Y234" s="138"/>
      <c r="Z234" s="138"/>
      <c r="AA234" s="138"/>
      <c r="AB234" s="138"/>
      <c r="AC234" s="138"/>
      <c r="AD234" s="36"/>
      <c r="AF234" s="289" t="s">
        <v>676</v>
      </c>
      <c r="AG234" s="297">
        <v>7.65</v>
      </c>
      <c r="AH234" s="291">
        <v>12.2</v>
      </c>
      <c r="AI234" s="292">
        <v>0.23</v>
      </c>
      <c r="AJ234" s="293">
        <v>6.49</v>
      </c>
      <c r="AK234" s="292">
        <v>0.38</v>
      </c>
      <c r="AL234" s="296">
        <v>0.68</v>
      </c>
    </row>
    <row r="235" spans="1:38" ht="12.75">
      <c r="A235" s="9"/>
      <c r="B235" s="9"/>
      <c r="C235" s="9"/>
      <c r="D235" s="9"/>
      <c r="E235" s="9"/>
      <c r="F235" s="9"/>
      <c r="G235" s="9"/>
      <c r="H235" s="9"/>
      <c r="I235" s="9"/>
      <c r="M235" s="36"/>
      <c r="N235" s="36"/>
      <c r="O235" s="36"/>
      <c r="P235" s="36"/>
      <c r="Q235" s="36"/>
      <c r="R235" s="36"/>
      <c r="S235" s="36"/>
      <c r="T235" s="36"/>
      <c r="U235" s="36"/>
      <c r="V235" s="36"/>
      <c r="W235" s="36"/>
      <c r="X235" s="36"/>
      <c r="Y235" s="36"/>
      <c r="Z235" s="36"/>
      <c r="AA235" s="36"/>
      <c r="AB235" s="36"/>
      <c r="AC235" s="36"/>
      <c r="AD235" s="36"/>
      <c r="AF235" s="289" t="s">
        <v>677</v>
      </c>
      <c r="AG235" s="297">
        <v>6.48</v>
      </c>
      <c r="AH235" s="291">
        <v>12.3</v>
      </c>
      <c r="AI235" s="292">
        <v>0.26</v>
      </c>
      <c r="AJ235" s="293">
        <v>4.03</v>
      </c>
      <c r="AK235" s="292">
        <v>0.425</v>
      </c>
      <c r="AL235" s="296">
        <v>0.725</v>
      </c>
    </row>
    <row r="236" spans="1:38" ht="12.75">
      <c r="A236" s="9"/>
      <c r="B236" s="9"/>
      <c r="C236" s="9"/>
      <c r="D236" s="9"/>
      <c r="E236" s="9"/>
      <c r="F236" s="9"/>
      <c r="G236" s="9"/>
      <c r="H236" s="9"/>
      <c r="I236" s="9"/>
      <c r="M236" s="355"/>
      <c r="N236" s="112"/>
      <c r="O236" s="362"/>
      <c r="P236" s="112"/>
      <c r="Q236" s="112"/>
      <c r="R236" s="112"/>
      <c r="S236" s="112"/>
      <c r="T236" s="112"/>
      <c r="U236" s="356"/>
      <c r="V236" s="112"/>
      <c r="W236" s="112"/>
      <c r="X236" s="112"/>
      <c r="Y236" s="112"/>
      <c r="Z236" s="112"/>
      <c r="AA236" s="112"/>
      <c r="AB236" s="112"/>
      <c r="AC236" s="112"/>
      <c r="AD236" s="36"/>
      <c r="AF236" s="289" t="s">
        <v>678</v>
      </c>
      <c r="AG236" s="297">
        <v>5.57</v>
      </c>
      <c r="AH236" s="291">
        <v>12.2</v>
      </c>
      <c r="AI236" s="292">
        <v>0.235</v>
      </c>
      <c r="AJ236" s="293">
        <v>4.01</v>
      </c>
      <c r="AK236" s="292">
        <v>0.35</v>
      </c>
      <c r="AL236" s="296">
        <v>0.65</v>
      </c>
    </row>
    <row r="237" spans="1:38" ht="12.75">
      <c r="A237" s="9"/>
      <c r="B237" s="9"/>
      <c r="C237" s="9"/>
      <c r="D237" s="9"/>
      <c r="E237" s="9"/>
      <c r="F237" s="9"/>
      <c r="G237" s="9"/>
      <c r="H237" s="9"/>
      <c r="I237" s="9"/>
      <c r="M237" s="357"/>
      <c r="N237" s="355"/>
      <c r="O237" s="362"/>
      <c r="P237" s="112"/>
      <c r="Q237" s="112"/>
      <c r="R237" s="112"/>
      <c r="S237" s="112"/>
      <c r="T237" s="355"/>
      <c r="U237" s="112"/>
      <c r="V237" s="112"/>
      <c r="W237" s="112"/>
      <c r="X237" s="112"/>
      <c r="Y237" s="362"/>
      <c r="Z237" s="112"/>
      <c r="AA237" s="112"/>
      <c r="AB237" s="362"/>
      <c r="AC237" s="112"/>
      <c r="AD237" s="36"/>
      <c r="AF237" s="289" t="s">
        <v>679</v>
      </c>
      <c r="AG237" s="297">
        <v>4.71</v>
      </c>
      <c r="AH237" s="291">
        <v>12</v>
      </c>
      <c r="AI237" s="292">
        <v>0.22</v>
      </c>
      <c r="AJ237" s="293">
        <v>3.99</v>
      </c>
      <c r="AK237" s="292">
        <v>0.265</v>
      </c>
      <c r="AL237" s="296">
        <v>0.565</v>
      </c>
    </row>
    <row r="238" spans="1:38" ht="12.75">
      <c r="A238" s="9"/>
      <c r="B238" s="9"/>
      <c r="C238" s="9"/>
      <c r="D238" s="9"/>
      <c r="E238" s="9"/>
      <c r="F238" s="9"/>
      <c r="G238" s="9"/>
      <c r="H238" s="9"/>
      <c r="I238" s="9"/>
      <c r="M238" s="363"/>
      <c r="N238" s="139"/>
      <c r="O238" s="139"/>
      <c r="P238" s="139"/>
      <c r="Q238" s="139"/>
      <c r="R238" s="139"/>
      <c r="S238" s="139"/>
      <c r="T238" s="139"/>
      <c r="U238" s="139"/>
      <c r="V238" s="139"/>
      <c r="W238" s="139"/>
      <c r="X238" s="139"/>
      <c r="Y238" s="139"/>
      <c r="Z238" s="139"/>
      <c r="AA238" s="139"/>
      <c r="AB238" s="139"/>
      <c r="AC238" s="139"/>
      <c r="AD238" s="36"/>
      <c r="AF238" s="289" t="s">
        <v>680</v>
      </c>
      <c r="AG238" s="297">
        <v>4.16</v>
      </c>
      <c r="AH238" s="291">
        <v>11.9</v>
      </c>
      <c r="AI238" s="292">
        <v>0.2</v>
      </c>
      <c r="AJ238" s="293">
        <v>3.97</v>
      </c>
      <c r="AK238" s="292">
        <v>0.225</v>
      </c>
      <c r="AL238" s="296">
        <v>0.525</v>
      </c>
    </row>
    <row r="239" spans="1:38" ht="12.75">
      <c r="A239" s="9"/>
      <c r="B239" s="9"/>
      <c r="C239" s="9"/>
      <c r="D239" s="9"/>
      <c r="E239" s="9"/>
      <c r="F239" s="9"/>
      <c r="G239" s="9"/>
      <c r="H239" s="9"/>
      <c r="I239" s="9"/>
      <c r="M239" s="132"/>
      <c r="N239" s="133"/>
      <c r="O239" s="133"/>
      <c r="P239" s="133"/>
      <c r="Q239" s="132"/>
      <c r="R239" s="133"/>
      <c r="S239" s="133"/>
      <c r="T239" s="133"/>
      <c r="U239" s="133"/>
      <c r="V239" s="133"/>
      <c r="W239" s="133"/>
      <c r="X239" s="132"/>
      <c r="Y239" s="133"/>
      <c r="Z239" s="133"/>
      <c r="AA239" s="133"/>
      <c r="AB239" s="133"/>
      <c r="AC239" s="133"/>
      <c r="AD239" s="36"/>
      <c r="AF239" s="289" t="s">
        <v>681</v>
      </c>
      <c r="AG239" s="290">
        <v>32.9</v>
      </c>
      <c r="AH239" s="291">
        <v>11.4</v>
      </c>
      <c r="AI239" s="292">
        <v>0.755</v>
      </c>
      <c r="AJ239" s="291">
        <v>10.4</v>
      </c>
      <c r="AK239" s="293">
        <v>1.25</v>
      </c>
      <c r="AL239" s="294">
        <v>1.75</v>
      </c>
    </row>
    <row r="240" spans="1:38" ht="12.75">
      <c r="A240" s="9"/>
      <c r="B240" s="9"/>
      <c r="C240" s="9"/>
      <c r="D240" s="9"/>
      <c r="E240" s="9"/>
      <c r="F240" s="9"/>
      <c r="G240" s="9"/>
      <c r="H240" s="9"/>
      <c r="I240" s="9"/>
      <c r="M240" s="138"/>
      <c r="N240" s="133"/>
      <c r="O240" s="133"/>
      <c r="P240" s="133"/>
      <c r="Q240" s="132"/>
      <c r="R240" s="133"/>
      <c r="S240" s="133"/>
      <c r="T240" s="133"/>
      <c r="U240" s="133"/>
      <c r="V240" s="133"/>
      <c r="W240" s="133"/>
      <c r="X240" s="133"/>
      <c r="Y240" s="133"/>
      <c r="Z240" s="133"/>
      <c r="AA240" s="133"/>
      <c r="AB240" s="133"/>
      <c r="AC240" s="133"/>
      <c r="AD240" s="36"/>
      <c r="AF240" s="289" t="s">
        <v>682</v>
      </c>
      <c r="AG240" s="290">
        <v>29.4</v>
      </c>
      <c r="AH240" s="291">
        <v>11.1</v>
      </c>
      <c r="AI240" s="292">
        <v>0.68</v>
      </c>
      <c r="AJ240" s="291">
        <v>10.3</v>
      </c>
      <c r="AK240" s="293">
        <v>1.12</v>
      </c>
      <c r="AL240" s="294">
        <v>1.62</v>
      </c>
    </row>
    <row r="241" spans="1:38" ht="12.75">
      <c r="A241" s="9"/>
      <c r="B241" s="9"/>
      <c r="C241" s="9"/>
      <c r="D241" s="9"/>
      <c r="E241" s="9"/>
      <c r="F241" s="9"/>
      <c r="G241" s="9"/>
      <c r="H241" s="9"/>
      <c r="I241" s="9"/>
      <c r="M241" s="138"/>
      <c r="N241" s="133"/>
      <c r="O241" s="133"/>
      <c r="P241" s="133"/>
      <c r="Q241" s="133"/>
      <c r="R241" s="133"/>
      <c r="S241" s="133"/>
      <c r="T241" s="132"/>
      <c r="U241" s="133"/>
      <c r="V241" s="133"/>
      <c r="W241" s="132"/>
      <c r="X241" s="133"/>
      <c r="Y241" s="133"/>
      <c r="Z241" s="133"/>
      <c r="AA241" s="133"/>
      <c r="AB241" s="133"/>
      <c r="AC241" s="133"/>
      <c r="AD241" s="36"/>
      <c r="AF241" s="289" t="s">
        <v>683</v>
      </c>
      <c r="AG241" s="290">
        <v>25.9</v>
      </c>
      <c r="AH241" s="291">
        <v>10.8</v>
      </c>
      <c r="AI241" s="292">
        <v>0.605</v>
      </c>
      <c r="AJ241" s="291">
        <v>10.3</v>
      </c>
      <c r="AK241" s="292">
        <v>0.99</v>
      </c>
      <c r="AL241" s="294">
        <v>1.49</v>
      </c>
    </row>
    <row r="242" spans="1:38" ht="12.75">
      <c r="A242" s="9"/>
      <c r="B242" s="9"/>
      <c r="C242" s="9"/>
      <c r="D242" s="9"/>
      <c r="E242" s="9"/>
      <c r="F242" s="9"/>
      <c r="G242" s="9"/>
      <c r="H242" s="9"/>
      <c r="I242" s="9"/>
      <c r="M242" s="138"/>
      <c r="N242" s="133"/>
      <c r="O242" s="133"/>
      <c r="P242" s="133"/>
      <c r="Q242" s="133"/>
      <c r="R242" s="132"/>
      <c r="S242" s="133"/>
      <c r="T242" s="133"/>
      <c r="U242" s="133"/>
      <c r="V242" s="133"/>
      <c r="W242" s="133"/>
      <c r="X242" s="133"/>
      <c r="Y242" s="133"/>
      <c r="Z242" s="133"/>
      <c r="AA242" s="133"/>
      <c r="AB242" s="133"/>
      <c r="AC242" s="365"/>
      <c r="AD242" s="36"/>
      <c r="AF242" s="289" t="s">
        <v>684</v>
      </c>
      <c r="AG242" s="290">
        <v>22.6</v>
      </c>
      <c r="AH242" s="291">
        <v>10.6</v>
      </c>
      <c r="AI242" s="292">
        <v>0.53</v>
      </c>
      <c r="AJ242" s="291">
        <v>10.2</v>
      </c>
      <c r="AK242" s="292">
        <v>0.87</v>
      </c>
      <c r="AL242" s="294">
        <v>1.37</v>
      </c>
    </row>
    <row r="243" spans="1:38" ht="12.75">
      <c r="A243" s="9"/>
      <c r="B243" s="9"/>
      <c r="C243" s="9"/>
      <c r="D243" s="9"/>
      <c r="E243" s="9"/>
      <c r="F243" s="9"/>
      <c r="G243" s="9"/>
      <c r="H243" s="9"/>
      <c r="I243" s="9"/>
      <c r="M243" s="138"/>
      <c r="N243" s="133"/>
      <c r="O243" s="133"/>
      <c r="P243" s="133"/>
      <c r="Q243" s="133"/>
      <c r="R243" s="133"/>
      <c r="S243" s="133"/>
      <c r="T243" s="133"/>
      <c r="U243" s="133"/>
      <c r="V243" s="133"/>
      <c r="W243" s="133"/>
      <c r="X243" s="133"/>
      <c r="Y243" s="133"/>
      <c r="Z243" s="133"/>
      <c r="AA243" s="133"/>
      <c r="AB243" s="133"/>
      <c r="AC243" s="133"/>
      <c r="AD243" s="36"/>
      <c r="AF243" s="289" t="s">
        <v>685</v>
      </c>
      <c r="AG243" s="290">
        <v>20</v>
      </c>
      <c r="AH243" s="291">
        <v>10.4</v>
      </c>
      <c r="AI243" s="292">
        <v>0.47</v>
      </c>
      <c r="AJ243" s="291">
        <v>10.1</v>
      </c>
      <c r="AK243" s="292">
        <v>0.77</v>
      </c>
      <c r="AL243" s="294">
        <v>1.27</v>
      </c>
    </row>
    <row r="244" spans="1:38" ht="12.75">
      <c r="A244" s="9"/>
      <c r="B244" s="9"/>
      <c r="C244" s="9"/>
      <c r="D244" s="9"/>
      <c r="E244" s="9"/>
      <c r="F244" s="9"/>
      <c r="G244" s="9"/>
      <c r="H244" s="9"/>
      <c r="I244" s="9"/>
      <c r="M244" s="138"/>
      <c r="N244" s="133"/>
      <c r="O244" s="133"/>
      <c r="P244" s="133"/>
      <c r="Q244" s="133"/>
      <c r="R244" s="133"/>
      <c r="S244" s="133"/>
      <c r="T244" s="133"/>
      <c r="U244" s="132"/>
      <c r="V244" s="133"/>
      <c r="W244" s="133"/>
      <c r="X244" s="133"/>
      <c r="Y244" s="133"/>
      <c r="Z244" s="132"/>
      <c r="AA244" s="132"/>
      <c r="AB244" s="365"/>
      <c r="AC244" s="365"/>
      <c r="AD244" s="36"/>
      <c r="AF244" s="289" t="s">
        <v>686</v>
      </c>
      <c r="AG244" s="290">
        <v>17.6</v>
      </c>
      <c r="AH244" s="291">
        <v>10.2</v>
      </c>
      <c r="AI244" s="292">
        <v>0.42</v>
      </c>
      <c r="AJ244" s="291">
        <v>10.1</v>
      </c>
      <c r="AK244" s="292">
        <v>0.68</v>
      </c>
      <c r="AL244" s="294">
        <v>1.18</v>
      </c>
    </row>
    <row r="245" spans="1:38" ht="12.75">
      <c r="A245" s="9"/>
      <c r="B245" s="9"/>
      <c r="C245" s="9"/>
      <c r="D245" s="9"/>
      <c r="E245" s="9"/>
      <c r="F245" s="9"/>
      <c r="G245" s="9"/>
      <c r="H245" s="9"/>
      <c r="I245" s="9"/>
      <c r="M245" s="138"/>
      <c r="N245" s="133"/>
      <c r="O245" s="133"/>
      <c r="P245" s="133"/>
      <c r="Q245" s="133"/>
      <c r="R245" s="133"/>
      <c r="S245" s="133"/>
      <c r="T245" s="133"/>
      <c r="U245" s="133"/>
      <c r="V245" s="132"/>
      <c r="W245" s="133"/>
      <c r="X245" s="133"/>
      <c r="Y245" s="132"/>
      <c r="Z245" s="133"/>
      <c r="AA245" s="133"/>
      <c r="AB245" s="133"/>
      <c r="AC245" s="133"/>
      <c r="AD245" s="36"/>
      <c r="AF245" s="289" t="s">
        <v>687</v>
      </c>
      <c r="AG245" s="290">
        <v>15.8</v>
      </c>
      <c r="AH245" s="291">
        <v>10.1</v>
      </c>
      <c r="AI245" s="292">
        <v>0.37</v>
      </c>
      <c r="AJ245" s="291">
        <v>10</v>
      </c>
      <c r="AK245" s="292">
        <v>0.615</v>
      </c>
      <c r="AL245" s="294">
        <v>1.12</v>
      </c>
    </row>
    <row r="246" spans="1:38" ht="12.75">
      <c r="A246" s="9"/>
      <c r="B246" s="9"/>
      <c r="C246" s="9"/>
      <c r="D246" s="9"/>
      <c r="E246" s="9"/>
      <c r="F246" s="9"/>
      <c r="G246" s="9"/>
      <c r="H246" s="9"/>
      <c r="I246" s="9"/>
      <c r="M246" s="138"/>
      <c r="N246" s="133"/>
      <c r="O246" s="133"/>
      <c r="P246" s="133"/>
      <c r="Q246" s="133"/>
      <c r="R246" s="133"/>
      <c r="S246" s="133"/>
      <c r="T246" s="133"/>
      <c r="U246" s="132"/>
      <c r="V246" s="132"/>
      <c r="W246" s="132"/>
      <c r="X246" s="133"/>
      <c r="Y246" s="133"/>
      <c r="Z246" s="133"/>
      <c r="AA246" s="133"/>
      <c r="AB246" s="132"/>
      <c r="AC246" s="133"/>
      <c r="AD246" s="36"/>
      <c r="AF246" s="289" t="s">
        <v>688</v>
      </c>
      <c r="AG246" s="290">
        <v>14.4</v>
      </c>
      <c r="AH246" s="291">
        <v>10</v>
      </c>
      <c r="AI246" s="292">
        <v>0.34</v>
      </c>
      <c r="AJ246" s="291">
        <v>10</v>
      </c>
      <c r="AK246" s="292">
        <v>0.56</v>
      </c>
      <c r="AL246" s="294">
        <v>1.06</v>
      </c>
    </row>
    <row r="247" spans="1:41" ht="12.75">
      <c r="A247" s="9"/>
      <c r="B247" s="9"/>
      <c r="C247" s="9"/>
      <c r="D247" s="9"/>
      <c r="E247" s="9"/>
      <c r="F247" s="9"/>
      <c r="G247" s="9"/>
      <c r="H247" s="9"/>
      <c r="I247" s="59"/>
      <c r="M247" s="138"/>
      <c r="N247" s="133"/>
      <c r="O247" s="133"/>
      <c r="P247" s="133"/>
      <c r="Q247" s="133"/>
      <c r="R247" s="133"/>
      <c r="S247" s="133"/>
      <c r="T247" s="133"/>
      <c r="U247" s="132"/>
      <c r="V247" s="133"/>
      <c r="W247" s="133"/>
      <c r="X247" s="133"/>
      <c r="Y247" s="133"/>
      <c r="Z247" s="133"/>
      <c r="AA247" s="133"/>
      <c r="AB247" s="133"/>
      <c r="AC247" s="133"/>
      <c r="AD247" s="36"/>
      <c r="AF247" s="289" t="s">
        <v>689</v>
      </c>
      <c r="AG247" s="290">
        <v>13.3</v>
      </c>
      <c r="AH247" s="291">
        <v>10.1</v>
      </c>
      <c r="AI247" s="292">
        <v>0.35</v>
      </c>
      <c r="AJ247" s="293">
        <v>8.02</v>
      </c>
      <c r="AK247" s="292">
        <v>0.62</v>
      </c>
      <c r="AL247" s="294">
        <v>1.12</v>
      </c>
      <c r="AN247" s="49"/>
      <c r="AO247" s="98"/>
    </row>
    <row r="248" spans="1:41" ht="12.75">
      <c r="A248" s="9"/>
      <c r="B248" s="9"/>
      <c r="C248" s="9"/>
      <c r="D248" s="9"/>
      <c r="E248" s="9"/>
      <c r="F248" s="9"/>
      <c r="G248" s="9"/>
      <c r="H248" s="9"/>
      <c r="I248" s="59"/>
      <c r="M248" s="138"/>
      <c r="N248" s="133"/>
      <c r="O248" s="133"/>
      <c r="P248" s="133"/>
      <c r="Q248" s="133"/>
      <c r="R248" s="133"/>
      <c r="S248" s="133"/>
      <c r="T248" s="133"/>
      <c r="U248" s="133"/>
      <c r="V248" s="132"/>
      <c r="W248" s="133"/>
      <c r="X248" s="133"/>
      <c r="Y248" s="133"/>
      <c r="Z248" s="133"/>
      <c r="AA248" s="133"/>
      <c r="AB248" s="133"/>
      <c r="AC248" s="133"/>
      <c r="AD248" s="36"/>
      <c r="AF248" s="289" t="s">
        <v>690</v>
      </c>
      <c r="AG248" s="290">
        <v>11.5</v>
      </c>
      <c r="AH248" s="293">
        <v>9.92</v>
      </c>
      <c r="AI248" s="292">
        <v>0.315</v>
      </c>
      <c r="AJ248" s="293">
        <v>7.99</v>
      </c>
      <c r="AK248" s="292">
        <v>0.53</v>
      </c>
      <c r="AL248" s="294">
        <v>1.03</v>
      </c>
      <c r="AN248" s="49"/>
      <c r="AO248" s="98"/>
    </row>
    <row r="249" spans="1:41" ht="12.75">
      <c r="A249" s="9"/>
      <c r="B249" s="9"/>
      <c r="C249" s="9"/>
      <c r="D249" s="9"/>
      <c r="E249" s="9"/>
      <c r="F249" s="9"/>
      <c r="G249" s="9"/>
      <c r="H249" s="9"/>
      <c r="I249" s="9"/>
      <c r="M249" s="138"/>
      <c r="N249" s="133"/>
      <c r="O249" s="133"/>
      <c r="P249" s="133"/>
      <c r="Q249" s="133"/>
      <c r="R249" s="133"/>
      <c r="S249" s="133"/>
      <c r="T249" s="132"/>
      <c r="U249" s="133"/>
      <c r="V249" s="132"/>
      <c r="W249" s="133"/>
      <c r="X249" s="133"/>
      <c r="Y249" s="133"/>
      <c r="Z249" s="133"/>
      <c r="AA249" s="133"/>
      <c r="AB249" s="133"/>
      <c r="AC249" s="132"/>
      <c r="AD249" s="36"/>
      <c r="AF249" s="289" t="s">
        <v>691</v>
      </c>
      <c r="AG249" s="297">
        <v>9.71</v>
      </c>
      <c r="AH249" s="293">
        <v>9.73</v>
      </c>
      <c r="AI249" s="292">
        <v>0.29</v>
      </c>
      <c r="AJ249" s="293">
        <v>7.96</v>
      </c>
      <c r="AK249" s="292">
        <v>0.435</v>
      </c>
      <c r="AL249" s="296">
        <v>0.935</v>
      </c>
      <c r="AN249" s="49"/>
      <c r="AO249" s="98"/>
    </row>
    <row r="250" spans="1:41" ht="12.75">
      <c r="A250" s="9"/>
      <c r="B250" s="24"/>
      <c r="C250" s="114"/>
      <c r="D250" s="24"/>
      <c r="E250" s="24"/>
      <c r="F250" s="24"/>
      <c r="G250" s="24"/>
      <c r="H250" s="24"/>
      <c r="I250" s="373"/>
      <c r="M250" s="138"/>
      <c r="N250" s="133"/>
      <c r="O250" s="133"/>
      <c r="P250" s="133"/>
      <c r="Q250" s="133"/>
      <c r="R250" s="133"/>
      <c r="S250" s="133"/>
      <c r="T250" s="133"/>
      <c r="U250" s="133"/>
      <c r="V250" s="133"/>
      <c r="W250" s="133"/>
      <c r="X250" s="133"/>
      <c r="Y250" s="133"/>
      <c r="Z250" s="133"/>
      <c r="AA250" s="132"/>
      <c r="AB250" s="133"/>
      <c r="AC250" s="132"/>
      <c r="AD250" s="36"/>
      <c r="AF250" s="289" t="s">
        <v>692</v>
      </c>
      <c r="AG250" s="297">
        <v>8.84</v>
      </c>
      <c r="AH250" s="291">
        <v>10.5</v>
      </c>
      <c r="AI250" s="292">
        <v>0.3</v>
      </c>
      <c r="AJ250" s="293">
        <v>5.81</v>
      </c>
      <c r="AK250" s="292">
        <v>0.51</v>
      </c>
      <c r="AL250" s="296">
        <v>0.81</v>
      </c>
      <c r="AN250" s="49"/>
      <c r="AO250" s="98"/>
    </row>
    <row r="251" spans="1:41" ht="12.75">
      <c r="A251" s="9"/>
      <c r="B251" s="9"/>
      <c r="C251" s="9"/>
      <c r="D251" s="9"/>
      <c r="E251" s="9"/>
      <c r="F251" s="9"/>
      <c r="G251" s="9"/>
      <c r="H251" s="9"/>
      <c r="I251" s="9"/>
      <c r="M251" s="132"/>
      <c r="N251" s="133"/>
      <c r="O251" s="133"/>
      <c r="P251" s="132"/>
      <c r="Q251" s="133"/>
      <c r="R251" s="133"/>
      <c r="S251" s="133"/>
      <c r="T251" s="133"/>
      <c r="U251" s="133"/>
      <c r="V251" s="133"/>
      <c r="W251" s="133"/>
      <c r="X251" s="133"/>
      <c r="Y251" s="133"/>
      <c r="Z251" s="133"/>
      <c r="AA251" s="133"/>
      <c r="AB251" s="133"/>
      <c r="AC251" s="133"/>
      <c r="AD251" s="36"/>
      <c r="AF251" s="289" t="s">
        <v>693</v>
      </c>
      <c r="AG251" s="297">
        <v>7.61</v>
      </c>
      <c r="AH251" s="291">
        <v>10.3</v>
      </c>
      <c r="AI251" s="292">
        <v>0.26</v>
      </c>
      <c r="AJ251" s="293">
        <v>5.77</v>
      </c>
      <c r="AK251" s="292">
        <v>0.44</v>
      </c>
      <c r="AL251" s="296">
        <v>0.74</v>
      </c>
      <c r="AO251" s="98"/>
    </row>
    <row r="252" spans="1:41" ht="12.75">
      <c r="A252" s="9"/>
      <c r="B252" s="9"/>
      <c r="C252" s="9"/>
      <c r="D252" s="9"/>
      <c r="E252" s="9"/>
      <c r="F252" s="9"/>
      <c r="G252" s="9"/>
      <c r="H252" s="9"/>
      <c r="I252" s="9"/>
      <c r="M252" s="132"/>
      <c r="N252" s="133"/>
      <c r="O252" s="133"/>
      <c r="P252" s="133"/>
      <c r="Q252" s="133"/>
      <c r="R252" s="133"/>
      <c r="S252" s="133"/>
      <c r="T252" s="133"/>
      <c r="U252" s="133"/>
      <c r="V252" s="133"/>
      <c r="W252" s="133"/>
      <c r="X252" s="133"/>
      <c r="Y252" s="133"/>
      <c r="Z252" s="133"/>
      <c r="AA252" s="133"/>
      <c r="AB252" s="133"/>
      <c r="AC252" s="133"/>
      <c r="AD252" s="36"/>
      <c r="AF252" s="289" t="s">
        <v>694</v>
      </c>
      <c r="AG252" s="297">
        <v>6.49</v>
      </c>
      <c r="AH252" s="291">
        <v>10.2</v>
      </c>
      <c r="AI252" s="292">
        <v>0.24</v>
      </c>
      <c r="AJ252" s="293">
        <v>5.75</v>
      </c>
      <c r="AK252" s="292">
        <v>0.36</v>
      </c>
      <c r="AL252" s="296">
        <v>0.66</v>
      </c>
      <c r="AO252" s="98"/>
    </row>
    <row r="253" spans="1:41" ht="12.75">
      <c r="A253" s="9"/>
      <c r="B253" s="9"/>
      <c r="C253" s="9"/>
      <c r="D253" s="9"/>
      <c r="E253" s="9"/>
      <c r="F253" s="9"/>
      <c r="G253" s="9"/>
      <c r="H253" s="9"/>
      <c r="I253" s="9"/>
      <c r="M253" s="132"/>
      <c r="N253" s="133"/>
      <c r="O253" s="133"/>
      <c r="P253" s="133"/>
      <c r="Q253" s="133"/>
      <c r="R253" s="133"/>
      <c r="S253" s="133"/>
      <c r="T253" s="133"/>
      <c r="U253" s="133"/>
      <c r="V253" s="133"/>
      <c r="W253" s="133"/>
      <c r="X253" s="133"/>
      <c r="Y253" s="133"/>
      <c r="Z253" s="133"/>
      <c r="AA253" s="133"/>
      <c r="AB253" s="132"/>
      <c r="AC253" s="133"/>
      <c r="AD253" s="36"/>
      <c r="AF253" s="289" t="s">
        <v>695</v>
      </c>
      <c r="AG253" s="297">
        <v>5.62</v>
      </c>
      <c r="AH253" s="291">
        <v>10.2</v>
      </c>
      <c r="AI253" s="292">
        <v>0.25</v>
      </c>
      <c r="AJ253" s="293">
        <v>4.02</v>
      </c>
      <c r="AK253" s="292">
        <v>0.395</v>
      </c>
      <c r="AL253" s="296">
        <v>0.695</v>
      </c>
      <c r="AO253" s="98"/>
    </row>
    <row r="254" spans="1:41" ht="12.75">
      <c r="A254" s="9"/>
      <c r="B254" s="9"/>
      <c r="C254" s="9"/>
      <c r="D254" s="9"/>
      <c r="E254" s="9"/>
      <c r="F254" s="9"/>
      <c r="G254" s="9"/>
      <c r="H254" s="9"/>
      <c r="I254" s="9"/>
      <c r="M254" s="132"/>
      <c r="N254" s="133"/>
      <c r="O254" s="133"/>
      <c r="P254" s="133"/>
      <c r="Q254" s="133"/>
      <c r="R254" s="133"/>
      <c r="S254" s="133"/>
      <c r="T254" s="133"/>
      <c r="U254" s="133"/>
      <c r="V254" s="133"/>
      <c r="W254" s="133"/>
      <c r="X254" s="133"/>
      <c r="Y254" s="133"/>
      <c r="Z254" s="133"/>
      <c r="AA254" s="133"/>
      <c r="AB254" s="133"/>
      <c r="AC254" s="133"/>
      <c r="AD254" s="36"/>
      <c r="AF254" s="289" t="s">
        <v>696</v>
      </c>
      <c r="AG254" s="297">
        <v>4.99</v>
      </c>
      <c r="AH254" s="291">
        <v>10.1</v>
      </c>
      <c r="AI254" s="292">
        <v>0.24</v>
      </c>
      <c r="AJ254" s="293">
        <v>4.01</v>
      </c>
      <c r="AK254" s="292">
        <v>0.33</v>
      </c>
      <c r="AL254" s="296">
        <v>0.63</v>
      </c>
      <c r="AO254" s="98"/>
    </row>
    <row r="255" spans="1:41" ht="12.75">
      <c r="A255" s="9"/>
      <c r="B255" s="9"/>
      <c r="C255" s="9"/>
      <c r="D255" s="9"/>
      <c r="E255" s="9"/>
      <c r="F255" s="9"/>
      <c r="G255" s="9"/>
      <c r="H255" s="9"/>
      <c r="I255" s="9"/>
      <c r="M255" s="132"/>
      <c r="N255" s="133"/>
      <c r="O255" s="138"/>
      <c r="P255" s="133"/>
      <c r="Q255" s="133"/>
      <c r="R255" s="133"/>
      <c r="S255" s="133"/>
      <c r="T255" s="133"/>
      <c r="U255" s="133"/>
      <c r="V255" s="133"/>
      <c r="W255" s="133"/>
      <c r="X255" s="133"/>
      <c r="Y255" s="133"/>
      <c r="Z255" s="133"/>
      <c r="AA255" s="133"/>
      <c r="AB255" s="133"/>
      <c r="AC255" s="132"/>
      <c r="AD255" s="36"/>
      <c r="AF255" s="289" t="s">
        <v>697</v>
      </c>
      <c r="AG255" s="297">
        <v>4.41</v>
      </c>
      <c r="AH255" s="291">
        <v>10</v>
      </c>
      <c r="AI255" s="292">
        <v>0.23</v>
      </c>
      <c r="AJ255" s="293">
        <v>4</v>
      </c>
      <c r="AK255" s="292">
        <v>0.27</v>
      </c>
      <c r="AL255" s="296">
        <v>0.57</v>
      </c>
      <c r="AO255" s="98"/>
    </row>
    <row r="256" spans="1:38" ht="12.75">
      <c r="A256" s="9"/>
      <c r="B256" s="9"/>
      <c r="C256" s="9"/>
      <c r="D256" s="9"/>
      <c r="E256" s="9"/>
      <c r="F256" s="9"/>
      <c r="G256" s="9"/>
      <c r="H256" s="9"/>
      <c r="I256" s="9"/>
      <c r="M256" s="132"/>
      <c r="N256" s="133"/>
      <c r="O256" s="133"/>
      <c r="P256" s="133"/>
      <c r="Q256" s="133"/>
      <c r="R256" s="133"/>
      <c r="S256" s="133"/>
      <c r="T256" s="133"/>
      <c r="U256" s="133"/>
      <c r="V256" s="133"/>
      <c r="W256" s="133"/>
      <c r="X256" s="133"/>
      <c r="Y256" s="133"/>
      <c r="Z256" s="133"/>
      <c r="AA256" s="133"/>
      <c r="AB256" s="133"/>
      <c r="AC256" s="133"/>
      <c r="AD256" s="36"/>
      <c r="AF256" s="289" t="s">
        <v>698</v>
      </c>
      <c r="AG256" s="297">
        <v>3.54</v>
      </c>
      <c r="AH256" s="293">
        <v>9.87</v>
      </c>
      <c r="AI256" s="292">
        <v>0.19</v>
      </c>
      <c r="AJ256" s="293">
        <v>3.96</v>
      </c>
      <c r="AK256" s="292">
        <v>0.21</v>
      </c>
      <c r="AL256" s="296">
        <v>0.51</v>
      </c>
    </row>
    <row r="257" spans="1:38" ht="12.75">
      <c r="A257" s="9"/>
      <c r="B257" s="9"/>
      <c r="C257" s="9"/>
      <c r="D257" s="9"/>
      <c r="E257" s="9"/>
      <c r="F257" s="9"/>
      <c r="G257" s="9"/>
      <c r="H257" s="9"/>
      <c r="I257" s="9"/>
      <c r="M257" s="132"/>
      <c r="N257" s="368"/>
      <c r="O257" s="133"/>
      <c r="P257" s="133"/>
      <c r="Q257" s="133"/>
      <c r="R257" s="133"/>
      <c r="S257" s="133"/>
      <c r="T257" s="133"/>
      <c r="U257" s="133"/>
      <c r="V257" s="132"/>
      <c r="W257" s="133"/>
      <c r="X257" s="132"/>
      <c r="Y257" s="133"/>
      <c r="Z257" s="133"/>
      <c r="AA257" s="133"/>
      <c r="AB257" s="133"/>
      <c r="AC257" s="133"/>
      <c r="AD257" s="36"/>
      <c r="AF257" s="289" t="s">
        <v>699</v>
      </c>
      <c r="AG257" s="290">
        <v>19.7</v>
      </c>
      <c r="AH257" s="293">
        <v>9</v>
      </c>
      <c r="AI257" s="292">
        <v>0.57</v>
      </c>
      <c r="AJ257" s="293">
        <v>8.28</v>
      </c>
      <c r="AK257" s="292">
        <v>0.935</v>
      </c>
      <c r="AL257" s="294">
        <v>1.33</v>
      </c>
    </row>
    <row r="258" spans="1:38" ht="12.75">
      <c r="A258" s="9"/>
      <c r="B258" s="9"/>
      <c r="C258" s="9"/>
      <c r="D258" s="9"/>
      <c r="E258" s="9"/>
      <c r="F258" s="9"/>
      <c r="G258" s="9"/>
      <c r="H258" s="9"/>
      <c r="I258" s="9"/>
      <c r="M258" s="132"/>
      <c r="N258" s="133"/>
      <c r="O258" s="133"/>
      <c r="P258" s="133"/>
      <c r="Q258" s="138"/>
      <c r="R258" s="133"/>
      <c r="S258" s="133"/>
      <c r="T258" s="133"/>
      <c r="U258" s="133"/>
      <c r="V258" s="132"/>
      <c r="W258" s="133"/>
      <c r="X258" s="133"/>
      <c r="Y258" s="132"/>
      <c r="Z258" s="133"/>
      <c r="AA258" s="133"/>
      <c r="AB258" s="133"/>
      <c r="AC258" s="133"/>
      <c r="AD258" s="36"/>
      <c r="AF258" s="289" t="s">
        <v>700</v>
      </c>
      <c r="AG258" s="290">
        <v>17.1</v>
      </c>
      <c r="AH258" s="293">
        <v>8.75</v>
      </c>
      <c r="AI258" s="292">
        <v>0.51</v>
      </c>
      <c r="AJ258" s="293">
        <v>8.22</v>
      </c>
      <c r="AK258" s="292">
        <v>0.81</v>
      </c>
      <c r="AL258" s="294">
        <v>1.2</v>
      </c>
    </row>
    <row r="259" spans="1:38" ht="12.75">
      <c r="A259" s="9"/>
      <c r="B259" s="9"/>
      <c r="C259" s="9"/>
      <c r="D259" s="9"/>
      <c r="E259" s="9"/>
      <c r="F259" s="9"/>
      <c r="G259" s="9"/>
      <c r="H259" s="9"/>
      <c r="I259" s="9"/>
      <c r="M259" s="132"/>
      <c r="N259" s="133"/>
      <c r="O259" s="138"/>
      <c r="P259" s="133"/>
      <c r="Q259" s="133"/>
      <c r="R259" s="133"/>
      <c r="S259" s="133"/>
      <c r="T259" s="133"/>
      <c r="U259" s="138"/>
      <c r="V259" s="133"/>
      <c r="W259" s="133"/>
      <c r="X259" s="133"/>
      <c r="Y259" s="133"/>
      <c r="Z259" s="132"/>
      <c r="AA259" s="133"/>
      <c r="AB259" s="133"/>
      <c r="AC259" s="133"/>
      <c r="AD259" s="36"/>
      <c r="AF259" s="289" t="s">
        <v>701</v>
      </c>
      <c r="AG259" s="290">
        <v>14.1</v>
      </c>
      <c r="AH259" s="293">
        <v>8.5</v>
      </c>
      <c r="AI259" s="292">
        <v>0.4</v>
      </c>
      <c r="AJ259" s="293">
        <v>8.11</v>
      </c>
      <c r="AK259" s="292">
        <v>0.685</v>
      </c>
      <c r="AL259" s="294">
        <v>1.08</v>
      </c>
    </row>
    <row r="260" spans="1:38" ht="12.75">
      <c r="A260" s="9"/>
      <c r="B260" s="9"/>
      <c r="C260" s="9"/>
      <c r="D260" s="9"/>
      <c r="E260" s="9"/>
      <c r="F260" s="9"/>
      <c r="G260" s="9"/>
      <c r="H260" s="9"/>
      <c r="I260" s="9"/>
      <c r="M260" s="132"/>
      <c r="N260" s="133"/>
      <c r="O260" s="133"/>
      <c r="P260" s="133"/>
      <c r="Q260" s="133"/>
      <c r="R260" s="133"/>
      <c r="S260" s="133"/>
      <c r="T260" s="133"/>
      <c r="U260" s="133"/>
      <c r="V260" s="133"/>
      <c r="W260" s="133"/>
      <c r="X260" s="133"/>
      <c r="Y260" s="133"/>
      <c r="Z260" s="133"/>
      <c r="AA260" s="132"/>
      <c r="AB260" s="133"/>
      <c r="AC260" s="133"/>
      <c r="AD260" s="36"/>
      <c r="AF260" s="289" t="s">
        <v>702</v>
      </c>
      <c r="AG260" s="290">
        <v>11.7</v>
      </c>
      <c r="AH260" s="293">
        <v>8.25</v>
      </c>
      <c r="AI260" s="292">
        <v>0.36</v>
      </c>
      <c r="AJ260" s="293">
        <v>8.07</v>
      </c>
      <c r="AK260" s="292">
        <v>0.56</v>
      </c>
      <c r="AL260" s="296">
        <v>0.954</v>
      </c>
    </row>
    <row r="261" spans="1:38" ht="12.75">
      <c r="A261" s="9"/>
      <c r="B261" s="9"/>
      <c r="C261" s="9"/>
      <c r="D261" s="9"/>
      <c r="E261" s="9"/>
      <c r="F261" s="9"/>
      <c r="G261" s="9"/>
      <c r="H261" s="9"/>
      <c r="I261" s="9"/>
      <c r="M261" s="132"/>
      <c r="N261" s="133"/>
      <c r="O261" s="133"/>
      <c r="P261" s="133"/>
      <c r="Q261" s="133"/>
      <c r="R261" s="138"/>
      <c r="S261" s="133"/>
      <c r="T261" s="133"/>
      <c r="U261" s="133"/>
      <c r="V261" s="133"/>
      <c r="W261" s="133"/>
      <c r="X261" s="133"/>
      <c r="Y261" s="133"/>
      <c r="Z261" s="133"/>
      <c r="AA261" s="133"/>
      <c r="AB261" s="133"/>
      <c r="AC261" s="133"/>
      <c r="AD261" s="36"/>
      <c r="AF261" s="289" t="s">
        <v>703</v>
      </c>
      <c r="AG261" s="290">
        <v>10.3</v>
      </c>
      <c r="AH261" s="293">
        <v>8.12</v>
      </c>
      <c r="AI261" s="292">
        <v>0.31</v>
      </c>
      <c r="AJ261" s="293">
        <v>8.02</v>
      </c>
      <c r="AK261" s="292">
        <v>0.495</v>
      </c>
      <c r="AL261" s="296">
        <v>0.889</v>
      </c>
    </row>
    <row r="262" spans="1:38" ht="12.75">
      <c r="A262" s="9"/>
      <c r="B262" s="9"/>
      <c r="C262" s="9"/>
      <c r="D262" s="9"/>
      <c r="E262" s="9"/>
      <c r="F262" s="9"/>
      <c r="G262" s="9"/>
      <c r="H262" s="9"/>
      <c r="I262" s="9"/>
      <c r="M262" s="366"/>
      <c r="N262" s="138"/>
      <c r="O262" s="138"/>
      <c r="P262" s="138"/>
      <c r="Q262" s="138"/>
      <c r="R262" s="138"/>
      <c r="S262" s="138"/>
      <c r="T262" s="138"/>
      <c r="U262" s="138"/>
      <c r="V262" s="138"/>
      <c r="W262" s="138"/>
      <c r="X262" s="138"/>
      <c r="Y262" s="138"/>
      <c r="Z262" s="138"/>
      <c r="AA262" s="138"/>
      <c r="AB262" s="138"/>
      <c r="AC262" s="138"/>
      <c r="AD262" s="36"/>
      <c r="AF262" s="289" t="s">
        <v>704</v>
      </c>
      <c r="AG262" s="297">
        <v>9.12</v>
      </c>
      <c r="AH262" s="293">
        <v>8</v>
      </c>
      <c r="AI262" s="292">
        <v>0.285</v>
      </c>
      <c r="AJ262" s="293">
        <v>8</v>
      </c>
      <c r="AK262" s="292">
        <v>0.435</v>
      </c>
      <c r="AL262" s="296">
        <v>0.829</v>
      </c>
    </row>
    <row r="263" spans="1:38" ht="12.75">
      <c r="A263" s="9"/>
      <c r="B263" s="9"/>
      <c r="C263" s="9"/>
      <c r="D263" s="9"/>
      <c r="E263" s="9"/>
      <c r="F263" s="9"/>
      <c r="G263" s="9"/>
      <c r="H263" s="9"/>
      <c r="I263" s="9"/>
      <c r="M263" s="36"/>
      <c r="N263" s="36"/>
      <c r="O263" s="36"/>
      <c r="P263" s="36"/>
      <c r="Q263" s="36"/>
      <c r="R263" s="36"/>
      <c r="S263" s="36"/>
      <c r="T263" s="36"/>
      <c r="U263" s="36"/>
      <c r="V263" s="36"/>
      <c r="W263" s="36"/>
      <c r="X263" s="36"/>
      <c r="Y263" s="36"/>
      <c r="Z263" s="36"/>
      <c r="AA263" s="36"/>
      <c r="AB263" s="36"/>
      <c r="AC263" s="36"/>
      <c r="AD263" s="36"/>
      <c r="AF263" s="289" t="s">
        <v>705</v>
      </c>
      <c r="AG263" s="297">
        <v>8.24</v>
      </c>
      <c r="AH263" s="293">
        <v>8.06</v>
      </c>
      <c r="AI263" s="292">
        <v>0.285</v>
      </c>
      <c r="AJ263" s="293">
        <v>6.54</v>
      </c>
      <c r="AK263" s="292">
        <v>0.465</v>
      </c>
      <c r="AL263" s="296">
        <v>0.859</v>
      </c>
    </row>
    <row r="264" spans="1:38" ht="12.75">
      <c r="A264" s="9"/>
      <c r="B264" s="9"/>
      <c r="C264" s="9"/>
      <c r="D264" s="9"/>
      <c r="E264" s="9"/>
      <c r="F264" s="9"/>
      <c r="G264" s="9"/>
      <c r="H264" s="9"/>
      <c r="I264" s="9"/>
      <c r="M264" s="355"/>
      <c r="N264" s="112"/>
      <c r="O264" s="362"/>
      <c r="P264" s="112"/>
      <c r="Q264" s="112"/>
      <c r="R264" s="112"/>
      <c r="S264" s="112"/>
      <c r="T264" s="112"/>
      <c r="U264" s="356"/>
      <c r="V264" s="112"/>
      <c r="W264" s="112"/>
      <c r="X264" s="112"/>
      <c r="Y264" s="112"/>
      <c r="Z264" s="112"/>
      <c r="AA264" s="112"/>
      <c r="AB264" s="112"/>
      <c r="AC264" s="112"/>
      <c r="AD264" s="36"/>
      <c r="AF264" s="289" t="s">
        <v>706</v>
      </c>
      <c r="AG264" s="297">
        <v>7.08</v>
      </c>
      <c r="AH264" s="293">
        <v>7.93</v>
      </c>
      <c r="AI264" s="292">
        <v>0.245</v>
      </c>
      <c r="AJ264" s="293">
        <v>6.5</v>
      </c>
      <c r="AK264" s="292">
        <v>0.4</v>
      </c>
      <c r="AL264" s="296">
        <v>0.794</v>
      </c>
    </row>
    <row r="265" spans="1:38" ht="12.75">
      <c r="A265" s="9"/>
      <c r="B265" s="9"/>
      <c r="C265" s="9"/>
      <c r="D265" s="9"/>
      <c r="E265" s="9"/>
      <c r="F265" s="9"/>
      <c r="G265" s="9"/>
      <c r="H265" s="9"/>
      <c r="I265" s="9"/>
      <c r="M265" s="357"/>
      <c r="N265" s="355"/>
      <c r="O265" s="362"/>
      <c r="P265" s="112"/>
      <c r="Q265" s="112"/>
      <c r="R265" s="112"/>
      <c r="S265" s="112"/>
      <c r="T265" s="355"/>
      <c r="U265" s="112"/>
      <c r="V265" s="112"/>
      <c r="W265" s="112"/>
      <c r="X265" s="112"/>
      <c r="Y265" s="362"/>
      <c r="Z265" s="112"/>
      <c r="AA265" s="112"/>
      <c r="AB265" s="362"/>
      <c r="AC265" s="112"/>
      <c r="AD265" s="36"/>
      <c r="AF265" s="289" t="s">
        <v>707</v>
      </c>
      <c r="AG265" s="297">
        <v>6.16</v>
      </c>
      <c r="AH265" s="293">
        <v>8.28</v>
      </c>
      <c r="AI265" s="292">
        <v>0.25</v>
      </c>
      <c r="AJ265" s="293">
        <v>5.27</v>
      </c>
      <c r="AK265" s="292">
        <v>0.4</v>
      </c>
      <c r="AL265" s="296">
        <v>0.7</v>
      </c>
    </row>
    <row r="266" spans="1:38" ht="12.75">
      <c r="A266" s="9"/>
      <c r="B266" s="9"/>
      <c r="C266" s="9"/>
      <c r="D266" s="9"/>
      <c r="E266" s="9"/>
      <c r="F266" s="9"/>
      <c r="G266" s="9"/>
      <c r="H266" s="9"/>
      <c r="I266" s="9"/>
      <c r="M266" s="363"/>
      <c r="N266" s="139"/>
      <c r="O266" s="139"/>
      <c r="P266" s="139"/>
      <c r="Q266" s="139"/>
      <c r="R266" s="139"/>
      <c r="S266" s="139"/>
      <c r="T266" s="139"/>
      <c r="U266" s="139"/>
      <c r="V266" s="139"/>
      <c r="W266" s="139"/>
      <c r="X266" s="139"/>
      <c r="Y266" s="139"/>
      <c r="Z266" s="139"/>
      <c r="AA266" s="139"/>
      <c r="AB266" s="139"/>
      <c r="AC266" s="139"/>
      <c r="AD266" s="36"/>
      <c r="AF266" s="289" t="s">
        <v>708</v>
      </c>
      <c r="AG266" s="297">
        <v>5.26</v>
      </c>
      <c r="AH266" s="293">
        <v>8.14</v>
      </c>
      <c r="AI266" s="292">
        <v>0.23</v>
      </c>
      <c r="AJ266" s="293">
        <v>5.25</v>
      </c>
      <c r="AK266" s="292">
        <v>0.33</v>
      </c>
      <c r="AL266" s="296">
        <v>0.63</v>
      </c>
    </row>
    <row r="267" spans="1:38" ht="12.75">
      <c r="A267" s="9"/>
      <c r="B267" s="9"/>
      <c r="C267" s="9"/>
      <c r="D267" s="9"/>
      <c r="E267" s="9"/>
      <c r="F267" s="9"/>
      <c r="G267" s="9"/>
      <c r="H267" s="9"/>
      <c r="I267" s="9"/>
      <c r="M267" s="132"/>
      <c r="N267" s="133"/>
      <c r="O267" s="133"/>
      <c r="P267" s="133"/>
      <c r="Q267" s="132"/>
      <c r="R267" s="133"/>
      <c r="S267" s="133"/>
      <c r="T267" s="133"/>
      <c r="U267" s="133"/>
      <c r="V267" s="133"/>
      <c r="W267" s="133"/>
      <c r="X267" s="132"/>
      <c r="Y267" s="133"/>
      <c r="Z267" s="133"/>
      <c r="AA267" s="133"/>
      <c r="AB267" s="133"/>
      <c r="AC267" s="133"/>
      <c r="AD267" s="36"/>
      <c r="AF267" s="289" t="s">
        <v>709</v>
      </c>
      <c r="AG267" s="297">
        <v>4.44</v>
      </c>
      <c r="AH267" s="293">
        <v>8.11</v>
      </c>
      <c r="AI267" s="292">
        <v>0.245</v>
      </c>
      <c r="AJ267" s="293">
        <v>4.01</v>
      </c>
      <c r="AK267" s="292">
        <v>0.315</v>
      </c>
      <c r="AL267" s="296">
        <v>0.615</v>
      </c>
    </row>
    <row r="268" spans="1:38" ht="12.75">
      <c r="A268" s="9"/>
      <c r="B268" s="9"/>
      <c r="C268" s="9"/>
      <c r="D268" s="9"/>
      <c r="E268" s="9"/>
      <c r="F268" s="9"/>
      <c r="G268" s="9"/>
      <c r="H268" s="9"/>
      <c r="I268" s="9"/>
      <c r="M268" s="138"/>
      <c r="N268" s="133"/>
      <c r="O268" s="133"/>
      <c r="P268" s="133"/>
      <c r="Q268" s="132"/>
      <c r="R268" s="133"/>
      <c r="S268" s="133"/>
      <c r="T268" s="133"/>
      <c r="U268" s="133"/>
      <c r="V268" s="133"/>
      <c r="W268" s="133"/>
      <c r="X268" s="133"/>
      <c r="Y268" s="133"/>
      <c r="Z268" s="133"/>
      <c r="AA268" s="133"/>
      <c r="AB268" s="133"/>
      <c r="AC268" s="133"/>
      <c r="AD268" s="36"/>
      <c r="AF268" s="289" t="s">
        <v>710</v>
      </c>
      <c r="AG268" s="297">
        <v>3.84</v>
      </c>
      <c r="AH268" s="293">
        <v>7.99</v>
      </c>
      <c r="AI268" s="292">
        <v>0.23</v>
      </c>
      <c r="AJ268" s="293">
        <v>4</v>
      </c>
      <c r="AK268" s="292">
        <v>0.255</v>
      </c>
      <c r="AL268" s="296">
        <v>0.555</v>
      </c>
    </row>
    <row r="269" spans="1:38" ht="12.75">
      <c r="A269" s="9"/>
      <c r="B269" s="9"/>
      <c r="C269" s="9"/>
      <c r="D269" s="9"/>
      <c r="E269" s="9"/>
      <c r="F269" s="9"/>
      <c r="G269" s="9"/>
      <c r="H269" s="9"/>
      <c r="I269" s="9"/>
      <c r="M269" s="138"/>
      <c r="N269" s="133"/>
      <c r="O269" s="133"/>
      <c r="P269" s="133"/>
      <c r="Q269" s="133"/>
      <c r="R269" s="133"/>
      <c r="S269" s="133"/>
      <c r="T269" s="132"/>
      <c r="U269" s="133"/>
      <c r="V269" s="133"/>
      <c r="W269" s="132"/>
      <c r="X269" s="133"/>
      <c r="Y269" s="133"/>
      <c r="Z269" s="133"/>
      <c r="AA269" s="133"/>
      <c r="AB269" s="133"/>
      <c r="AC269" s="133"/>
      <c r="AD269" s="36"/>
      <c r="AF269" s="289" t="s">
        <v>711</v>
      </c>
      <c r="AG269" s="297">
        <v>2.96</v>
      </c>
      <c r="AH269" s="293">
        <v>7.89</v>
      </c>
      <c r="AI269" s="292">
        <v>0.17</v>
      </c>
      <c r="AJ269" s="293">
        <v>3.94</v>
      </c>
      <c r="AK269" s="292">
        <v>0.205</v>
      </c>
      <c r="AL269" s="296">
        <v>0.505</v>
      </c>
    </row>
    <row r="270" spans="1:38" ht="12.75">
      <c r="A270" s="9"/>
      <c r="B270" s="9"/>
      <c r="C270" s="9"/>
      <c r="D270" s="9"/>
      <c r="E270" s="9"/>
      <c r="F270" s="9"/>
      <c r="G270" s="9"/>
      <c r="H270" s="9"/>
      <c r="I270" s="9"/>
      <c r="M270" s="138"/>
      <c r="N270" s="133"/>
      <c r="O270" s="133"/>
      <c r="P270" s="133"/>
      <c r="Q270" s="133"/>
      <c r="R270" s="132"/>
      <c r="S270" s="133"/>
      <c r="T270" s="133"/>
      <c r="U270" s="133"/>
      <c r="V270" s="133"/>
      <c r="W270" s="133"/>
      <c r="X270" s="133"/>
      <c r="Y270" s="133"/>
      <c r="Z270" s="133"/>
      <c r="AA270" s="133"/>
      <c r="AB270" s="133"/>
      <c r="AC270" s="365"/>
      <c r="AD270" s="36"/>
      <c r="AF270" s="289" t="s">
        <v>712</v>
      </c>
      <c r="AG270" s="297">
        <v>7.34</v>
      </c>
      <c r="AH270" s="293">
        <v>6.38</v>
      </c>
      <c r="AI270" s="292">
        <v>0.32</v>
      </c>
      <c r="AJ270" s="293">
        <v>6.08</v>
      </c>
      <c r="AK270" s="292">
        <v>0.455</v>
      </c>
      <c r="AL270" s="296">
        <v>0.705</v>
      </c>
    </row>
    <row r="271" spans="1:38" ht="12.75">
      <c r="A271" s="9"/>
      <c r="B271" s="9"/>
      <c r="C271" s="9"/>
      <c r="D271" s="9"/>
      <c r="E271" s="9"/>
      <c r="F271" s="9"/>
      <c r="G271" s="9"/>
      <c r="H271" s="9"/>
      <c r="I271" s="9"/>
      <c r="M271" s="138"/>
      <c r="N271" s="133"/>
      <c r="O271" s="133"/>
      <c r="P271" s="133"/>
      <c r="Q271" s="133"/>
      <c r="R271" s="133"/>
      <c r="S271" s="133"/>
      <c r="T271" s="133"/>
      <c r="U271" s="133"/>
      <c r="V271" s="133"/>
      <c r="W271" s="133"/>
      <c r="X271" s="133"/>
      <c r="Y271" s="133"/>
      <c r="Z271" s="133"/>
      <c r="AA271" s="133"/>
      <c r="AB271" s="133"/>
      <c r="AC271" s="133"/>
      <c r="AD271" s="36"/>
      <c r="AF271" s="289" t="s">
        <v>713</v>
      </c>
      <c r="AG271" s="297">
        <v>5.87</v>
      </c>
      <c r="AH271" s="293">
        <v>6.2</v>
      </c>
      <c r="AI271" s="292">
        <v>0.26</v>
      </c>
      <c r="AJ271" s="293">
        <v>6.02</v>
      </c>
      <c r="AK271" s="292">
        <v>0.365</v>
      </c>
      <c r="AL271" s="296">
        <v>0.615</v>
      </c>
    </row>
    <row r="272" spans="32:38" ht="12.75">
      <c r="AF272" s="289" t="s">
        <v>714</v>
      </c>
      <c r="AG272" s="297">
        <v>4.43</v>
      </c>
      <c r="AH272" s="293">
        <v>5.99</v>
      </c>
      <c r="AI272" s="292">
        <v>0.23</v>
      </c>
      <c r="AJ272" s="293">
        <v>5.99</v>
      </c>
      <c r="AK272" s="292">
        <v>0.26</v>
      </c>
      <c r="AL272" s="296">
        <v>0.51</v>
      </c>
    </row>
    <row r="273" spans="32:38" ht="12.75">
      <c r="AF273" s="289" t="s">
        <v>715</v>
      </c>
      <c r="AG273" s="297">
        <v>4.74</v>
      </c>
      <c r="AH273" s="293">
        <v>6.28</v>
      </c>
      <c r="AI273" s="292">
        <v>0.26</v>
      </c>
      <c r="AJ273" s="293">
        <v>4.03</v>
      </c>
      <c r="AK273" s="292">
        <v>0.405</v>
      </c>
      <c r="AL273" s="296">
        <v>0.655</v>
      </c>
    </row>
    <row r="274" spans="32:38" ht="12.75">
      <c r="AF274" s="289" t="s">
        <v>716</v>
      </c>
      <c r="AG274" s="297">
        <v>3.55</v>
      </c>
      <c r="AH274" s="293">
        <v>6.03</v>
      </c>
      <c r="AI274" s="292">
        <v>0.23</v>
      </c>
      <c r="AJ274" s="293">
        <v>4</v>
      </c>
      <c r="AK274" s="292">
        <v>0.28</v>
      </c>
      <c r="AL274" s="296">
        <v>0.53</v>
      </c>
    </row>
    <row r="275" spans="32:38" ht="12.75">
      <c r="AF275" s="289" t="s">
        <v>717</v>
      </c>
      <c r="AG275" s="297">
        <v>2.68</v>
      </c>
      <c r="AH275" s="293">
        <v>5.9</v>
      </c>
      <c r="AI275" s="292">
        <v>0.17</v>
      </c>
      <c r="AJ275" s="293">
        <v>3.94</v>
      </c>
      <c r="AK275" s="292">
        <v>0.215</v>
      </c>
      <c r="AL275" s="296">
        <v>0.465</v>
      </c>
    </row>
    <row r="276" spans="32:38" ht="12.75">
      <c r="AF276" s="289" t="s">
        <v>718</v>
      </c>
      <c r="AG276" s="297">
        <v>2.52</v>
      </c>
      <c r="AH276" s="293">
        <v>5.83</v>
      </c>
      <c r="AI276" s="292">
        <v>0.17</v>
      </c>
      <c r="AJ276" s="293">
        <v>3.94</v>
      </c>
      <c r="AK276" s="292">
        <v>0.195</v>
      </c>
      <c r="AL276" s="296">
        <v>0.445</v>
      </c>
    </row>
    <row r="277" spans="32:38" ht="12.75">
      <c r="AF277" s="289" t="s">
        <v>719</v>
      </c>
      <c r="AG277" s="297">
        <v>5.56</v>
      </c>
      <c r="AH277" s="293">
        <v>5.15</v>
      </c>
      <c r="AI277" s="292">
        <v>0.27</v>
      </c>
      <c r="AJ277" s="293">
        <v>5.03</v>
      </c>
      <c r="AK277" s="292">
        <v>0.43</v>
      </c>
      <c r="AL277" s="296">
        <v>0.73</v>
      </c>
    </row>
    <row r="278" spans="32:38" ht="12.75">
      <c r="AF278" s="289" t="s">
        <v>720</v>
      </c>
      <c r="AG278" s="297">
        <v>4.71</v>
      </c>
      <c r="AH278" s="293">
        <v>5.01</v>
      </c>
      <c r="AI278" s="292">
        <v>0.24</v>
      </c>
      <c r="AJ278" s="293">
        <v>5</v>
      </c>
      <c r="AK278" s="292">
        <v>0.36</v>
      </c>
      <c r="AL278" s="296">
        <v>0.66</v>
      </c>
    </row>
    <row r="279" spans="32:38" ht="12.75">
      <c r="AF279" s="298" t="s">
        <v>721</v>
      </c>
      <c r="AG279" s="299">
        <v>3.83</v>
      </c>
      <c r="AH279" s="300">
        <v>4.16</v>
      </c>
      <c r="AI279" s="301">
        <v>0.28</v>
      </c>
      <c r="AJ279" s="300">
        <v>4.06</v>
      </c>
      <c r="AK279" s="301">
        <v>0.345</v>
      </c>
      <c r="AL279" s="302">
        <v>0.595</v>
      </c>
    </row>
    <row r="280" spans="32:38" ht="12.75">
      <c r="AF280" s="303" t="s">
        <v>722</v>
      </c>
      <c r="AG280" s="304">
        <v>3.63</v>
      </c>
      <c r="AH280" s="305">
        <v>12.5</v>
      </c>
      <c r="AI280" s="306">
        <v>0.155</v>
      </c>
      <c r="AJ280" s="307">
        <v>3.75</v>
      </c>
      <c r="AK280" s="306">
        <v>0.228</v>
      </c>
      <c r="AL280" s="308">
        <v>0.563</v>
      </c>
    </row>
    <row r="281" spans="32:38" ht="12.75">
      <c r="AF281" s="289" t="s">
        <v>723</v>
      </c>
      <c r="AG281" s="297">
        <v>3.4</v>
      </c>
      <c r="AH281" s="291">
        <v>12.5</v>
      </c>
      <c r="AI281" s="292">
        <v>0.155</v>
      </c>
      <c r="AJ281" s="293">
        <v>3.5</v>
      </c>
      <c r="AK281" s="292">
        <v>0.211</v>
      </c>
      <c r="AL281" s="309">
        <v>0.563</v>
      </c>
    </row>
    <row r="282" spans="32:38" ht="12.75">
      <c r="AF282" s="289" t="s">
        <v>724</v>
      </c>
      <c r="AG282" s="297">
        <v>3.47</v>
      </c>
      <c r="AH282" s="291">
        <v>12</v>
      </c>
      <c r="AI282" s="292">
        <v>0.177</v>
      </c>
      <c r="AJ282" s="293">
        <v>3.07</v>
      </c>
      <c r="AK282" s="292">
        <v>0.225</v>
      </c>
      <c r="AL282" s="309">
        <v>0.563</v>
      </c>
    </row>
    <row r="283" spans="32:38" ht="12.75">
      <c r="AF283" s="289" t="s">
        <v>725</v>
      </c>
      <c r="AG283" s="297">
        <v>3.18</v>
      </c>
      <c r="AH283" s="291">
        <v>12</v>
      </c>
      <c r="AI283" s="292">
        <v>0.16</v>
      </c>
      <c r="AJ283" s="293">
        <v>3.07</v>
      </c>
      <c r="AK283" s="292">
        <v>0.21</v>
      </c>
      <c r="AL283" s="309">
        <v>0.563</v>
      </c>
    </row>
    <row r="284" spans="32:38" ht="12.75">
      <c r="AF284" s="289" t="s">
        <v>726</v>
      </c>
      <c r="AG284" s="297">
        <v>2.95</v>
      </c>
      <c r="AH284" s="291">
        <v>12</v>
      </c>
      <c r="AI284" s="292">
        <v>0.149</v>
      </c>
      <c r="AJ284" s="293">
        <v>3.25</v>
      </c>
      <c r="AK284" s="292">
        <v>0.18</v>
      </c>
      <c r="AL284" s="309">
        <v>0.5</v>
      </c>
    </row>
    <row r="285" spans="32:38" ht="12.75">
      <c r="AF285" s="289" t="s">
        <v>727</v>
      </c>
      <c r="AG285" s="297">
        <v>2.65</v>
      </c>
      <c r="AH285" s="291">
        <v>10</v>
      </c>
      <c r="AI285" s="292">
        <v>0.157</v>
      </c>
      <c r="AJ285" s="293">
        <v>2.69</v>
      </c>
      <c r="AK285" s="292">
        <v>0.206</v>
      </c>
      <c r="AL285" s="309">
        <v>0.563</v>
      </c>
    </row>
    <row r="286" spans="32:38" ht="12.75">
      <c r="AF286" s="289" t="s">
        <v>728</v>
      </c>
      <c r="AG286" s="297">
        <v>2.37</v>
      </c>
      <c r="AH286" s="291">
        <v>10</v>
      </c>
      <c r="AI286" s="292">
        <v>0.141</v>
      </c>
      <c r="AJ286" s="293">
        <v>2.69</v>
      </c>
      <c r="AK286" s="292">
        <v>0.182</v>
      </c>
      <c r="AL286" s="309">
        <v>0.563</v>
      </c>
    </row>
    <row r="287" spans="32:38" ht="12.75">
      <c r="AF287" s="289" t="s">
        <v>729</v>
      </c>
      <c r="AG287" s="297">
        <v>2.22</v>
      </c>
      <c r="AH287" s="291">
        <v>10</v>
      </c>
      <c r="AI287" s="292">
        <v>0.13</v>
      </c>
      <c r="AJ287" s="293">
        <v>2.69</v>
      </c>
      <c r="AK287" s="292">
        <v>0.173</v>
      </c>
      <c r="AL287" s="309">
        <v>0.438</v>
      </c>
    </row>
    <row r="288" spans="32:38" ht="12.75">
      <c r="AF288" s="289" t="s">
        <v>730</v>
      </c>
      <c r="AG288" s="297">
        <v>1.92</v>
      </c>
      <c r="AH288" s="293">
        <v>8</v>
      </c>
      <c r="AI288" s="292">
        <v>0.135</v>
      </c>
      <c r="AJ288" s="293">
        <v>2.28</v>
      </c>
      <c r="AK288" s="292">
        <v>0.189</v>
      </c>
      <c r="AL288" s="309">
        <v>0.563</v>
      </c>
    </row>
    <row r="289" spans="32:38" ht="12.75">
      <c r="AF289" s="289" t="s">
        <v>731</v>
      </c>
      <c r="AG289" s="297">
        <v>1.82</v>
      </c>
      <c r="AH289" s="293">
        <v>8</v>
      </c>
      <c r="AI289" s="292">
        <v>0.129</v>
      </c>
      <c r="AJ289" s="293">
        <v>2.28</v>
      </c>
      <c r="AK289" s="292">
        <v>0.177</v>
      </c>
      <c r="AL289" s="309">
        <v>0.438</v>
      </c>
    </row>
    <row r="290" spans="32:38" ht="12.75">
      <c r="AF290" s="289" t="s">
        <v>732</v>
      </c>
      <c r="AG290" s="297">
        <v>1.29</v>
      </c>
      <c r="AH290" s="293">
        <v>6</v>
      </c>
      <c r="AI290" s="292">
        <v>0.114</v>
      </c>
      <c r="AJ290" s="293">
        <v>1.84</v>
      </c>
      <c r="AK290" s="292">
        <v>0.171</v>
      </c>
      <c r="AL290" s="309">
        <v>0.375</v>
      </c>
    </row>
    <row r="291" spans="32:38" ht="12.75">
      <c r="AF291" s="289" t="s">
        <v>733</v>
      </c>
      <c r="AG291" s="297">
        <v>1.09</v>
      </c>
      <c r="AH291" s="293">
        <v>5.92</v>
      </c>
      <c r="AI291" s="310">
        <v>0.098</v>
      </c>
      <c r="AJ291" s="293">
        <v>2</v>
      </c>
      <c r="AK291" s="292">
        <v>0.129</v>
      </c>
      <c r="AL291" s="309">
        <v>0.313</v>
      </c>
    </row>
    <row r="292" spans="32:38" ht="12.75">
      <c r="AF292" s="289" t="s">
        <v>734</v>
      </c>
      <c r="AG292" s="297">
        <v>5.56</v>
      </c>
      <c r="AH292" s="293">
        <v>5</v>
      </c>
      <c r="AI292" s="292">
        <v>0.316</v>
      </c>
      <c r="AJ292" s="293">
        <v>5</v>
      </c>
      <c r="AK292" s="292">
        <v>0.416</v>
      </c>
      <c r="AL292" s="309">
        <v>0.813</v>
      </c>
    </row>
    <row r="293" spans="32:38" ht="12.75">
      <c r="AF293" s="289" t="s">
        <v>735</v>
      </c>
      <c r="AG293" s="297">
        <v>1.75</v>
      </c>
      <c r="AH293" s="293">
        <v>3.8</v>
      </c>
      <c r="AI293" s="292">
        <v>0.13</v>
      </c>
      <c r="AJ293" s="293">
        <v>3.8</v>
      </c>
      <c r="AK293" s="292">
        <v>0.16</v>
      </c>
      <c r="AL293" s="309">
        <v>0.5</v>
      </c>
    </row>
    <row r="294" spans="32:38" ht="12.75">
      <c r="AF294" s="289" t="s">
        <v>736</v>
      </c>
      <c r="AG294" s="297">
        <v>1.27</v>
      </c>
      <c r="AH294" s="293">
        <v>4</v>
      </c>
      <c r="AI294" s="292">
        <v>0.115</v>
      </c>
      <c r="AJ294" s="293">
        <v>2.25</v>
      </c>
      <c r="AK294" s="292">
        <v>0.17</v>
      </c>
      <c r="AL294" s="309">
        <v>0.563</v>
      </c>
    </row>
    <row r="295" spans="32:38" ht="12.75">
      <c r="AF295" s="289" t="s">
        <v>737</v>
      </c>
      <c r="AG295" s="297">
        <v>1.01</v>
      </c>
      <c r="AH295" s="293">
        <v>4</v>
      </c>
      <c r="AI295" s="310">
        <v>0.092</v>
      </c>
      <c r="AJ295" s="293">
        <v>2.25</v>
      </c>
      <c r="AK295" s="292">
        <v>0.13</v>
      </c>
      <c r="AL295" s="309">
        <v>0.5</v>
      </c>
    </row>
    <row r="296" spans="32:38" ht="12.75">
      <c r="AF296" s="289" t="s">
        <v>738</v>
      </c>
      <c r="AG296" s="297">
        <v>1.01</v>
      </c>
      <c r="AH296" s="293">
        <v>4</v>
      </c>
      <c r="AI296" s="310">
        <v>0.092</v>
      </c>
      <c r="AJ296" s="293">
        <v>2.25</v>
      </c>
      <c r="AK296" s="292">
        <v>0.13</v>
      </c>
      <c r="AL296" s="309">
        <v>0.5</v>
      </c>
    </row>
    <row r="297" spans="32:38" ht="12.75">
      <c r="AF297" s="298" t="s">
        <v>739</v>
      </c>
      <c r="AG297" s="311">
        <v>0.914</v>
      </c>
      <c r="AH297" s="300">
        <v>3</v>
      </c>
      <c r="AI297" s="312">
        <v>0.09</v>
      </c>
      <c r="AJ297" s="300">
        <v>2.25</v>
      </c>
      <c r="AK297" s="301">
        <v>0.13</v>
      </c>
      <c r="AL297" s="313">
        <v>0.5</v>
      </c>
    </row>
    <row r="298" spans="32:38" ht="12.75">
      <c r="AF298" s="303" t="s">
        <v>740</v>
      </c>
      <c r="AG298" s="314">
        <v>35.5</v>
      </c>
      <c r="AH298" s="305">
        <v>24.5</v>
      </c>
      <c r="AI298" s="306">
        <v>0.8</v>
      </c>
      <c r="AJ298" s="307">
        <v>8.05</v>
      </c>
      <c r="AK298" s="307">
        <v>1.09</v>
      </c>
      <c r="AL298" s="315">
        <v>2</v>
      </c>
    </row>
    <row r="299" spans="32:38" ht="12.75">
      <c r="AF299" s="289" t="s">
        <v>741</v>
      </c>
      <c r="AG299" s="290">
        <v>31.1</v>
      </c>
      <c r="AH299" s="291">
        <v>24.5</v>
      </c>
      <c r="AI299" s="292">
        <v>0.62</v>
      </c>
      <c r="AJ299" s="293">
        <v>7.87</v>
      </c>
      <c r="AK299" s="293">
        <v>1.09</v>
      </c>
      <c r="AL299" s="316">
        <v>2</v>
      </c>
    </row>
    <row r="300" spans="32:38" ht="12.75">
      <c r="AF300" s="289" t="s">
        <v>742</v>
      </c>
      <c r="AG300" s="290">
        <v>29.3</v>
      </c>
      <c r="AH300" s="291">
        <v>24</v>
      </c>
      <c r="AI300" s="292">
        <v>0.745</v>
      </c>
      <c r="AJ300" s="293">
        <v>7.25</v>
      </c>
      <c r="AK300" s="292">
        <v>0.87</v>
      </c>
      <c r="AL300" s="316">
        <v>1.75</v>
      </c>
    </row>
    <row r="301" spans="32:38" ht="12.75">
      <c r="AF301" s="289" t="s">
        <v>743</v>
      </c>
      <c r="AG301" s="290">
        <v>26.5</v>
      </c>
      <c r="AH301" s="291">
        <v>24</v>
      </c>
      <c r="AI301" s="292">
        <v>0.625</v>
      </c>
      <c r="AJ301" s="293">
        <v>7.13</v>
      </c>
      <c r="AK301" s="292">
        <v>0.87</v>
      </c>
      <c r="AL301" s="316">
        <v>1.75</v>
      </c>
    </row>
    <row r="302" spans="32:38" ht="12.75">
      <c r="AF302" s="289" t="s">
        <v>744</v>
      </c>
      <c r="AG302" s="290">
        <v>23.5</v>
      </c>
      <c r="AH302" s="291">
        <v>24</v>
      </c>
      <c r="AI302" s="292">
        <v>0.5</v>
      </c>
      <c r="AJ302" s="293">
        <v>7</v>
      </c>
      <c r="AK302" s="292">
        <v>0.87</v>
      </c>
      <c r="AL302" s="316">
        <v>1.75</v>
      </c>
    </row>
    <row r="303" spans="32:38" ht="12.75">
      <c r="AF303" s="289" t="s">
        <v>745</v>
      </c>
      <c r="AG303" s="290">
        <v>28.2</v>
      </c>
      <c r="AH303" s="291">
        <v>20.3</v>
      </c>
      <c r="AI303" s="292">
        <v>0.8</v>
      </c>
      <c r="AJ303" s="293">
        <v>7.2</v>
      </c>
      <c r="AK303" s="292">
        <v>0.92</v>
      </c>
      <c r="AL303" s="316">
        <v>1.75</v>
      </c>
    </row>
    <row r="304" spans="32:38" ht="12.75">
      <c r="AF304" s="289" t="s">
        <v>746</v>
      </c>
      <c r="AG304" s="290">
        <v>25.3</v>
      </c>
      <c r="AH304" s="291">
        <v>20.3</v>
      </c>
      <c r="AI304" s="292">
        <v>0.66</v>
      </c>
      <c r="AJ304" s="293">
        <v>7.06</v>
      </c>
      <c r="AK304" s="292">
        <v>0.92</v>
      </c>
      <c r="AL304" s="316">
        <v>1.75</v>
      </c>
    </row>
    <row r="305" spans="32:38" ht="12.75">
      <c r="AF305" s="289" t="s">
        <v>747</v>
      </c>
      <c r="AG305" s="290">
        <v>22</v>
      </c>
      <c r="AH305" s="291">
        <v>20</v>
      </c>
      <c r="AI305" s="292">
        <v>0.635</v>
      </c>
      <c r="AJ305" s="293">
        <v>6.39</v>
      </c>
      <c r="AK305" s="292">
        <v>0.795</v>
      </c>
      <c r="AL305" s="316">
        <v>1.63</v>
      </c>
    </row>
    <row r="306" spans="32:38" ht="12.75">
      <c r="AF306" s="289" t="s">
        <v>748</v>
      </c>
      <c r="AG306" s="290">
        <v>19.4</v>
      </c>
      <c r="AH306" s="291">
        <v>20</v>
      </c>
      <c r="AI306" s="292">
        <v>0.505</v>
      </c>
      <c r="AJ306" s="293">
        <v>6.26</v>
      </c>
      <c r="AK306" s="292">
        <v>0.795</v>
      </c>
      <c r="AL306" s="316">
        <v>1.63</v>
      </c>
    </row>
    <row r="307" spans="32:38" ht="12.75">
      <c r="AF307" s="289" t="s">
        <v>749</v>
      </c>
      <c r="AG307" s="290">
        <v>20.5</v>
      </c>
      <c r="AH307" s="291">
        <v>18</v>
      </c>
      <c r="AI307" s="292">
        <v>0.711</v>
      </c>
      <c r="AJ307" s="293">
        <v>6.25</v>
      </c>
      <c r="AK307" s="292">
        <v>0.691</v>
      </c>
      <c r="AL307" s="316">
        <v>1.5</v>
      </c>
    </row>
    <row r="308" spans="32:38" ht="12.75">
      <c r="AF308" s="289" t="s">
        <v>750</v>
      </c>
      <c r="AG308" s="290">
        <v>16</v>
      </c>
      <c r="AH308" s="291">
        <v>18</v>
      </c>
      <c r="AI308" s="292">
        <v>0.461</v>
      </c>
      <c r="AJ308" s="293">
        <v>6</v>
      </c>
      <c r="AK308" s="292">
        <v>0.691</v>
      </c>
      <c r="AL308" s="316">
        <v>1.5</v>
      </c>
    </row>
    <row r="309" spans="32:38" ht="12.75">
      <c r="AF309" s="289" t="s">
        <v>751</v>
      </c>
      <c r="AG309" s="290">
        <v>14.7</v>
      </c>
      <c r="AH309" s="291">
        <v>15</v>
      </c>
      <c r="AI309" s="292">
        <v>0.55</v>
      </c>
      <c r="AJ309" s="293">
        <v>5.64</v>
      </c>
      <c r="AK309" s="292">
        <v>0.622</v>
      </c>
      <c r="AL309" s="316">
        <v>1.38</v>
      </c>
    </row>
    <row r="310" spans="32:38" ht="12.75">
      <c r="AF310" s="289" t="s">
        <v>752</v>
      </c>
      <c r="AG310" s="290">
        <v>12.6</v>
      </c>
      <c r="AH310" s="291">
        <v>15</v>
      </c>
      <c r="AI310" s="292">
        <v>0.411</v>
      </c>
      <c r="AJ310" s="293">
        <v>5.5</v>
      </c>
      <c r="AK310" s="292">
        <v>0.622</v>
      </c>
      <c r="AL310" s="316">
        <v>1.38</v>
      </c>
    </row>
    <row r="311" spans="32:38" ht="12.75">
      <c r="AF311" s="289" t="s">
        <v>753</v>
      </c>
      <c r="AG311" s="290">
        <v>14.6</v>
      </c>
      <c r="AH311" s="291">
        <v>12</v>
      </c>
      <c r="AI311" s="292">
        <v>0.687</v>
      </c>
      <c r="AJ311" s="293">
        <v>5.48</v>
      </c>
      <c r="AK311" s="292">
        <v>0.659</v>
      </c>
      <c r="AL311" s="316">
        <v>1.44</v>
      </c>
    </row>
    <row r="312" spans="32:38" ht="12.75">
      <c r="AF312" s="289" t="s">
        <v>754</v>
      </c>
      <c r="AG312" s="290">
        <v>11.9</v>
      </c>
      <c r="AH312" s="291">
        <v>12</v>
      </c>
      <c r="AI312" s="292">
        <v>0.462</v>
      </c>
      <c r="AJ312" s="293">
        <v>5.25</v>
      </c>
      <c r="AK312" s="292">
        <v>0.659</v>
      </c>
      <c r="AL312" s="316">
        <v>1.44</v>
      </c>
    </row>
    <row r="313" spans="32:38" ht="12.75">
      <c r="AF313" s="289" t="s">
        <v>755</v>
      </c>
      <c r="AG313" s="290">
        <v>10.2</v>
      </c>
      <c r="AH313" s="291">
        <v>12</v>
      </c>
      <c r="AI313" s="292">
        <v>0.428</v>
      </c>
      <c r="AJ313" s="293">
        <v>5.08</v>
      </c>
      <c r="AK313" s="292">
        <v>0.544</v>
      </c>
      <c r="AL313" s="316">
        <v>1.19</v>
      </c>
    </row>
    <row r="314" spans="32:38" ht="12.75">
      <c r="AF314" s="289" t="s">
        <v>756</v>
      </c>
      <c r="AG314" s="297">
        <v>9.31</v>
      </c>
      <c r="AH314" s="291">
        <v>12</v>
      </c>
      <c r="AI314" s="292">
        <v>0.35</v>
      </c>
      <c r="AJ314" s="293">
        <v>5</v>
      </c>
      <c r="AK314" s="292">
        <v>0.544</v>
      </c>
      <c r="AL314" s="316">
        <v>1.19</v>
      </c>
    </row>
    <row r="315" spans="32:38" ht="12.75">
      <c r="AF315" s="289" t="s">
        <v>757</v>
      </c>
      <c r="AG315" s="290">
        <v>10.3</v>
      </c>
      <c r="AH315" s="291">
        <v>10</v>
      </c>
      <c r="AI315" s="292">
        <v>0.594</v>
      </c>
      <c r="AJ315" s="293">
        <v>4.94</v>
      </c>
      <c r="AK315" s="292">
        <v>0.491</v>
      </c>
      <c r="AL315" s="316">
        <v>1.13</v>
      </c>
    </row>
    <row r="316" spans="32:38" ht="12.75">
      <c r="AF316" s="289" t="s">
        <v>758</v>
      </c>
      <c r="AG316" s="297">
        <v>7.45</v>
      </c>
      <c r="AH316" s="291">
        <v>10</v>
      </c>
      <c r="AI316" s="292">
        <v>0.311</v>
      </c>
      <c r="AJ316" s="293">
        <v>4.66</v>
      </c>
      <c r="AK316" s="292">
        <v>0.491</v>
      </c>
      <c r="AL316" s="316">
        <v>1.13</v>
      </c>
    </row>
    <row r="317" spans="32:38" ht="12.75">
      <c r="AF317" s="289" t="s">
        <v>759</v>
      </c>
      <c r="AG317" s="297">
        <v>6.76</v>
      </c>
      <c r="AH317" s="293">
        <v>8</v>
      </c>
      <c r="AI317" s="292">
        <v>0.441</v>
      </c>
      <c r="AJ317" s="293">
        <v>4.17</v>
      </c>
      <c r="AK317" s="292">
        <v>0.425</v>
      </c>
      <c r="AL317" s="316">
        <v>1</v>
      </c>
    </row>
    <row r="318" spans="32:38" ht="12.75">
      <c r="AF318" s="289" t="s">
        <v>760</v>
      </c>
      <c r="AG318" s="297">
        <v>5.4</v>
      </c>
      <c r="AH318" s="293">
        <v>8</v>
      </c>
      <c r="AI318" s="292">
        <v>0.271</v>
      </c>
      <c r="AJ318" s="293">
        <v>4</v>
      </c>
      <c r="AK318" s="292">
        <v>0.425</v>
      </c>
      <c r="AL318" s="316">
        <v>1</v>
      </c>
    </row>
    <row r="319" spans="32:38" ht="12.75">
      <c r="AF319" s="289" t="s">
        <v>761</v>
      </c>
      <c r="AG319" s="297">
        <v>5.06</v>
      </c>
      <c r="AH319" s="293">
        <v>6</v>
      </c>
      <c r="AI319" s="292">
        <v>0.465</v>
      </c>
      <c r="AJ319" s="293">
        <v>3.57</v>
      </c>
      <c r="AK319" s="292">
        <v>0.359</v>
      </c>
      <c r="AL319" s="309">
        <v>0.813</v>
      </c>
    </row>
    <row r="320" spans="32:38" ht="12.75">
      <c r="AF320" s="289" t="s">
        <v>762</v>
      </c>
      <c r="AG320" s="297">
        <v>3.66</v>
      </c>
      <c r="AH320" s="293">
        <v>6</v>
      </c>
      <c r="AI320" s="292">
        <v>0.232</v>
      </c>
      <c r="AJ320" s="293">
        <v>3.33</v>
      </c>
      <c r="AK320" s="292">
        <v>0.359</v>
      </c>
      <c r="AL320" s="309">
        <v>0.813</v>
      </c>
    </row>
    <row r="321" spans="32:38" ht="12.75">
      <c r="AF321" s="289" t="s">
        <v>763</v>
      </c>
      <c r="AG321" s="297">
        <v>2.93</v>
      </c>
      <c r="AH321" s="293">
        <v>5</v>
      </c>
      <c r="AI321" s="292">
        <v>0.214</v>
      </c>
      <c r="AJ321" s="293">
        <v>3</v>
      </c>
      <c r="AK321" s="292">
        <v>0.326</v>
      </c>
      <c r="AL321" s="309">
        <v>0.75</v>
      </c>
    </row>
    <row r="322" spans="32:38" ht="12.75">
      <c r="AF322" s="289" t="s">
        <v>764</v>
      </c>
      <c r="AG322" s="297">
        <v>2.79</v>
      </c>
      <c r="AH322" s="293">
        <v>4</v>
      </c>
      <c r="AI322" s="292">
        <v>0.326</v>
      </c>
      <c r="AJ322" s="293">
        <v>2.8</v>
      </c>
      <c r="AK322" s="292">
        <v>0.293</v>
      </c>
      <c r="AL322" s="309">
        <v>0.75</v>
      </c>
    </row>
    <row r="323" spans="32:38" ht="12.75">
      <c r="AF323" s="289" t="s">
        <v>765</v>
      </c>
      <c r="AG323" s="297">
        <v>2.26</v>
      </c>
      <c r="AH323" s="293">
        <v>4</v>
      </c>
      <c r="AI323" s="292">
        <v>0.193</v>
      </c>
      <c r="AJ323" s="293">
        <v>2.66</v>
      </c>
      <c r="AK323" s="292">
        <v>0.293</v>
      </c>
      <c r="AL323" s="309">
        <v>0.75</v>
      </c>
    </row>
    <row r="324" spans="32:38" ht="12.75">
      <c r="AF324" s="289" t="s">
        <v>766</v>
      </c>
      <c r="AG324" s="297">
        <v>2.2</v>
      </c>
      <c r="AH324" s="293">
        <v>3</v>
      </c>
      <c r="AI324" s="292">
        <v>0.349</v>
      </c>
      <c r="AJ324" s="293">
        <v>2.51</v>
      </c>
      <c r="AK324" s="292">
        <v>0.26</v>
      </c>
      <c r="AL324" s="309">
        <v>0.625</v>
      </c>
    </row>
    <row r="325" spans="32:38" ht="12.75">
      <c r="AF325" s="298" t="s">
        <v>767</v>
      </c>
      <c r="AG325" s="299">
        <v>1.66</v>
      </c>
      <c r="AH325" s="300">
        <v>3</v>
      </c>
      <c r="AI325" s="301">
        <v>0.17</v>
      </c>
      <c r="AJ325" s="300">
        <v>2.33</v>
      </c>
      <c r="AK325" s="301">
        <v>0.26</v>
      </c>
      <c r="AL325" s="313">
        <v>0.625</v>
      </c>
    </row>
    <row r="326" spans="32:38" ht="12.75">
      <c r="AF326" s="303" t="s">
        <v>768</v>
      </c>
      <c r="AG326" s="314">
        <v>34.4</v>
      </c>
      <c r="AH326" s="305">
        <v>14.2</v>
      </c>
      <c r="AI326" s="306">
        <v>0.805</v>
      </c>
      <c r="AJ326" s="305">
        <v>14.9</v>
      </c>
      <c r="AK326" s="306">
        <v>0.805</v>
      </c>
      <c r="AL326" s="315">
        <v>1.5</v>
      </c>
    </row>
    <row r="327" spans="32:38" ht="12.75">
      <c r="AF327" s="289" t="s">
        <v>769</v>
      </c>
      <c r="AG327" s="290">
        <v>30</v>
      </c>
      <c r="AH327" s="291">
        <v>14</v>
      </c>
      <c r="AI327" s="292">
        <v>0.705</v>
      </c>
      <c r="AJ327" s="291">
        <v>14.8</v>
      </c>
      <c r="AK327" s="292">
        <v>0.705</v>
      </c>
      <c r="AL327" s="316">
        <v>1.38</v>
      </c>
    </row>
    <row r="328" spans="32:38" ht="12.75">
      <c r="AF328" s="289" t="s">
        <v>770</v>
      </c>
      <c r="AG328" s="290">
        <v>26.1</v>
      </c>
      <c r="AH328" s="291">
        <v>13.8</v>
      </c>
      <c r="AI328" s="292">
        <v>0.615</v>
      </c>
      <c r="AJ328" s="291">
        <v>14.7</v>
      </c>
      <c r="AK328" s="292">
        <v>0.615</v>
      </c>
      <c r="AL328" s="316">
        <v>1.31</v>
      </c>
    </row>
    <row r="329" spans="32:38" ht="12.75">
      <c r="AF329" s="289" t="s">
        <v>771</v>
      </c>
      <c r="AG329" s="290">
        <v>21.4</v>
      </c>
      <c r="AH329" s="291">
        <v>13.6</v>
      </c>
      <c r="AI329" s="292">
        <v>0.505</v>
      </c>
      <c r="AJ329" s="291">
        <v>14.6</v>
      </c>
      <c r="AK329" s="292">
        <v>0.505</v>
      </c>
      <c r="AL329" s="316">
        <v>1.19</v>
      </c>
    </row>
    <row r="330" spans="32:38" ht="12.75">
      <c r="AF330" s="289" t="s">
        <v>772</v>
      </c>
      <c r="AG330" s="290">
        <v>24.6</v>
      </c>
      <c r="AH330" s="291">
        <v>12.3</v>
      </c>
      <c r="AI330" s="292">
        <v>0.685</v>
      </c>
      <c r="AJ330" s="291">
        <v>12.3</v>
      </c>
      <c r="AK330" s="292">
        <v>0.685</v>
      </c>
      <c r="AL330" s="316">
        <v>1.38</v>
      </c>
    </row>
    <row r="331" spans="32:38" ht="12.75">
      <c r="AF331" s="289" t="s">
        <v>773</v>
      </c>
      <c r="AG331" s="290">
        <v>21.8</v>
      </c>
      <c r="AH331" s="291">
        <v>12.1</v>
      </c>
      <c r="AI331" s="292">
        <v>0.605</v>
      </c>
      <c r="AJ331" s="291">
        <v>12.2</v>
      </c>
      <c r="AK331" s="292">
        <v>0.61</v>
      </c>
      <c r="AL331" s="316">
        <v>1.31</v>
      </c>
    </row>
    <row r="332" spans="32:38" ht="12.75">
      <c r="AF332" s="289" t="s">
        <v>774</v>
      </c>
      <c r="AG332" s="290">
        <v>18.4</v>
      </c>
      <c r="AH332" s="291">
        <v>11.9</v>
      </c>
      <c r="AI332" s="292">
        <v>0.515</v>
      </c>
      <c r="AJ332" s="291">
        <v>12.1</v>
      </c>
      <c r="AK332" s="292">
        <v>0.515</v>
      </c>
      <c r="AL332" s="316">
        <v>1.25</v>
      </c>
    </row>
    <row r="333" spans="32:38" ht="12.75">
      <c r="AF333" s="289" t="s">
        <v>775</v>
      </c>
      <c r="AG333" s="290">
        <v>15.5</v>
      </c>
      <c r="AH333" s="291">
        <v>11.8</v>
      </c>
      <c r="AI333" s="292">
        <v>0.435</v>
      </c>
      <c r="AJ333" s="291">
        <v>12</v>
      </c>
      <c r="AK333" s="292">
        <v>0.435</v>
      </c>
      <c r="AL333" s="316">
        <v>1.13</v>
      </c>
    </row>
    <row r="334" spans="22:38" ht="12.75">
      <c r="V334" s="42"/>
      <c r="AF334" s="289" t="s">
        <v>776</v>
      </c>
      <c r="AG334" s="290">
        <v>16.8</v>
      </c>
      <c r="AH334" s="291">
        <v>10</v>
      </c>
      <c r="AI334" s="292">
        <v>0.565</v>
      </c>
      <c r="AJ334" s="291">
        <v>10.2</v>
      </c>
      <c r="AK334" s="292">
        <v>0.565</v>
      </c>
      <c r="AL334" s="316">
        <v>1.25</v>
      </c>
    </row>
    <row r="335" spans="22:38" ht="12.75">
      <c r="V335" s="40"/>
      <c r="AF335" s="289" t="s">
        <v>777</v>
      </c>
      <c r="AG335" s="290">
        <v>12.4</v>
      </c>
      <c r="AH335" s="293">
        <v>9.7</v>
      </c>
      <c r="AI335" s="292">
        <v>0.415</v>
      </c>
      <c r="AJ335" s="291">
        <v>10.1</v>
      </c>
      <c r="AK335" s="292">
        <v>0.42</v>
      </c>
      <c r="AL335" s="316">
        <v>1.13</v>
      </c>
    </row>
    <row r="336" spans="32:38" ht="12.75">
      <c r="AF336" s="298" t="s">
        <v>778</v>
      </c>
      <c r="AG336" s="317">
        <v>10.6</v>
      </c>
      <c r="AH336" s="300">
        <v>8.02</v>
      </c>
      <c r="AI336" s="301">
        <v>0.445</v>
      </c>
      <c r="AJ336" s="300">
        <v>8.16</v>
      </c>
      <c r="AK336" s="301">
        <v>0.445</v>
      </c>
      <c r="AL336" s="318">
        <v>1.13</v>
      </c>
    </row>
    <row r="337" spans="32:38" ht="12.75">
      <c r="AF337" s="303" t="s">
        <v>844</v>
      </c>
      <c r="AG337" s="314">
        <v>14.7</v>
      </c>
      <c r="AH337" s="305">
        <v>15</v>
      </c>
      <c r="AI337" s="306">
        <v>0.716</v>
      </c>
      <c r="AJ337" s="305">
        <v>3.72</v>
      </c>
      <c r="AK337" s="306">
        <v>0.65</v>
      </c>
      <c r="AL337" s="315">
        <v>1.44</v>
      </c>
    </row>
    <row r="338" spans="23:38" ht="12.75">
      <c r="W338" s="37"/>
      <c r="AF338" s="289" t="s">
        <v>845</v>
      </c>
      <c r="AG338" s="290">
        <v>11.8</v>
      </c>
      <c r="AH338" s="291">
        <v>15</v>
      </c>
      <c r="AI338" s="292">
        <v>0.52</v>
      </c>
      <c r="AJ338" s="291">
        <v>3.52</v>
      </c>
      <c r="AK338" s="292">
        <v>0.65</v>
      </c>
      <c r="AL338" s="316">
        <v>1.44</v>
      </c>
    </row>
    <row r="339" spans="23:38" ht="12.75">
      <c r="W339" s="30"/>
      <c r="AF339" s="289" t="s">
        <v>846</v>
      </c>
      <c r="AG339" s="290">
        <v>10</v>
      </c>
      <c r="AH339" s="291">
        <v>15</v>
      </c>
      <c r="AI339" s="292">
        <v>0.4</v>
      </c>
      <c r="AJ339" s="291">
        <v>3.4</v>
      </c>
      <c r="AK339" s="292">
        <v>0.65</v>
      </c>
      <c r="AL339" s="316">
        <v>1.44</v>
      </c>
    </row>
    <row r="340" spans="32:38" ht="12.75">
      <c r="AF340" s="289" t="s">
        <v>847</v>
      </c>
      <c r="AG340" s="290">
        <v>8.81</v>
      </c>
      <c r="AH340" s="291">
        <v>12</v>
      </c>
      <c r="AI340" s="292">
        <v>0.51</v>
      </c>
      <c r="AJ340" s="291">
        <v>3.17</v>
      </c>
      <c r="AK340" s="292">
        <v>0.501</v>
      </c>
      <c r="AL340" s="316">
        <v>1.13</v>
      </c>
    </row>
    <row r="341" spans="32:38" ht="12.75">
      <c r="AF341" s="289" t="s">
        <v>848</v>
      </c>
      <c r="AG341" s="290">
        <v>7.34</v>
      </c>
      <c r="AH341" s="291">
        <v>12</v>
      </c>
      <c r="AI341" s="292">
        <v>0.387</v>
      </c>
      <c r="AJ341" s="291">
        <v>3.05</v>
      </c>
      <c r="AK341" s="292">
        <v>0.501</v>
      </c>
      <c r="AL341" s="316">
        <v>1.13</v>
      </c>
    </row>
    <row r="342" spans="22:38" ht="12.75">
      <c r="V342" s="103"/>
      <c r="AF342" s="289" t="s">
        <v>849</v>
      </c>
      <c r="AG342" s="290">
        <v>6.08</v>
      </c>
      <c r="AH342" s="291">
        <v>12</v>
      </c>
      <c r="AI342" s="292">
        <v>0.282</v>
      </c>
      <c r="AJ342" s="291">
        <v>2.94</v>
      </c>
      <c r="AK342" s="292">
        <v>0.501</v>
      </c>
      <c r="AL342" s="316">
        <v>1.13</v>
      </c>
    </row>
    <row r="343" spans="32:38" ht="12.75">
      <c r="AF343" s="289" t="s">
        <v>850</v>
      </c>
      <c r="AG343" s="290">
        <v>8.81</v>
      </c>
      <c r="AH343" s="291">
        <v>10</v>
      </c>
      <c r="AI343" s="292">
        <v>0.673</v>
      </c>
      <c r="AJ343" s="291">
        <v>3.03</v>
      </c>
      <c r="AK343" s="292">
        <v>0.436</v>
      </c>
      <c r="AL343" s="316">
        <v>1</v>
      </c>
    </row>
    <row r="344" spans="32:38" ht="12.75">
      <c r="AF344" s="289" t="s">
        <v>851</v>
      </c>
      <c r="AG344" s="290">
        <v>7.34</v>
      </c>
      <c r="AH344" s="291">
        <v>10</v>
      </c>
      <c r="AI344" s="292">
        <v>0.526</v>
      </c>
      <c r="AJ344" s="291">
        <v>2.89</v>
      </c>
      <c r="AK344" s="292">
        <v>0.436</v>
      </c>
      <c r="AL344" s="316">
        <v>1</v>
      </c>
    </row>
    <row r="345" spans="32:38" ht="12.75">
      <c r="AF345" s="289" t="s">
        <v>852</v>
      </c>
      <c r="AG345" s="290">
        <v>5.87</v>
      </c>
      <c r="AH345" s="291">
        <v>10</v>
      </c>
      <c r="AI345" s="292">
        <v>0.379</v>
      </c>
      <c r="AJ345" s="291">
        <v>2.74</v>
      </c>
      <c r="AK345" s="292">
        <v>0.436</v>
      </c>
      <c r="AL345" s="316">
        <v>1</v>
      </c>
    </row>
    <row r="346" spans="23:38" ht="12.75">
      <c r="W346" s="103"/>
      <c r="AF346" s="289" t="s">
        <v>853</v>
      </c>
      <c r="AG346" s="290">
        <v>4.48</v>
      </c>
      <c r="AH346" s="291">
        <v>10</v>
      </c>
      <c r="AI346" s="292">
        <v>0.24</v>
      </c>
      <c r="AJ346" s="291">
        <v>2.6</v>
      </c>
      <c r="AK346" s="292">
        <v>0.436</v>
      </c>
      <c r="AL346" s="316">
        <v>1</v>
      </c>
    </row>
    <row r="347" spans="23:38" ht="12.75">
      <c r="W347" s="37"/>
      <c r="AF347" s="289" t="s">
        <v>854</v>
      </c>
      <c r="AG347" s="290">
        <v>5.87</v>
      </c>
      <c r="AH347" s="291">
        <v>9</v>
      </c>
      <c r="AI347" s="292">
        <v>0.448</v>
      </c>
      <c r="AJ347" s="291">
        <v>2.65</v>
      </c>
      <c r="AK347" s="292">
        <v>0.413</v>
      </c>
      <c r="AL347" s="316">
        <v>1</v>
      </c>
    </row>
    <row r="348" spans="23:38" ht="12.75">
      <c r="W348" s="37"/>
      <c r="X348" s="30"/>
      <c r="AF348" s="289" t="s">
        <v>855</v>
      </c>
      <c r="AG348" s="290">
        <v>4.41</v>
      </c>
      <c r="AH348" s="291">
        <v>9</v>
      </c>
      <c r="AI348" s="292">
        <v>0.285</v>
      </c>
      <c r="AJ348" s="291">
        <v>2.49</v>
      </c>
      <c r="AK348" s="292">
        <v>0.413</v>
      </c>
      <c r="AL348" s="316">
        <v>1</v>
      </c>
    </row>
    <row r="349" spans="24:38" ht="12.75">
      <c r="X349" s="30"/>
      <c r="AF349" s="289" t="s">
        <v>856</v>
      </c>
      <c r="AG349" s="290">
        <v>3.94</v>
      </c>
      <c r="AH349" s="291">
        <v>9</v>
      </c>
      <c r="AI349" s="292">
        <v>0.233</v>
      </c>
      <c r="AJ349" s="291">
        <v>2.43</v>
      </c>
      <c r="AK349" s="292">
        <v>0.413</v>
      </c>
      <c r="AL349" s="316">
        <v>1</v>
      </c>
    </row>
    <row r="350" spans="24:38" ht="12.75">
      <c r="X350" s="37"/>
      <c r="AF350" s="289" t="s">
        <v>857</v>
      </c>
      <c r="AG350" s="290">
        <v>5.51</v>
      </c>
      <c r="AH350" s="291">
        <v>8</v>
      </c>
      <c r="AI350" s="292">
        <v>0.487</v>
      </c>
      <c r="AJ350" s="291">
        <v>2.53</v>
      </c>
      <c r="AK350" s="292">
        <v>0.39</v>
      </c>
      <c r="AL350" s="316">
        <v>0.938</v>
      </c>
    </row>
    <row r="351" spans="32:38" ht="12.75">
      <c r="AF351" s="289" t="s">
        <v>858</v>
      </c>
      <c r="AG351" s="290">
        <v>4.04</v>
      </c>
      <c r="AH351" s="291">
        <v>8</v>
      </c>
      <c r="AI351" s="292">
        <v>0.303</v>
      </c>
      <c r="AJ351" s="291">
        <v>2.34</v>
      </c>
      <c r="AK351" s="292">
        <v>0.39</v>
      </c>
      <c r="AL351" s="316">
        <v>0.938</v>
      </c>
    </row>
    <row r="352" spans="24:38" ht="12.75">
      <c r="X352" s="30"/>
      <c r="AF352" s="289" t="s">
        <v>859</v>
      </c>
      <c r="AG352" s="290">
        <v>3.37</v>
      </c>
      <c r="AH352" s="291">
        <v>8</v>
      </c>
      <c r="AI352" s="292">
        <v>0.22</v>
      </c>
      <c r="AJ352" s="291">
        <v>2.26</v>
      </c>
      <c r="AK352" s="292">
        <v>0.39</v>
      </c>
      <c r="AL352" s="316">
        <v>0.938</v>
      </c>
    </row>
    <row r="353" spans="24:38" ht="12.75">
      <c r="X353" s="37"/>
      <c r="AF353" s="289" t="s">
        <v>860</v>
      </c>
      <c r="AG353" s="290">
        <v>4.33</v>
      </c>
      <c r="AH353" s="291">
        <v>7</v>
      </c>
      <c r="AI353" s="292">
        <v>0.419</v>
      </c>
      <c r="AJ353" s="291">
        <v>2.3</v>
      </c>
      <c r="AK353" s="292">
        <v>0.366</v>
      </c>
      <c r="AL353" s="316">
        <v>0.875</v>
      </c>
    </row>
    <row r="354" spans="24:38" ht="12.75">
      <c r="X354" s="37"/>
      <c r="AF354" s="289" t="s">
        <v>861</v>
      </c>
      <c r="AG354" s="290">
        <v>3.6</v>
      </c>
      <c r="AH354" s="291">
        <v>7</v>
      </c>
      <c r="AI354" s="292">
        <v>0.314</v>
      </c>
      <c r="AJ354" s="291">
        <v>2.19</v>
      </c>
      <c r="AK354" s="292">
        <v>0.366</v>
      </c>
      <c r="AL354" s="316">
        <v>0.875</v>
      </c>
    </row>
    <row r="355" spans="32:38" ht="12.75">
      <c r="AF355" s="289" t="s">
        <v>862</v>
      </c>
      <c r="AG355" s="290">
        <v>2.87</v>
      </c>
      <c r="AH355" s="291">
        <v>7</v>
      </c>
      <c r="AI355" s="292">
        <v>0.21</v>
      </c>
      <c r="AJ355" s="291">
        <v>2.09</v>
      </c>
      <c r="AK355" s="292">
        <v>0.366</v>
      </c>
      <c r="AL355" s="316">
        <v>0.875</v>
      </c>
    </row>
    <row r="356" spans="32:38" ht="12.75">
      <c r="AF356" s="289" t="s">
        <v>863</v>
      </c>
      <c r="AG356" s="290">
        <v>3.81</v>
      </c>
      <c r="AH356" s="291">
        <v>6</v>
      </c>
      <c r="AI356" s="292">
        <v>0.437</v>
      </c>
      <c r="AJ356" s="291">
        <v>2.16</v>
      </c>
      <c r="AK356" s="292">
        <v>0.343</v>
      </c>
      <c r="AL356" s="316">
        <v>0.813</v>
      </c>
    </row>
    <row r="357" spans="32:38" ht="12.75">
      <c r="AF357" s="289" t="s">
        <v>864</v>
      </c>
      <c r="AG357" s="290">
        <v>3.08</v>
      </c>
      <c r="AH357" s="291">
        <v>6</v>
      </c>
      <c r="AI357" s="292">
        <v>0.314</v>
      </c>
      <c r="AJ357" s="291">
        <v>2.03</v>
      </c>
      <c r="AK357" s="292">
        <v>0.343</v>
      </c>
      <c r="AL357" s="316">
        <v>0.813</v>
      </c>
    </row>
    <row r="358" spans="32:38" ht="12.75">
      <c r="AF358" s="289" t="s">
        <v>865</v>
      </c>
      <c r="AG358" s="290">
        <v>2.39</v>
      </c>
      <c r="AH358" s="291">
        <v>6</v>
      </c>
      <c r="AI358" s="292">
        <v>0.2</v>
      </c>
      <c r="AJ358" s="291">
        <v>1.92</v>
      </c>
      <c r="AK358" s="292">
        <v>0.343</v>
      </c>
      <c r="AL358" s="316">
        <v>0.813</v>
      </c>
    </row>
    <row r="359" spans="32:38" ht="12.75">
      <c r="AF359" s="289" t="s">
        <v>866</v>
      </c>
      <c r="AG359" s="290">
        <v>2.64</v>
      </c>
      <c r="AH359" s="291">
        <v>5</v>
      </c>
      <c r="AI359" s="292">
        <v>0.325</v>
      </c>
      <c r="AJ359" s="291">
        <v>1.89</v>
      </c>
      <c r="AK359" s="292">
        <v>0.32</v>
      </c>
      <c r="AL359" s="316">
        <v>0.75</v>
      </c>
    </row>
    <row r="360" spans="32:38" ht="12.75">
      <c r="AF360" s="289" t="s">
        <v>867</v>
      </c>
      <c r="AG360" s="290">
        <v>1.97</v>
      </c>
      <c r="AH360" s="291">
        <v>5</v>
      </c>
      <c r="AI360" s="292">
        <v>0.19</v>
      </c>
      <c r="AJ360" s="291">
        <v>1.75</v>
      </c>
      <c r="AK360" s="292">
        <v>0.32</v>
      </c>
      <c r="AL360" s="316">
        <v>0.75</v>
      </c>
    </row>
    <row r="361" spans="32:38" ht="12.75">
      <c r="AF361" s="289" t="s">
        <v>868</v>
      </c>
      <c r="AG361" s="290">
        <v>2.13</v>
      </c>
      <c r="AH361" s="291">
        <v>4</v>
      </c>
      <c r="AI361" s="292">
        <v>0.321</v>
      </c>
      <c r="AJ361" s="291">
        <v>1.72</v>
      </c>
      <c r="AK361" s="292">
        <v>0.296</v>
      </c>
      <c r="AL361" s="316">
        <v>0.75</v>
      </c>
    </row>
    <row r="362" spans="32:38" ht="12.75">
      <c r="AF362" s="289" t="s">
        <v>869</v>
      </c>
      <c r="AG362" s="290">
        <v>1.58</v>
      </c>
      <c r="AH362" s="291">
        <v>4</v>
      </c>
      <c r="AI362" s="292">
        <v>0.184</v>
      </c>
      <c r="AJ362" s="291">
        <v>1.58</v>
      </c>
      <c r="AK362" s="292">
        <v>0.296</v>
      </c>
      <c r="AL362" s="316">
        <v>0.75</v>
      </c>
    </row>
    <row r="363" spans="32:38" ht="12.75">
      <c r="AF363" s="289" t="s">
        <v>870</v>
      </c>
      <c r="AG363" s="290">
        <v>1.38</v>
      </c>
      <c r="AH363" s="291">
        <v>4</v>
      </c>
      <c r="AI363" s="292">
        <v>0.125</v>
      </c>
      <c r="AJ363" s="291">
        <v>1.58</v>
      </c>
      <c r="AK363" s="292">
        <v>0.296</v>
      </c>
      <c r="AL363" s="316">
        <v>0.75</v>
      </c>
    </row>
    <row r="364" spans="32:38" ht="12.75">
      <c r="AF364" s="289" t="s">
        <v>871</v>
      </c>
      <c r="AG364" s="290">
        <v>1.76</v>
      </c>
      <c r="AH364" s="291">
        <v>3</v>
      </c>
      <c r="AI364" s="292">
        <v>0.356</v>
      </c>
      <c r="AJ364" s="291">
        <v>1.6</v>
      </c>
      <c r="AK364" s="292">
        <v>0.273</v>
      </c>
      <c r="AL364" s="316">
        <v>0.688</v>
      </c>
    </row>
    <row r="365" spans="32:38" ht="12.75">
      <c r="AF365" s="289" t="s">
        <v>872</v>
      </c>
      <c r="AG365" s="290">
        <v>1.47</v>
      </c>
      <c r="AH365" s="291">
        <v>3</v>
      </c>
      <c r="AI365" s="292">
        <v>0.258</v>
      </c>
      <c r="AJ365" s="291">
        <v>1.5</v>
      </c>
      <c r="AK365" s="292">
        <v>0.273</v>
      </c>
      <c r="AL365" s="316">
        <v>0.688</v>
      </c>
    </row>
    <row r="366" spans="32:38" ht="12.75">
      <c r="AF366" s="289" t="s">
        <v>873</v>
      </c>
      <c r="AG366" s="290">
        <v>1.2</v>
      </c>
      <c r="AH366" s="291">
        <v>3</v>
      </c>
      <c r="AI366" s="292">
        <v>0.17</v>
      </c>
      <c r="AJ366" s="291">
        <v>1.41</v>
      </c>
      <c r="AK366" s="292">
        <v>0.273</v>
      </c>
      <c r="AL366" s="316">
        <v>0.688</v>
      </c>
    </row>
    <row r="367" spans="32:38" ht="12.75">
      <c r="AF367" s="298" t="s">
        <v>874</v>
      </c>
      <c r="AG367" s="317">
        <v>1.09</v>
      </c>
      <c r="AH367" s="300">
        <v>3</v>
      </c>
      <c r="AI367" s="301">
        <v>0.132</v>
      </c>
      <c r="AJ367" s="300">
        <v>1.37</v>
      </c>
      <c r="AK367" s="301">
        <v>0.273</v>
      </c>
      <c r="AL367" s="318">
        <v>0.688</v>
      </c>
    </row>
    <row r="368" spans="32:38" ht="12.75">
      <c r="AF368" s="289" t="s">
        <v>875</v>
      </c>
      <c r="AG368" s="290">
        <v>17.1</v>
      </c>
      <c r="AH368" s="291">
        <v>18</v>
      </c>
      <c r="AI368" s="292">
        <v>0.7</v>
      </c>
      <c r="AJ368" s="291">
        <v>4.2</v>
      </c>
      <c r="AK368" s="292">
        <v>0.625</v>
      </c>
      <c r="AL368" s="316">
        <v>1.44</v>
      </c>
    </row>
    <row r="369" spans="32:38" ht="12.75">
      <c r="AF369" s="289" t="s">
        <v>876</v>
      </c>
      <c r="AG369" s="290">
        <v>15.3</v>
      </c>
      <c r="AH369" s="291">
        <v>18</v>
      </c>
      <c r="AI369" s="292">
        <v>0.6</v>
      </c>
      <c r="AJ369" s="291">
        <v>4.1</v>
      </c>
      <c r="AK369" s="292">
        <v>0.625</v>
      </c>
      <c r="AL369" s="316">
        <v>1.44</v>
      </c>
    </row>
    <row r="370" spans="32:38" ht="12.75">
      <c r="AF370" s="289" t="s">
        <v>877</v>
      </c>
      <c r="AG370" s="290">
        <v>13.5</v>
      </c>
      <c r="AH370" s="291">
        <v>18</v>
      </c>
      <c r="AI370" s="292">
        <v>0.5</v>
      </c>
      <c r="AJ370" s="291">
        <v>4</v>
      </c>
      <c r="AK370" s="292">
        <v>0.625</v>
      </c>
      <c r="AL370" s="316">
        <v>1.44</v>
      </c>
    </row>
    <row r="371" spans="32:38" ht="12.75">
      <c r="AF371" s="289" t="s">
        <v>878</v>
      </c>
      <c r="AG371" s="290">
        <v>12.6</v>
      </c>
      <c r="AH371" s="291">
        <v>18</v>
      </c>
      <c r="AI371" s="292">
        <v>0.45</v>
      </c>
      <c r="AJ371" s="291">
        <v>3.95</v>
      </c>
      <c r="AK371" s="292">
        <v>0.625</v>
      </c>
      <c r="AL371" s="316">
        <v>1.44</v>
      </c>
    </row>
    <row r="372" spans="32:38" ht="12.75">
      <c r="AF372" s="289" t="s">
        <v>879</v>
      </c>
      <c r="AG372" s="290">
        <v>14.7</v>
      </c>
      <c r="AH372" s="291">
        <v>13</v>
      </c>
      <c r="AI372" s="292">
        <v>0.787</v>
      </c>
      <c r="AJ372" s="291">
        <v>4.41</v>
      </c>
      <c r="AK372" s="292">
        <v>0.61</v>
      </c>
      <c r="AL372" s="316">
        <v>1.44</v>
      </c>
    </row>
    <row r="373" spans="32:38" ht="12.75">
      <c r="AF373" s="289" t="s">
        <v>880</v>
      </c>
      <c r="AG373" s="290">
        <v>11.8</v>
      </c>
      <c r="AH373" s="291">
        <v>13</v>
      </c>
      <c r="AI373" s="292">
        <v>0.56</v>
      </c>
      <c r="AJ373" s="291">
        <v>4.19</v>
      </c>
      <c r="AK373" s="292">
        <v>0.61</v>
      </c>
      <c r="AL373" s="316">
        <v>1.44</v>
      </c>
    </row>
    <row r="374" spans="32:38" ht="12.75">
      <c r="AF374" s="289" t="s">
        <v>881</v>
      </c>
      <c r="AG374" s="290">
        <v>10.3</v>
      </c>
      <c r="AH374" s="291">
        <v>13</v>
      </c>
      <c r="AI374" s="292">
        <v>0.447</v>
      </c>
      <c r="AJ374" s="291">
        <v>4.07</v>
      </c>
      <c r="AK374" s="292">
        <v>0.61</v>
      </c>
      <c r="AL374" s="316">
        <v>1.44</v>
      </c>
    </row>
    <row r="375" spans="32:38" ht="12.75">
      <c r="AF375" s="289" t="s">
        <v>882</v>
      </c>
      <c r="AG375" s="290">
        <v>9.35</v>
      </c>
      <c r="AH375" s="291">
        <v>13</v>
      </c>
      <c r="AI375" s="292">
        <v>0.375</v>
      </c>
      <c r="AJ375" s="291">
        <v>4</v>
      </c>
      <c r="AK375" s="292">
        <v>0.61</v>
      </c>
      <c r="AL375" s="316">
        <v>1.44</v>
      </c>
    </row>
    <row r="376" spans="32:38" ht="12.75">
      <c r="AF376" s="289" t="s">
        <v>883</v>
      </c>
      <c r="AG376" s="290">
        <v>14.7</v>
      </c>
      <c r="AH376" s="291">
        <v>12</v>
      </c>
      <c r="AI376" s="292">
        <v>0.835</v>
      </c>
      <c r="AJ376" s="291">
        <v>4.14</v>
      </c>
      <c r="AK376" s="292">
        <v>0.7</v>
      </c>
      <c r="AL376" s="316">
        <v>1.31</v>
      </c>
    </row>
    <row r="377" spans="32:38" ht="12.75">
      <c r="AF377" s="289" t="s">
        <v>884</v>
      </c>
      <c r="AG377" s="290">
        <v>13.2</v>
      </c>
      <c r="AH377" s="291">
        <v>12</v>
      </c>
      <c r="AI377" s="292">
        <v>0.71</v>
      </c>
      <c r="AJ377" s="291">
        <v>4.01</v>
      </c>
      <c r="AK377" s="292">
        <v>0.7</v>
      </c>
      <c r="AL377" s="316">
        <v>1.31</v>
      </c>
    </row>
    <row r="378" spans="32:38" ht="12.75">
      <c r="AF378" s="289" t="s">
        <v>885</v>
      </c>
      <c r="AG378" s="290">
        <v>11.8</v>
      </c>
      <c r="AH378" s="291">
        <v>12</v>
      </c>
      <c r="AI378" s="292">
        <v>0.59</v>
      </c>
      <c r="AJ378" s="291">
        <v>3.89</v>
      </c>
      <c r="AK378" s="292">
        <v>0.7</v>
      </c>
      <c r="AL378" s="316">
        <v>1.31</v>
      </c>
    </row>
    <row r="379" spans="32:38" ht="12.75">
      <c r="AF379" s="289" t="s">
        <v>886</v>
      </c>
      <c r="AG379" s="290">
        <v>10.3</v>
      </c>
      <c r="AH379" s="291">
        <v>12</v>
      </c>
      <c r="AI379" s="292">
        <v>0.465</v>
      </c>
      <c r="AJ379" s="291">
        <v>3.77</v>
      </c>
      <c r="AK379" s="292">
        <v>0.7</v>
      </c>
      <c r="AL379" s="316">
        <v>1.31</v>
      </c>
    </row>
    <row r="380" spans="32:38" ht="12.75">
      <c r="AF380" s="289" t="s">
        <v>887</v>
      </c>
      <c r="AG380" s="290">
        <v>9.12</v>
      </c>
      <c r="AH380" s="291">
        <v>12</v>
      </c>
      <c r="AI380" s="292">
        <v>0.37</v>
      </c>
      <c r="AJ380" s="291">
        <v>3.67</v>
      </c>
      <c r="AK380" s="292">
        <v>0.7</v>
      </c>
      <c r="AL380" s="316">
        <v>1.31</v>
      </c>
    </row>
    <row r="381" spans="32:38" ht="12.75">
      <c r="AF381" s="289" t="s">
        <v>888</v>
      </c>
      <c r="AG381" s="290">
        <v>3.1</v>
      </c>
      <c r="AH381" s="291">
        <v>12</v>
      </c>
      <c r="AI381" s="292">
        <v>0.19</v>
      </c>
      <c r="AJ381" s="291">
        <v>1.5</v>
      </c>
      <c r="AK381" s="292">
        <v>0.309</v>
      </c>
      <c r="AL381" s="316">
        <v>0.75</v>
      </c>
    </row>
    <row r="382" spans="32:38" ht="12.75">
      <c r="AF382" s="289" t="s">
        <v>889</v>
      </c>
      <c r="AG382" s="290">
        <v>12.1</v>
      </c>
      <c r="AH382" s="291">
        <v>10</v>
      </c>
      <c r="AI382" s="292">
        <v>0.796</v>
      </c>
      <c r="AJ382" s="291">
        <v>4.32</v>
      </c>
      <c r="AK382" s="292">
        <v>0.575</v>
      </c>
      <c r="AL382" s="316">
        <v>1.31</v>
      </c>
    </row>
    <row r="383" spans="32:38" ht="12.75">
      <c r="AF383" s="289" t="s">
        <v>890</v>
      </c>
      <c r="AG383" s="290">
        <v>9.87</v>
      </c>
      <c r="AH383" s="291">
        <v>10</v>
      </c>
      <c r="AI383" s="292">
        <v>0.575</v>
      </c>
      <c r="AJ383" s="291">
        <v>4.1</v>
      </c>
      <c r="AK383" s="292">
        <v>0.575</v>
      </c>
      <c r="AL383" s="316">
        <v>1.31</v>
      </c>
    </row>
    <row r="384" spans="32:38" ht="12.75">
      <c r="AF384" s="289" t="s">
        <v>891</v>
      </c>
      <c r="AG384" s="290">
        <v>8.37</v>
      </c>
      <c r="AH384" s="291">
        <v>10</v>
      </c>
      <c r="AI384" s="292">
        <v>0.425</v>
      </c>
      <c r="AJ384" s="291">
        <v>3.95</v>
      </c>
      <c r="AK384" s="292">
        <v>0.575</v>
      </c>
      <c r="AL384" s="316">
        <v>1.31</v>
      </c>
    </row>
    <row r="385" spans="32:38" ht="12.75">
      <c r="AF385" s="289" t="s">
        <v>892</v>
      </c>
      <c r="AG385" s="290">
        <v>7.35</v>
      </c>
      <c r="AH385" s="291">
        <v>10</v>
      </c>
      <c r="AI385" s="292">
        <v>0.38</v>
      </c>
      <c r="AJ385" s="291">
        <v>3.41</v>
      </c>
      <c r="AK385" s="292">
        <v>0.575</v>
      </c>
      <c r="AL385" s="316">
        <v>1.31</v>
      </c>
    </row>
    <row r="386" spans="32:38" ht="12.75">
      <c r="AF386" s="289" t="s">
        <v>893</v>
      </c>
      <c r="AG386" s="290">
        <v>6.45</v>
      </c>
      <c r="AH386" s="291">
        <v>10</v>
      </c>
      <c r="AI386" s="292">
        <v>0.29</v>
      </c>
      <c r="AJ386" s="291">
        <v>3.32</v>
      </c>
      <c r="AK386" s="292">
        <v>0.575</v>
      </c>
      <c r="AL386" s="316">
        <v>1.31</v>
      </c>
    </row>
    <row r="387" spans="32:38" ht="12.75">
      <c r="AF387" s="289" t="s">
        <v>894</v>
      </c>
      <c r="AG387" s="290">
        <v>2.46</v>
      </c>
      <c r="AH387" s="291">
        <v>10</v>
      </c>
      <c r="AI387" s="292">
        <v>0.17</v>
      </c>
      <c r="AJ387" s="291">
        <v>1.5</v>
      </c>
      <c r="AK387" s="292">
        <v>0.28</v>
      </c>
      <c r="AL387" s="316">
        <v>0.75</v>
      </c>
    </row>
    <row r="388" spans="32:38" ht="12.75">
      <c r="AF388" s="289" t="s">
        <v>895</v>
      </c>
      <c r="AG388" s="290">
        <v>1.95</v>
      </c>
      <c r="AH388" s="291">
        <v>10</v>
      </c>
      <c r="AI388" s="292">
        <v>0.152</v>
      </c>
      <c r="AJ388" s="291">
        <v>1.17</v>
      </c>
      <c r="AK388" s="292">
        <v>0.202</v>
      </c>
      <c r="AL388" s="316">
        <v>0.563</v>
      </c>
    </row>
    <row r="389" spans="32:38" ht="12.75">
      <c r="AF389" s="289" t="s">
        <v>896</v>
      </c>
      <c r="AG389" s="290">
        <v>7.47</v>
      </c>
      <c r="AH389" s="291">
        <v>9</v>
      </c>
      <c r="AI389" s="292">
        <v>0.45</v>
      </c>
      <c r="AJ389" s="291">
        <v>3.5</v>
      </c>
      <c r="AK389" s="292">
        <v>0.55</v>
      </c>
      <c r="AL389" s="316">
        <v>1.25</v>
      </c>
    </row>
    <row r="390" spans="32:38" ht="12.75">
      <c r="AF390" s="289" t="s">
        <v>897</v>
      </c>
      <c r="AG390" s="290">
        <v>7.02</v>
      </c>
      <c r="AH390" s="291">
        <v>9</v>
      </c>
      <c r="AI390" s="292">
        <v>0.4</v>
      </c>
      <c r="AJ390" s="291">
        <v>3.45</v>
      </c>
      <c r="AK390" s="292">
        <v>0.55</v>
      </c>
      <c r="AL390" s="316">
        <v>1.25</v>
      </c>
    </row>
    <row r="391" spans="32:38" ht="12.75">
      <c r="AF391" s="289" t="s">
        <v>898</v>
      </c>
      <c r="AG391" s="290">
        <v>6.7</v>
      </c>
      <c r="AH391" s="291">
        <v>8</v>
      </c>
      <c r="AI391" s="292">
        <v>0.427</v>
      </c>
      <c r="AJ391" s="291">
        <v>3.5</v>
      </c>
      <c r="AK391" s="292">
        <v>0.525</v>
      </c>
      <c r="AL391" s="316">
        <v>1.19</v>
      </c>
    </row>
    <row r="392" spans="32:38" ht="12.75">
      <c r="AF392" s="289" t="s">
        <v>899</v>
      </c>
      <c r="AG392" s="290">
        <v>6.28</v>
      </c>
      <c r="AH392" s="291">
        <v>8</v>
      </c>
      <c r="AI392" s="292">
        <v>0.375</v>
      </c>
      <c r="AJ392" s="291">
        <v>3.45</v>
      </c>
      <c r="AK392" s="292">
        <v>0.525</v>
      </c>
      <c r="AL392" s="316">
        <v>1.19</v>
      </c>
    </row>
    <row r="393" spans="32:38" ht="12.75">
      <c r="AF393" s="289" t="s">
        <v>900</v>
      </c>
      <c r="AG393" s="290">
        <v>5.88</v>
      </c>
      <c r="AH393" s="291">
        <v>8</v>
      </c>
      <c r="AI393" s="292">
        <v>0.4</v>
      </c>
      <c r="AJ393" s="291">
        <v>3.03</v>
      </c>
      <c r="AK393" s="292">
        <v>0.5</v>
      </c>
      <c r="AL393" s="316">
        <v>1.13</v>
      </c>
    </row>
    <row r="394" spans="32:38" ht="12.75">
      <c r="AF394" s="289" t="s">
        <v>901</v>
      </c>
      <c r="AG394" s="290">
        <v>5.5</v>
      </c>
      <c r="AH394" s="291">
        <v>8</v>
      </c>
      <c r="AI394" s="292">
        <v>0.353</v>
      </c>
      <c r="AJ394" s="291">
        <v>2.98</v>
      </c>
      <c r="AK394" s="292">
        <v>0.5</v>
      </c>
      <c r="AL394" s="316">
        <v>1.13</v>
      </c>
    </row>
    <row r="395" spans="32:38" ht="12.75">
      <c r="AF395" s="289" t="s">
        <v>902</v>
      </c>
      <c r="AG395" s="290">
        <v>2.5</v>
      </c>
      <c r="AH395" s="291">
        <v>8</v>
      </c>
      <c r="AI395" s="292">
        <v>0.179</v>
      </c>
      <c r="AJ395" s="291">
        <v>1.87</v>
      </c>
      <c r="AK395" s="292">
        <v>0.311</v>
      </c>
      <c r="AL395" s="316">
        <v>0.813</v>
      </c>
    </row>
    <row r="396" spans="32:38" ht="12.75">
      <c r="AF396" s="289" t="s">
        <v>903</v>
      </c>
      <c r="AG396" s="290">
        <v>6.67</v>
      </c>
      <c r="AH396" s="291">
        <v>7</v>
      </c>
      <c r="AI396" s="292">
        <v>0.503</v>
      </c>
      <c r="AJ396" s="291">
        <v>3.6</v>
      </c>
      <c r="AK396" s="292">
        <v>0.5</v>
      </c>
      <c r="AL396" s="316">
        <v>1.13</v>
      </c>
    </row>
    <row r="397" spans="32:38" ht="12.75">
      <c r="AF397" s="289" t="s">
        <v>904</v>
      </c>
      <c r="AG397" s="290">
        <v>5.61</v>
      </c>
      <c r="AH397" s="291">
        <v>7</v>
      </c>
      <c r="AI397" s="292">
        <v>0.352</v>
      </c>
      <c r="AJ397" s="291">
        <v>3.45</v>
      </c>
      <c r="AK397" s="292">
        <v>0.5</v>
      </c>
      <c r="AL397" s="316">
        <v>1.13</v>
      </c>
    </row>
    <row r="398" spans="32:38" ht="12.75">
      <c r="AF398" s="289" t="s">
        <v>905</v>
      </c>
      <c r="AG398" s="290">
        <v>5.29</v>
      </c>
      <c r="AH398" s="291">
        <v>6</v>
      </c>
      <c r="AI398" s="292">
        <v>0.379</v>
      </c>
      <c r="AJ398" s="291">
        <v>3.5</v>
      </c>
      <c r="AK398" s="292">
        <v>0.475</v>
      </c>
      <c r="AL398" s="316">
        <v>1.06</v>
      </c>
    </row>
    <row r="399" spans="32:38" ht="12.75">
      <c r="AF399" s="289" t="s">
        <v>906</v>
      </c>
      <c r="AG399" s="290">
        <v>4.49</v>
      </c>
      <c r="AH399" s="291">
        <v>6</v>
      </c>
      <c r="AI399" s="292">
        <v>0.34</v>
      </c>
      <c r="AJ399" s="291">
        <v>3.5</v>
      </c>
      <c r="AK399" s="292">
        <v>0.385</v>
      </c>
      <c r="AL399" s="316">
        <v>0.875</v>
      </c>
    </row>
    <row r="400" spans="32:38" ht="12.75">
      <c r="AF400" s="289" t="s">
        <v>907</v>
      </c>
      <c r="AG400" s="290">
        <v>4.79</v>
      </c>
      <c r="AH400" s="291">
        <v>6</v>
      </c>
      <c r="AI400" s="292">
        <v>0.375</v>
      </c>
      <c r="AJ400" s="291">
        <v>3</v>
      </c>
      <c r="AK400" s="292">
        <v>0.475</v>
      </c>
      <c r="AL400" s="316">
        <v>1.06</v>
      </c>
    </row>
    <row r="401" spans="32:38" ht="12.75">
      <c r="AF401" s="289" t="s">
        <v>908</v>
      </c>
      <c r="AG401" s="290">
        <v>4.44</v>
      </c>
      <c r="AH401" s="291">
        <v>6</v>
      </c>
      <c r="AI401" s="292">
        <v>0.316</v>
      </c>
      <c r="AJ401" s="291">
        <v>2.94</v>
      </c>
      <c r="AK401" s="292">
        <v>0.475</v>
      </c>
      <c r="AL401" s="316">
        <v>1.06</v>
      </c>
    </row>
    <row r="402" spans="32:38" ht="12.75">
      <c r="AF402" s="289" t="s">
        <v>909</v>
      </c>
      <c r="AG402" s="290">
        <v>3.53</v>
      </c>
      <c r="AH402" s="291">
        <v>6</v>
      </c>
      <c r="AI402" s="292">
        <v>0.31</v>
      </c>
      <c r="AJ402" s="291">
        <v>2.5</v>
      </c>
      <c r="AK402" s="292">
        <v>0.375</v>
      </c>
      <c r="AL402" s="316">
        <v>0.875</v>
      </c>
    </row>
    <row r="403" spans="32:38" ht="12.75">
      <c r="AF403" s="289" t="s">
        <v>910</v>
      </c>
      <c r="AG403" s="290">
        <v>2.09</v>
      </c>
      <c r="AH403" s="291">
        <v>6</v>
      </c>
      <c r="AI403" s="292">
        <v>0.179</v>
      </c>
      <c r="AJ403" s="291">
        <v>1.88</v>
      </c>
      <c r="AK403" s="292">
        <v>0.291</v>
      </c>
      <c r="AL403" s="316">
        <v>0.75</v>
      </c>
    </row>
    <row r="404" spans="32:38" ht="12.75">
      <c r="AF404" s="289" t="s">
        <v>911</v>
      </c>
      <c r="AG404" s="290">
        <v>1.95</v>
      </c>
      <c r="AH404" s="291">
        <v>6</v>
      </c>
      <c r="AI404" s="292">
        <v>0.155</v>
      </c>
      <c r="AJ404" s="291">
        <v>1.85</v>
      </c>
      <c r="AK404" s="292">
        <v>0.291</v>
      </c>
      <c r="AL404" s="316">
        <v>0.75</v>
      </c>
    </row>
    <row r="405" spans="32:38" ht="12.75">
      <c r="AF405" s="289" t="s">
        <v>912</v>
      </c>
      <c r="AG405" s="290">
        <v>4.03</v>
      </c>
      <c r="AH405" s="291">
        <v>4</v>
      </c>
      <c r="AI405" s="292">
        <v>0.5</v>
      </c>
      <c r="AJ405" s="291">
        <v>2.5</v>
      </c>
      <c r="AK405" s="292">
        <v>0.5</v>
      </c>
      <c r="AL405" s="316">
        <v>1</v>
      </c>
    </row>
    <row r="406" spans="32:38" ht="12.75">
      <c r="AF406" s="298" t="s">
        <v>913</v>
      </c>
      <c r="AG406" s="317">
        <v>2.11</v>
      </c>
      <c r="AH406" s="300">
        <v>3</v>
      </c>
      <c r="AI406" s="301">
        <v>0.312</v>
      </c>
      <c r="AJ406" s="300">
        <v>1.94</v>
      </c>
      <c r="AK406" s="301">
        <v>0.351</v>
      </c>
      <c r="AL406" s="318">
        <v>0.813</v>
      </c>
    </row>
    <row r="414" ht="12.75">
      <c r="AF414" s="8"/>
    </row>
    <row r="415" ht="12.75">
      <c r="AF415" s="8"/>
    </row>
    <row r="416" ht="12.75">
      <c r="AF416" s="8"/>
    </row>
    <row r="417" ht="12.75">
      <c r="AF417" s="8"/>
    </row>
    <row r="418" ht="12.75">
      <c r="AF418" s="8"/>
    </row>
    <row r="419" ht="12.75">
      <c r="AF419" s="8"/>
    </row>
    <row r="420" ht="12.75">
      <c r="AF420" s="8"/>
    </row>
    <row r="421" ht="12.75">
      <c r="AF421" s="8"/>
    </row>
    <row r="422" ht="12.75">
      <c r="AF422" s="8"/>
    </row>
    <row r="423" ht="12.75">
      <c r="AF423" s="8"/>
    </row>
    <row r="424" ht="12.75">
      <c r="AF424" s="8"/>
    </row>
    <row r="425" ht="12.75">
      <c r="AF425" s="8"/>
    </row>
    <row r="426" ht="12.75">
      <c r="AF426" s="8"/>
    </row>
    <row r="427" ht="12.75">
      <c r="AF427" s="8"/>
    </row>
    <row r="428" ht="12.75">
      <c r="AF428" s="8"/>
    </row>
    <row r="429" ht="12.75">
      <c r="AF429" s="8"/>
    </row>
    <row r="430" ht="12.75">
      <c r="AF430" s="8"/>
    </row>
    <row r="431" ht="12.75">
      <c r="AF431" s="8"/>
    </row>
    <row r="432" ht="12.75">
      <c r="AF432" s="8"/>
    </row>
    <row r="433" ht="12.75">
      <c r="AF433" s="8"/>
    </row>
    <row r="434" ht="12.75">
      <c r="AF434" s="8"/>
    </row>
    <row r="435" ht="12.75">
      <c r="AF435" s="8"/>
    </row>
    <row r="436" ht="12.75">
      <c r="AF436" s="8"/>
    </row>
    <row r="437" ht="12.75">
      <c r="AF437" s="8"/>
    </row>
    <row r="438" ht="12.75">
      <c r="AF438" s="8"/>
    </row>
    <row r="439" ht="12.75">
      <c r="AF439" s="8"/>
    </row>
    <row r="440" ht="12.75">
      <c r="AF440" s="8"/>
    </row>
    <row r="441" ht="12.75">
      <c r="AF441" s="8"/>
    </row>
    <row r="442" ht="12.75">
      <c r="AF442" s="8"/>
    </row>
    <row r="443" ht="12.75">
      <c r="AF443" s="8"/>
    </row>
    <row r="444" ht="12.75">
      <c r="AF444" s="8"/>
    </row>
    <row r="445" ht="12.75">
      <c r="AF445" s="8"/>
    </row>
    <row r="446" ht="12.75">
      <c r="AF446" s="8"/>
    </row>
    <row r="447" ht="12.75">
      <c r="AF447" s="8"/>
    </row>
    <row r="448" ht="12.75">
      <c r="AF448" s="8"/>
    </row>
    <row r="449" ht="12.75">
      <c r="AF449" s="8"/>
    </row>
    <row r="450" ht="12.75">
      <c r="AF450" s="8"/>
    </row>
    <row r="451" ht="12.75">
      <c r="AF451" s="8"/>
    </row>
    <row r="452" ht="12.75">
      <c r="AF452" s="8"/>
    </row>
    <row r="453" ht="12.75">
      <c r="AF453" s="8"/>
    </row>
    <row r="454" ht="12.75">
      <c r="AF454" s="8"/>
    </row>
    <row r="455" ht="12.75">
      <c r="AF455" s="8"/>
    </row>
    <row r="456" ht="12.75">
      <c r="AF456" s="8"/>
    </row>
    <row r="457" ht="12.75">
      <c r="AF457" s="8"/>
    </row>
    <row r="458" ht="12.75">
      <c r="AF458" s="8"/>
    </row>
    <row r="459" ht="12.75">
      <c r="AF459" s="8"/>
    </row>
    <row r="460" ht="12.75">
      <c r="AF460" s="8"/>
    </row>
    <row r="461" ht="12.75">
      <c r="AF461" s="8"/>
    </row>
    <row r="462" ht="12.75">
      <c r="AF462" s="8"/>
    </row>
    <row r="463" ht="12.75">
      <c r="AF463" s="8"/>
    </row>
    <row r="464" ht="12.75">
      <c r="AF464" s="8"/>
    </row>
    <row r="465" ht="12.75">
      <c r="AF465" s="8"/>
    </row>
    <row r="466" ht="12.75">
      <c r="AF466" s="8"/>
    </row>
    <row r="467" ht="12.75">
      <c r="AF467" s="8"/>
    </row>
  </sheetData>
  <sheetProtection sheet="1" objects="1" scenarios="1"/>
  <conditionalFormatting sqref="AN235:AN238 AN217:AN219 AN247:AN250 AN211 AN176:AN177 AN166:AN173 AN193 AN126:AN138 AN141:AN144 AN71:AN75 AN77:AN88 AN90:AN92 AN94:AN97 AN99 AN101:AN105 AN107:AN113 AN115:AN124 AN179:AN190 AN147:AN164 AN196:AN205">
    <cfRule type="expression" priority="10" dxfId="0" stopIfTrue="1">
      <formula>IF(AO71="","",AO71&gt;1)</formula>
    </cfRule>
  </conditionalFormatting>
  <conditionalFormatting sqref="AO7:AO14 AO19 AO16:AO17 AO22:AO30">
    <cfRule type="expression" priority="11" dxfId="0" stopIfTrue="1">
      <formula>IF(AR7="","",AR7&gt;1)</formula>
    </cfRule>
  </conditionalFormatting>
  <conditionalFormatting sqref="I40">
    <cfRule type="expression" priority="12" dxfId="0" stopIfTrue="1">
      <formula>G40&gt;1</formula>
    </cfRule>
  </conditionalFormatting>
  <conditionalFormatting sqref="AO18 AO20">
    <cfRule type="expression" priority="13" dxfId="0" stopIfTrue="1">
      <formula>AR17&gt;1</formula>
    </cfRule>
  </conditionalFormatting>
  <conditionalFormatting sqref="AP18 AP20">
    <cfRule type="expression" priority="14" dxfId="0" stopIfTrue="1">
      <formula>AR17&gt;1</formula>
    </cfRule>
  </conditionalFormatting>
  <conditionalFormatting sqref="I177:I190 I196:I203 I102 I74:I99 I247:I248 I143 I206 I147 I136:I137 I109:I124 I161 I171:I172 I174">
    <cfRule type="expression" priority="15" dxfId="0" stopIfTrue="1">
      <formula>AO74&gt;1</formula>
    </cfRule>
  </conditionalFormatting>
  <conditionalFormatting sqref="I103:I107 I131 I125">
    <cfRule type="expression" priority="16" dxfId="0" stopIfTrue="1">
      <formula>AO104&gt;1</formula>
    </cfRule>
  </conditionalFormatting>
  <conditionalFormatting sqref="I152 I126">
    <cfRule type="expression" priority="17" dxfId="0" stopIfTrue="1">
      <formula>AO128&gt;1</formula>
    </cfRule>
  </conditionalFormatting>
  <conditionalFormatting sqref="I138">
    <cfRule type="expression" priority="18" dxfId="0" stopIfTrue="1">
      <formula>AO149&gt;1</formula>
    </cfRule>
  </conditionalFormatting>
  <conditionalFormatting sqref="I175:I176">
    <cfRule type="expression" priority="19" dxfId="0" stopIfTrue="1">
      <formula>AO219&gt;1</formula>
    </cfRule>
  </conditionalFormatting>
  <conditionalFormatting sqref="I154">
    <cfRule type="expression" priority="20" dxfId="0" stopIfTrue="1">
      <formula>AO195&gt;1</formula>
    </cfRule>
  </conditionalFormatting>
  <conditionalFormatting sqref="I192:I195">
    <cfRule type="expression" priority="21" dxfId="0" stopIfTrue="1">
      <formula>AO235&gt;1</formula>
    </cfRule>
  </conditionalFormatting>
  <conditionalFormatting sqref="I130">
    <cfRule type="expression" priority="23" dxfId="0" stopIfTrue="1">
      <formula>AO140&gt;1</formula>
    </cfRule>
  </conditionalFormatting>
  <conditionalFormatting sqref="I132:I133">
    <cfRule type="expression" priority="24" dxfId="0" stopIfTrue="1">
      <formula>AO141&gt;1</formula>
    </cfRule>
  </conditionalFormatting>
  <conditionalFormatting sqref="I163:I167">
    <cfRule type="expression" priority="25" dxfId="0" stopIfTrue="1">
      <formula>AO166&gt;1</formula>
    </cfRule>
  </conditionalFormatting>
  <conditionalFormatting sqref="I155:I160">
    <cfRule type="expression" priority="26" dxfId="0" stopIfTrue="1">
      <formula>#REF!&gt;1</formula>
    </cfRule>
  </conditionalFormatting>
  <conditionalFormatting sqref="I141:I142 I144:I146">
    <cfRule type="expression" priority="27" dxfId="0" stopIfTrue="1">
      <formula>#REF!&gt;1</formula>
    </cfRule>
  </conditionalFormatting>
  <conditionalFormatting sqref="I108">
    <cfRule type="expression" priority="28" dxfId="0" stopIfTrue="1">
      <formula>#REF!&gt;1</formula>
    </cfRule>
  </conditionalFormatting>
  <conditionalFormatting sqref="E25">
    <cfRule type="cellIs" priority="29" dxfId="0" operator="notEqual" stopIfTrue="1">
      <formula>"OK"</formula>
    </cfRule>
  </conditionalFormatting>
  <conditionalFormatting sqref="G38:G39">
    <cfRule type="expression" priority="30" dxfId="0" stopIfTrue="1">
      <formula>$G$40&gt;1</formula>
    </cfRule>
  </conditionalFormatting>
  <conditionalFormatting sqref="I127:I128 I134">
    <cfRule type="expression" priority="31" dxfId="0" stopIfTrue="1">
      <formula>#REF!&gt;1</formula>
    </cfRule>
  </conditionalFormatting>
  <conditionalFormatting sqref="I129">
    <cfRule type="expression" priority="32" dxfId="0" stopIfTrue="1">
      <formula>#REF!&gt;1</formula>
    </cfRule>
  </conditionalFormatting>
  <conditionalFormatting sqref="I168:I170">
    <cfRule type="expression" priority="33" dxfId="0" stopIfTrue="1">
      <formula>#REF!&gt;1</formula>
    </cfRule>
  </conditionalFormatting>
  <conditionalFormatting sqref="I173">
    <cfRule type="expression" priority="34" dxfId="0" stopIfTrue="1">
      <formula>#REF!&gt;1</formula>
    </cfRule>
  </conditionalFormatting>
  <conditionalFormatting sqref="AO166:AO173 AO211 AO197:AO209 AO74:AO75 AO77:AO88 AO90:AO92 AO94:AO97 AO99 AO101:AO105 AO176:AO177 AO107:AO113 AO126:AO138 AO147:AO164 AO141:AO144 AO115:AO124 AO179:AO195 AR7:AR32">
    <cfRule type="cellIs" priority="8" dxfId="0" operator="greaterThan" stopIfTrue="1">
      <formula>1</formula>
    </cfRule>
  </conditionalFormatting>
  <conditionalFormatting sqref="AO212:AO217">
    <cfRule type="cellIs" priority="4" dxfId="0" operator="greaterThan" stopIfTrue="1">
      <formula>1</formula>
    </cfRule>
  </conditionalFormatting>
  <conditionalFormatting sqref="AN191:AN192 AN194:AN195">
    <cfRule type="expression" priority="61" dxfId="0" stopIfTrue="1">
      <formula>AO191&gt;1</formula>
    </cfRule>
  </conditionalFormatting>
  <dataValidations count="23">
    <dataValidation type="list" allowBlank="1" showInputMessage="1" showErrorMessage="1" sqref="D38">
      <formula1>$K$3:$K$4</formula1>
    </dataValidation>
    <dataValidation type="list" allowBlank="1" showInputMessage="1" showErrorMessage="1" prompt="If beam has axial load (P) and there is no beam or brace on opposite side of girder web, then the girder web should be checked (Yes) for web bending and out-of-plane web shear.  For most cases the input here will be &quot;No&quot;." sqref="D39">
      <formula1>$K$45:$K$46</formula1>
    </dataValidation>
    <dataValidation type="decimal" allowBlank="1" showInputMessage="1" showErrorMessage="1" prompt="The depth of the bottom flange cope (dc2) must be &lt;= 0.2*d.  If cope length (c) is input = 0, then cope depth (dc2) must be input = 0." errorTitle="Warning!" error="The value of dc2 MUST BE &lt;= 0.2*d" sqref="D36">
      <formula1>0</formula1>
      <formula2>0.2*$B$45</formula2>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4">
      <formula1>0</formula1>
      <formula2>2*$B$45</formula2>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5">
      <formula1>0</formula1>
    </dataValidation>
    <dataValidation type="decimal" operator="greaterThanOrEqual" allowBlank="1" showInputMessage="1" showErrorMessage="1" prompt="The bolt vertical spacing (S) is typically = 3&quot;, and must be &gt;= 2.66*db." sqref="D31">
      <formula1>2.66*$D$24</formula1>
    </dataValidation>
    <dataValidation type="decimal" operator="greaterThanOrEqual" allowBlank="1" showInputMessage="1" showErrorMessage="1" prompt="The minimum edge distance (ED) must be &gt;= Table J3.4." errorTitle="Warning!" error="Edge distance must be &gt;= Table J3.4" sqref="D32">
      <formula1>VLOOKUP($D$24,$AA$17:$AB$24,2,FALSE)</formula1>
    </dataValidation>
    <dataValidation allowBlank="1" showInputMessage="1" showErrorMessage="1" prompt="The distance, 'D1', is the distance from the top of the beam down to the top row of the bolts." sqref="D30"/>
    <dataValidation type="list" allowBlank="1" showInputMessage="1" showErrorMessage="1" errorTitle="Warning!" error="Invalid steel yield strength" sqref="D12:D13 D22">
      <formula1>$K$3:$K$4</formula1>
    </dataValidation>
    <dataValidation type="decimal" operator="greaterThanOrEqual" allowBlank="1" showInputMessage="1" showErrorMessage="1" error="The value input MUST BE &gt;= 0 !" sqref="D16">
      <formula1>0</formula1>
    </dataValidation>
    <dataValidation type="decimal" operator="greaterThanOrEqual" allowBlank="1" showInputMessage="1" showErrorMessage="1" prompt="The beam axial force, 'P', is the axial transfer or drag force which is to be considered in the connection analysis." error="The value input MUST BE &gt;= 0 !" sqref="D17">
      <formula1>0</formula1>
    </dataValidation>
    <dataValidation type="list" allowBlank="1" showInputMessage="1" showErrorMessage="1" prompt="User may either select desired size from pick box or type in the size designation.  Note:  input is not case sensitive." sqref="D11">
      <formula1>$AF$6:$AF$336</formula1>
    </dataValidation>
    <dataValidation type="list" allowBlank="1" showInputMessage="1" showErrorMessage="1" errorTitle="warning!" error="Invalid ASTM bolt designation&#10;(must input A325 or A490)" sqref="D25">
      <formula1>$K$16:$K$17</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$K$18:$K$20</formula1>
    </dataValidation>
    <dataValidation type="list" allowBlank="1" showInputMessage="1" showErrorMessage="1" errorTitle="Warning!" error="Invalid bolt diameter" sqref="D24">
      <formula1>$K$9:$K$15</formula1>
    </dataValidation>
    <dataValidation type="list" allowBlank="1" showInputMessage="1" showErrorMessage="1" prompt="The ASTM faying surface designation is either 'Class A' for unpainted clean mill scale steel surfaces or with Class A coatings, or 'Class B' for unpainted blast-cleaned steel surfaces or surfaces with Class B coatings." errorTitle="Warning!" error="Invalid faying surface type (must input A or B)" sqref="D27">
      <formula1>$K$21:$K$23</formula1>
    </dataValidation>
    <dataValidation type="list" allowBlank="1" showInputMessage="1" showErrorMessage="1" promptTitle="Number of Bolt Rows for Beams" prompt="W8   -  2             W10 -  2&#10;W12 -  2, 3          W14 -  3&#10;W16 -  3, 4          W18 -  3, 4, 5&#10;W21 -  4, 5, 6      W24 -  5, 6, 7&#10;W27 -  5, 6, 7      W30 -  6, 7, 8&#10;W33 -  6, 7, 8, 9   W36 -  6, 7, 8, 9, 10" errorTitle="Warning!" error="Invalid number of bolts in connection" sqref="D29">
      <formula1>$K$27:$K$37</formula1>
    </dataValidation>
    <dataValidation type="list" allowBlank="1" showInputMessage="1" showErrorMessage="1" promptTitle="Bolt Hole Types:" prompt="   Standard (STD)&#10;   Oversized (OVS)&#10;Note: bolt hole type refers to the bolts in the legs of the angles, both at the support and at the beam web.  Standard holes are assumed in the support member and the beam web." errorTitle="warning!" error="Invalid bolt hole type" sqref="D28">
      <formula1>$K$24:$K$25</formula1>
    </dataValidation>
    <dataValidation type="list" allowBlank="1" showInputMessage="1" showErrorMessage="1" sqref="D21">
      <formula1>$K$5:$K$8</formula1>
    </dataValidation>
    <dataValidation type="list" allowBlank="1" showInputMessage="1" showErrorMessage="1" prompt="Weld Size must be less than tp - 1/16&quot;, except for tp = 1/4&quot;, then Weld Size can be 1/4&quot;" error="Invalid fillet weld size!&#10;Must be less than ta-1/16&quot;" sqref="D23">
      <formula1>$K$40:$K$43</formula1>
    </dataValidation>
    <dataValidation operator="greaterThanOrEqual" allowBlank="1" showInputMessage="1" showErrorMessage="1" prompt="'Lc' is the width of the shear plate connected to the girder web." sqref="D20"/>
    <dataValidation type="decimal" allowBlank="1" showInputMessage="1" showErrorMessage="1" prompt="The bolt gage is calculated automatically as g = Lc - 2*ED" sqref="D33">
      <formula1>3</formula1>
      <formula2>$D$20-2*$D$32</formula2>
    </dataValidation>
    <dataValidation type="list" allowBlank="1" showInputMessage="1" showErrorMessage="1" prompt="User may either select desired size from pick box or type in the size designation.  Note:  input is not case sensitive." sqref="D10">
      <formula1>$AF$6:$AF$406</formula1>
    </dataValidation>
  </dataValidations>
  <printOptions/>
  <pageMargins left="1" right="0.5" top="1.25" bottom="1" header="0.5" footer="0.5"/>
  <pageSetup horizontalDpi="300" verticalDpi="300" orientation="portrait" scale="94" r:id="rId4"/>
  <headerFooter alignWithMargins="0">
    <oddHeader>&amp;R&amp;8"SHEAR-END-PL-13.xls" Program
Created By: Joel Berg, P.E.
Version 1.1</oddHeader>
    <oddFooter>&amp;L&amp;8&amp;D
&amp;T&amp;C&amp;8&amp;Z
&amp;F&amp;R&amp;8Page &amp;P
of &amp;N</oddFooter>
  </headerFooter>
  <rowBreaks count="4" manualBreakCount="4">
    <brk id="50" max="8" man="1"/>
    <brk id="100" max="8" man="1"/>
    <brk id="150" max="8" man="1"/>
    <brk id="204" max="8" man="1"/>
  </rowBreaks>
  <colBreaks count="1" manualBreakCount="1">
    <brk id="9" max="199"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"SHEAR-END-PL-13" Program</dc:title>
  <dc:subject/>
  <dc:creator>Joel Berg, P.E. - 809 Hyland Ave, Kaukauna, WI 54130 - Work: 920-766-3521 - Email: jberg@baisch.com</dc:creator>
  <cp:keywords/>
  <dc:description>Shear End Plate Connection Design per AISC 13th Ed. (ASD)</dc:description>
  <cp:lastModifiedBy>Joel &amp; Tricia</cp:lastModifiedBy>
  <cp:lastPrinted>2010-01-30T01:26:16Z</cp:lastPrinted>
  <dcterms:created xsi:type="dcterms:W3CDTF">2000-10-29T04:55:39Z</dcterms:created>
  <dcterms:modified xsi:type="dcterms:W3CDTF">2010-01-30T01:26:34Z</dcterms:modified>
  <cp:category>Structural Engineering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-469472624</vt:i4>
  </property>
  <property fmtid="{D5CDD505-2E9C-101B-9397-08002B2CF9AE}" pid="3" name="_EmailSubject">
    <vt:lpwstr>REPAIRED CLIPCONN</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ReviewingToolsShownOnce">
    <vt:lpwstr/>
  </property>
</Properties>
</file>