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76" activeTab="0"/>
  </bookViews>
  <sheets>
    <sheet name="Doc" sheetId="1" r:id="rId1"/>
    <sheet name="Underground Tank Anchorage" sheetId="2" r:id="rId2"/>
  </sheets>
  <definedNames>
    <definedName name="_xlnm.Print_Area" localSheetId="0">'Doc'!$A$1:$J$52</definedName>
    <definedName name="_xlnm.Print_Area" localSheetId="1">'Underground Tank Anchorage'!$A$1:$J$110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C10" authorId="0">
      <text>
        <r>
          <rPr>
            <sz val="10"/>
            <rFont val="Arial"/>
            <family val="2"/>
          </rPr>
          <t xml:space="preserve">Values shown for allowable load for anchor rods are calculated as follows:
T = </t>
        </r>
        <r>
          <rPr>
            <sz val="10"/>
            <rFont val="Symbol"/>
            <family val="1"/>
          </rPr>
          <t>p</t>
        </r>
        <r>
          <rPr>
            <sz val="10"/>
            <rFont val="Arial"/>
            <family val="2"/>
          </rPr>
          <t>*D^2/4*Ft
  where: Ft = 0.33*Fu = 19.1 ksi
             Fu = 58.0 ksi</t>
        </r>
      </text>
    </comment>
    <comment ref="AD10" authorId="0">
      <text>
        <r>
          <rPr>
            <sz val="10"/>
            <rFont val="Arial"/>
            <family val="2"/>
          </rPr>
          <t>Values shown for safe working load for turnbuckles are from AISC 9th Edition Manual (ASD) page 4-149, and are based on a 5:1 safety factor.</t>
        </r>
      </text>
    </comment>
    <comment ref="D85" authorId="0">
      <text>
        <r>
          <rPr>
            <sz val="8"/>
            <rFont val="Arial"/>
            <family val="2"/>
          </rPr>
          <t xml:space="preserve">The ultimate "positive" moment for bottom reinforcing, +Mu, between the ends of a strap or rod anchor is determined assuming an effective strip of the foundation in the short direction an treating it as a simply supported beam with cantilevers (overhangs) at each end.  The ends of the anchor serve as the supports.  The assumed uniform loading on this "beam strip" is determined as:  
  w = 2*Tr/Bf.
Note: the positive moment formula for a uniformly loaded simply suported beam with overhangs at each end is:
  +M = w/8*(L^2-4*a^2)
  where: w = uniform load
               L = span btween supports
               a = length of cantilevers (overhangs)
</t>
        </r>
      </text>
    </comment>
    <comment ref="D91" authorId="0">
      <text>
        <r>
          <rPr>
            <sz val="8"/>
            <rFont val="Arial"/>
            <family val="2"/>
          </rPr>
          <t>The ultimate "negative" moment for top reinforcing, -Mu, at the ends of a strap or rod anchor is determined assuming an effective strip of the foundation in the short direction an treating it as a simply supported beam with overhangs at each end.  The ends of the anchor serve as the supports.  The assumed uniform loading on this "beam strip" is determined as:  w = 2*Tr/Bf.
Note: the negative moment formula for a uniformly loaded simply suported beam with overhangs at each end is:
  -M = w*a^2/2
  where: w = uniform load
               L = span between supports
               a = length of cantilevers (overhangs)</t>
        </r>
      </text>
    </comment>
    <comment ref="X106" authorId="0">
      <text>
        <r>
          <rPr>
            <sz val="10"/>
            <rFont val="Arial"/>
            <family val="2"/>
          </rPr>
          <t>Values shown for allowable capacities for anchor straps are calculated as follows based on the strap gross cross sectional area:
  T(allow) = (ts*bs)*Ft
      where: Ft = 0.6*Fy
                 Fy = 36.0 ksi</t>
        </r>
      </text>
    </comment>
    <comment ref="AM42" authorId="0">
      <text>
        <r>
          <rPr>
            <sz val="10"/>
            <rFont val="Arial"/>
            <family val="2"/>
          </rPr>
          <t>Values shown for allowable capacities for anchor straps are calculated as follows based on the strap gross cross sectional area:
  T(allow) = (ts*bs)*Ft
      where: Ft = 0.6*Fy
                 Fy = 36.0 ksi</t>
        </r>
      </text>
    </comment>
    <comment ref="AA1" authorId="0">
      <text>
        <r>
          <rPr>
            <b/>
            <sz val="8"/>
            <rFont val="Tahoma"/>
            <family val="0"/>
          </rPr>
          <t xml:space="preserve">               "UGTANK.xls"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<sst xmlns="http://schemas.openxmlformats.org/spreadsheetml/2006/main" count="445" uniqueCount="284">
  <si>
    <t>Job Name:</t>
  </si>
  <si>
    <t>Subject:</t>
  </si>
  <si>
    <t>ft.</t>
  </si>
  <si>
    <t>Job Number:</t>
  </si>
  <si>
    <t>Originator:</t>
  </si>
  <si>
    <t>Checker:</t>
  </si>
  <si>
    <t>Input Data:</t>
  </si>
  <si>
    <t>ft.^2</t>
  </si>
  <si>
    <t>in.</t>
  </si>
  <si>
    <t>pcf</t>
  </si>
  <si>
    <t>ft.^3</t>
  </si>
  <si>
    <t>Assumptions and Criteria:</t>
  </si>
  <si>
    <t>ksi.</t>
  </si>
  <si>
    <t>Determine Uplift (Buoyant) Force:</t>
  </si>
  <si>
    <t>kips</t>
  </si>
  <si>
    <t>Determine Empty Weight of Tank:</t>
  </si>
  <si>
    <t>Uc = (62.4*Vc)/1000</t>
  </si>
  <si>
    <t>Ws = (Vs*ws)/1000</t>
  </si>
  <si>
    <t>(continued)</t>
  </si>
  <si>
    <t>Safe Working</t>
  </si>
  <si>
    <t>Load (kips)</t>
  </si>
  <si>
    <t>(in.)</t>
  </si>
  <si>
    <t>Dia., D</t>
  </si>
  <si>
    <t>Index #</t>
  </si>
  <si>
    <t>ksi</t>
  </si>
  <si>
    <t>Turnbuckle Data</t>
  </si>
  <si>
    <t>ts = Ts/(bs*Ft)</t>
  </si>
  <si>
    <t>Determine Anchor Rod Requirements:</t>
  </si>
  <si>
    <t>Allowable</t>
  </si>
  <si>
    <t>Anchor Rod Data</t>
  </si>
  <si>
    <t>Determine Turnbuckle Requirements:</t>
  </si>
  <si>
    <t>in.^2/ft.</t>
  </si>
  <si>
    <t>ft.-kips/ft.</t>
  </si>
  <si>
    <r>
      <t xml:space="preserve">-As = </t>
    </r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*b*d2  (b = 12")</t>
    </r>
  </si>
  <si>
    <r>
      <t xml:space="preserve">As1 = </t>
    </r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0"/>
      </rPr>
      <t>*b*d1  (b = 12")</t>
    </r>
  </si>
  <si>
    <t>(for short direction)</t>
  </si>
  <si>
    <t>Nomenclature</t>
  </si>
  <si>
    <t>Results:</t>
  </si>
  <si>
    <t>UNDERGROUND STORAGE TANK ANCHORAGE DESIGN</t>
  </si>
  <si>
    <t>CALCULATIONS:</t>
  </si>
  <si>
    <t>Version 1.0</t>
  </si>
  <si>
    <t>Program Description:</t>
  </si>
  <si>
    <t>This program is a workbook consisting of two (2) worksheets, described as follows:</t>
  </si>
  <si>
    <t>Worksheet Name</t>
  </si>
  <si>
    <t>Description</t>
  </si>
  <si>
    <t>Doc</t>
  </si>
  <si>
    <t>This documentation sheet</t>
  </si>
  <si>
    <t>Program Assumptions and Limitations:</t>
  </si>
  <si>
    <t xml:space="preserve">     (Note:  presence of a “comment box” is denoted by a “red triangle” in the upper right-hand corner of a cell.  </t>
  </si>
  <si>
    <t xml:space="preserve">     Merely move the mouse pointer to the desired cell to view the contents of that particular "comment box".)</t>
  </si>
  <si>
    <t>"UGTANK" --- UNDERGROUND STORAGE TANK ANCHORAGE DESIGN</t>
  </si>
  <si>
    <t>"UGTANK" is a spreadsheet program written in MS-Excel for the purpose of determining  the anchorage</t>
  </si>
  <si>
    <t>Underground Tank Anchorage</t>
  </si>
  <si>
    <t>Underground storage tank anchorage design</t>
  </si>
  <si>
    <t>Comments:</t>
  </si>
  <si>
    <t>Flat</t>
  </si>
  <si>
    <t>Elliptical</t>
  </si>
  <si>
    <t>Spherical</t>
  </si>
  <si>
    <t>Horiz. Cylinder =</t>
  </si>
  <si>
    <t>Total Empty Weight =</t>
  </si>
  <si>
    <t>Total Volume =</t>
  </si>
  <si>
    <t>Tank Configuration at Ends =</t>
  </si>
  <si>
    <t>Tank End Lengths, Le =</t>
  </si>
  <si>
    <t>Total Surface Area, A(total) =</t>
  </si>
  <si>
    <t>Total Tank Length, L(total) =</t>
  </si>
  <si>
    <t>Ac = pi*OD*Lc</t>
  </si>
  <si>
    <t>We = Ae*(t/12)*w</t>
  </si>
  <si>
    <t>Wc = Ac*(t/12)*w</t>
  </si>
  <si>
    <t>Vc = pi*ID^2/4*Lc</t>
  </si>
  <si>
    <t>Volume of riser(s) =</t>
  </si>
  <si>
    <t>Vr = Nr*(pi*Dr^2/4*h)</t>
  </si>
  <si>
    <t>Total uplift force, U(total) =</t>
  </si>
  <si>
    <t>Ue = (62.4*Ve)/1000</t>
  </si>
  <si>
    <t>Flat Ends =</t>
  </si>
  <si>
    <t>Spherical Ends =</t>
  </si>
  <si>
    <t>Elliptical Ends =</t>
  </si>
  <si>
    <t>A(total) = Ac+Ae</t>
  </si>
  <si>
    <t>Ae = 2*(pi*(OD^2+4*Le^2)/4)</t>
  </si>
  <si>
    <t>W(total) = Wc+We+Wm</t>
  </si>
  <si>
    <t>Ve = 0 (for flat ends)</t>
  </si>
  <si>
    <t>Ve = 2*(pi*(Le-t/12)*(3*OD^2+4*(Le-t/12)^2)/24)</t>
  </si>
  <si>
    <t>Ve = 2*((4/3*pi*(ID/2)^2*(Le-t/12))/2)</t>
  </si>
  <si>
    <t>V(total) = Vc+Ve+Vr</t>
  </si>
  <si>
    <t>Ur = (62.4*Vr)/1000</t>
  </si>
  <si>
    <t>Tank Outside Dimensions:</t>
  </si>
  <si>
    <t>Tank Surface Area:</t>
  </si>
  <si>
    <t>Tank Empty Weight:</t>
  </si>
  <si>
    <t>Tank Volume:</t>
  </si>
  <si>
    <t>Uplift (Buoyant) Force:</t>
  </si>
  <si>
    <t>Uplift force on risers, Ur =</t>
  </si>
  <si>
    <t>U(total) = Uc+Ue+Ur</t>
  </si>
  <si>
    <t>Factor of Safety for Uplift, FS =</t>
  </si>
  <si>
    <t>Tank Inside Diameter, ID =</t>
  </si>
  <si>
    <t>Tank Wall Thickness, t =</t>
  </si>
  <si>
    <t>Tank Cylinder Length, Lc =</t>
  </si>
  <si>
    <t>Unit Wt. of Tank Material, w =</t>
  </si>
  <si>
    <t>Buried Depth to Top/Tank, h =</t>
  </si>
  <si>
    <t>Concrete Compressive Strength, f'c =</t>
  </si>
  <si>
    <t>Steel Reinforcing Yield Strength, fy =</t>
  </si>
  <si>
    <t>Outside Dia., OD =</t>
  </si>
  <si>
    <t>Tank End Areas, Ae =</t>
  </si>
  <si>
    <t>Tank Cylinder Area, Ac =</t>
  </si>
  <si>
    <t>Weight of Ends of Tank, We =</t>
  </si>
  <si>
    <t>Weight of Cylinder of Tank, Wc =</t>
  </si>
  <si>
    <t>Volume of Ends of Tank, Ve =</t>
  </si>
  <si>
    <t>Volume of Cylinder of Tank, Vc =</t>
  </si>
  <si>
    <t>Total Weight of Tank, W(total) =</t>
  </si>
  <si>
    <t>Total Volume of Tank, V(total) =</t>
  </si>
  <si>
    <t>Uplift Force on Tank Ends, Ue =</t>
  </si>
  <si>
    <t>Uplift Force on Cylinder of Tank, Uc =</t>
  </si>
  <si>
    <t>Uplift Force on Risers, Ur =</t>
  </si>
  <si>
    <t>Total Uplift Force on Tank, U(total) =</t>
  </si>
  <si>
    <t>Volume of Soil, Vs =</t>
  </si>
  <si>
    <t>Buoyed Soil Unit Weight, ws =</t>
  </si>
  <si>
    <t>Weight of Soil, Ws =</t>
  </si>
  <si>
    <t>Buoyed Concrete Weight, wc =</t>
  </si>
  <si>
    <t>Tension per Strap, Ts =</t>
  </si>
  <si>
    <t>Allowable Tension Stress, Ft =</t>
  </si>
  <si>
    <t>Req'd. Tension Strap Thk., ts =</t>
  </si>
  <si>
    <t>Tension per Anchor Rod, Tr =</t>
  </si>
  <si>
    <t>Req'd. Size of Anchor Rod, D =</t>
  </si>
  <si>
    <t>Anchor Rod Allowable Load, Ta =</t>
  </si>
  <si>
    <t>Req'd. Size of Rod/Turnbuckle, D =</t>
  </si>
  <si>
    <t>Turnbuckle Allowable Load, Ta =</t>
  </si>
  <si>
    <t>Eff. Width per Strap/Anchor, be =</t>
  </si>
  <si>
    <r>
      <t xml:space="preserve">Max. Percent Flex. Reinf., </t>
    </r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>(max) =</t>
    </r>
  </si>
  <si>
    <r>
      <t xml:space="preserve">Req'd. Percent Flexural Reinf., </t>
    </r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>1 =</t>
    </r>
  </si>
  <si>
    <r>
      <t xml:space="preserve">Req'd. Percent Flexural Reinf., </t>
    </r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>2 =</t>
    </r>
  </si>
  <si>
    <t>Req'd. Flexural Reinforcing, -As =</t>
  </si>
  <si>
    <t>Min. Temp. Reinf./Face, As(temp) =</t>
  </si>
  <si>
    <t>Anchor Rod Requirements:</t>
  </si>
  <si>
    <t>Turnbuckle Requirements:</t>
  </si>
  <si>
    <r>
      <t xml:space="preserve">Max. Percent Flex. Reinf., </t>
    </r>
    <r>
      <rPr>
        <sz val="10"/>
        <color indexed="12"/>
        <rFont val="Symbol"/>
        <family val="1"/>
      </rPr>
      <t>r</t>
    </r>
    <r>
      <rPr>
        <sz val="10"/>
        <color indexed="12"/>
        <rFont val="Arial"/>
        <family val="2"/>
      </rPr>
      <t>(max) =</t>
    </r>
  </si>
  <si>
    <r>
      <t>r</t>
    </r>
    <r>
      <rPr>
        <sz val="10"/>
        <color indexed="12"/>
        <rFont val="Arial"/>
        <family val="0"/>
      </rPr>
      <t>(max) = 0.75*0.85*</t>
    </r>
    <r>
      <rPr>
        <sz val="10"/>
        <color indexed="12"/>
        <rFont val="Symbol"/>
        <family val="1"/>
      </rPr>
      <t>b</t>
    </r>
    <r>
      <rPr>
        <sz val="10"/>
        <color indexed="12"/>
        <rFont val="Arial"/>
        <family val="0"/>
      </rPr>
      <t>1*f'c/fy*(87/(87+fy))</t>
    </r>
  </si>
  <si>
    <r>
      <t xml:space="preserve">Req'd. Percent Flexural Reinf., </t>
    </r>
    <r>
      <rPr>
        <sz val="10"/>
        <color indexed="12"/>
        <rFont val="Symbol"/>
        <family val="1"/>
      </rPr>
      <t>r</t>
    </r>
    <r>
      <rPr>
        <sz val="10"/>
        <color indexed="12"/>
        <rFont val="Arial"/>
        <family val="2"/>
      </rPr>
      <t>1 =</t>
    </r>
  </si>
  <si>
    <r>
      <t xml:space="preserve">Req'd. Percent Flexural Reinf., </t>
    </r>
    <r>
      <rPr>
        <sz val="10"/>
        <color indexed="12"/>
        <rFont val="Symbol"/>
        <family val="1"/>
      </rPr>
      <t>r</t>
    </r>
    <r>
      <rPr>
        <sz val="10"/>
        <color indexed="12"/>
        <rFont val="Arial"/>
        <family val="2"/>
      </rPr>
      <t>2 =</t>
    </r>
  </si>
  <si>
    <r>
      <t xml:space="preserve">-As = </t>
    </r>
    <r>
      <rPr>
        <sz val="10"/>
        <color indexed="12"/>
        <rFont val="Symbol"/>
        <family val="1"/>
      </rPr>
      <t>r</t>
    </r>
    <r>
      <rPr>
        <sz val="10"/>
        <color indexed="12"/>
        <rFont val="Arial"/>
        <family val="2"/>
      </rPr>
      <t>2</t>
    </r>
    <r>
      <rPr>
        <sz val="10"/>
        <color indexed="12"/>
        <rFont val="Arial"/>
        <family val="0"/>
      </rPr>
      <t>*b*d2  (b = 12")</t>
    </r>
  </si>
  <si>
    <t>Req'd. Volume of Conc. Fdn., Vf =</t>
  </si>
  <si>
    <t>Anchored to a Reinforced Concrete Spread Foundation</t>
  </si>
  <si>
    <t>For a Buried Horizontal Tank</t>
  </si>
  <si>
    <t>Determine Thickness of Spread Foundation:</t>
  </si>
  <si>
    <t>Thickness of Spread Foundation:</t>
  </si>
  <si>
    <t>Spread Foundation Reinforcing:</t>
  </si>
  <si>
    <t>Determine Spread Foundation Reinforcing:</t>
  </si>
  <si>
    <t>Total Length, L =</t>
  </si>
  <si>
    <t>L(total) = Lc+2*Le</t>
  </si>
  <si>
    <t>Spread Foundation Length, Lf =</t>
  </si>
  <si>
    <t>Spread Foundation Width, Bf =</t>
  </si>
  <si>
    <t>Req'd. Weight of Conc. Fdn., Wf =</t>
  </si>
  <si>
    <t>Vf = Wf/(wc/1000)</t>
  </si>
  <si>
    <t>wc = 150-62.4  (assume concrete unit wt. = 150 pcf)</t>
  </si>
  <si>
    <r>
      <t>r</t>
    </r>
    <r>
      <rPr>
        <sz val="10"/>
        <color indexed="8"/>
        <rFont val="Arial"/>
        <family val="0"/>
      </rPr>
      <t>(max) = 0.75*0.85*</t>
    </r>
    <r>
      <rPr>
        <sz val="10"/>
        <color indexed="8"/>
        <rFont val="Symbol"/>
        <family val="1"/>
      </rPr>
      <t>b</t>
    </r>
    <r>
      <rPr>
        <sz val="10"/>
        <color indexed="8"/>
        <rFont val="Arial"/>
        <family val="0"/>
      </rPr>
      <t>1*f'c/fy*(87/(87+fy))</t>
    </r>
  </si>
  <si>
    <t>D</t>
  </si>
  <si>
    <t>Turnbuckle</t>
  </si>
  <si>
    <r>
      <t>r</t>
    </r>
    <r>
      <rPr>
        <sz val="10"/>
        <color indexed="12"/>
        <rFont val="Arial"/>
        <family val="0"/>
      </rPr>
      <t>1 = (0.9*fy-((0.9*fy)^2-4*(0.9*0.59*fy^2/f'c)*….</t>
    </r>
  </si>
  <si>
    <r>
      <t>r</t>
    </r>
    <r>
      <rPr>
        <sz val="10"/>
        <color indexed="12"/>
        <rFont val="Arial"/>
        <family val="0"/>
      </rPr>
      <t>2 = (0.9*fy-((0.9*fy)^2-4*(0.9*0.59*fy^2/f'c)*….</t>
    </r>
  </si>
  <si>
    <t>+Moment between Anchors, +Mu =</t>
  </si>
  <si>
    <t>-Moment at Anchors, -Mu =</t>
  </si>
  <si>
    <t>….(12*Mu/(12*d1^2)))^(1/2))/(2*(0.9*0.59*fy^2/f'c))</t>
  </si>
  <si>
    <t>….(12*Mu/(12*d2^2)))^(1/2))/(2*(0.9*0.59*fy^2/f'c))</t>
  </si>
  <si>
    <t>Req'd. Flexural Reinforcing, +As =</t>
  </si>
  <si>
    <r>
      <t xml:space="preserve">+As = </t>
    </r>
    <r>
      <rPr>
        <sz val="10"/>
        <color indexed="12"/>
        <rFont val="Symbol"/>
        <family val="1"/>
      </rPr>
      <t>r</t>
    </r>
    <r>
      <rPr>
        <sz val="10"/>
        <color indexed="12"/>
        <rFont val="Arial"/>
        <family val="2"/>
      </rPr>
      <t>1</t>
    </r>
    <r>
      <rPr>
        <sz val="10"/>
        <color indexed="12"/>
        <rFont val="Arial"/>
        <family val="0"/>
      </rPr>
      <t>*b*d1  (b = 12")</t>
    </r>
  </si>
  <si>
    <r>
      <t>r</t>
    </r>
    <r>
      <rPr>
        <sz val="10"/>
        <color indexed="8"/>
        <rFont val="Arial"/>
        <family val="0"/>
      </rPr>
      <t>2 = (0.9*fy-((0.9*fy)^2-4*(0.9*0.59*fy^2/f'c)*….</t>
    </r>
  </si>
  <si>
    <r>
      <t>r</t>
    </r>
    <r>
      <rPr>
        <sz val="10"/>
        <color indexed="8"/>
        <rFont val="Arial"/>
        <family val="0"/>
      </rPr>
      <t>1 = (0.9*fy-((0.9*fy)^2-4*(0.9*0.59*fy^2/f'c)*….</t>
    </r>
  </si>
  <si>
    <t>Effect. Depth for Bot. Reinf., d1 =</t>
  </si>
  <si>
    <t>Effect. Depth for Top Reinf., d2 =</t>
  </si>
  <si>
    <t>3.  This program refers to the AISC 9th Edition (ASD) Manual, 1989.  The values for safe working loads for</t>
  </si>
  <si>
    <t xml:space="preserve">      turnbuckles are taken from the table on page 4-149 of the Manual.</t>
  </si>
  <si>
    <t xml:space="preserve">      rod size.</t>
  </si>
  <si>
    <t xml:space="preserve">      secure the tank to the foundation.  Note: if turnbuckles are used, then they will control the required threaded</t>
  </si>
  <si>
    <t xml:space="preserve">      tension force in either the straps or anchor rods.</t>
  </si>
  <si>
    <t xml:space="preserve">9.  For the design of the foundation reinforcing in the short direction, this program assumes a uniformly loaded </t>
  </si>
  <si>
    <t xml:space="preserve">      simple span beam strip with cantilevers (overhangs) at each end.  The ends of the anchor serve as the </t>
  </si>
  <si>
    <t xml:space="preserve">      supports.  The assumed uniform loading on this "beam strip" is determined as 2 times the anchor tension </t>
  </si>
  <si>
    <t xml:space="preserve">      divided by the foundation width.</t>
  </si>
  <si>
    <t>Wf = (U(total)*FS)-(W(total)+Ws) &gt;= 0</t>
  </si>
  <si>
    <t>Ts = (U(total)-W(total))/(2*Na)</t>
  </si>
  <si>
    <t>Tr = (U(total)-W(total))/(2*Na)</t>
  </si>
  <si>
    <t>Determine Anchor Strap Requirements:</t>
  </si>
  <si>
    <t>Anchor Strap Requirements:</t>
  </si>
  <si>
    <t>Anchor Strap Width, bs =</t>
  </si>
  <si>
    <t>No. Anchor Straps/Rods Used, Na =</t>
  </si>
  <si>
    <t>Ft = 0.33*Fu = 19.1 for A-36 threaded rod (assumed)</t>
  </si>
  <si>
    <t>Determine Weight of Soil Above Spread Foundation:</t>
  </si>
  <si>
    <t>Ft = 0.60*Fy  (Fy assumed = 36.0 ksi for strap)</t>
  </si>
  <si>
    <t>Weight of Soil Above Spread Foundation:</t>
  </si>
  <si>
    <t xml:space="preserve">Riser Inside Dia., Dr = </t>
  </si>
  <si>
    <t xml:space="preserve">Number of Risers, Nr = </t>
  </si>
  <si>
    <t>Misc. Weight (incl. Risers), Wm =</t>
  </si>
  <si>
    <t>OD=ID+2*(t/12)</t>
  </si>
  <si>
    <t>Ae = 2*(pi*(OD^2)/4)</t>
  </si>
  <si>
    <t>Ae = 2*((pi*(2*(OD/2)^2+Le^2/e*LN((1+e)/(1-e))))/2) **</t>
  </si>
  <si>
    <t>** where:  e = SQRT((OD/2)^2-Le^2)/(OD/2)</t>
  </si>
  <si>
    <t>Ue = (62.4*Ve)/1000  (unit weight of water = 62.4 pcf)</t>
  </si>
  <si>
    <t>ws = we-62.4  (unit weight of water = 62.4 pcf)</t>
  </si>
  <si>
    <t>Req'd. Fdn. Thickness, Tf(req'd) =</t>
  </si>
  <si>
    <t>Tf(req'd) = Vf/(Lf*Bf)</t>
  </si>
  <si>
    <t>Spacing</t>
  </si>
  <si>
    <t>Bar Size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</si>
  <si>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</si>
  <si>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</si>
  <si>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</si>
  <si>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</si>
  <si>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</si>
  <si>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</si>
  <si>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</si>
  <si>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</si>
  <si>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</si>
  <si>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3-1/2</t>
  </si>
  <si>
    <t>4-1/2</t>
  </si>
  <si>
    <t>5-1/2</t>
  </si>
  <si>
    <t>6-1/2</t>
  </si>
  <si>
    <t>7-1/2</t>
  </si>
  <si>
    <t>8-1/2</t>
  </si>
  <si>
    <t>9-1/2</t>
  </si>
  <si>
    <t>10-1/2</t>
  </si>
  <si>
    <t>11-1/2</t>
  </si>
  <si>
    <r>
      <t xml:space="preserve">Reinforcing Bar Area for Various Bar Spacings </t>
    </r>
    <r>
      <rPr>
        <b/>
        <sz val="8"/>
        <rFont val="Arial"/>
        <family val="2"/>
      </rPr>
      <t>(in.^2/ft.)</t>
    </r>
  </si>
  <si>
    <t>13. This program contains “comment boxes” which contain information including explanations of input items, etc.</t>
  </si>
  <si>
    <t xml:space="preserve">12. Provide turnbuckles in the tank anchor straps.  This allows for final adjustment.  Where flat straps are used, </t>
  </si>
  <si>
    <t xml:space="preserve">      this will necessitate welding a round bar extension to accommodate the turnbuckle.</t>
  </si>
  <si>
    <t xml:space="preserve">      a. Lockwood Greene Engineering Special Design Instruction No. 38, </t>
  </si>
  <si>
    <t xml:space="preserve">          "An Approach to the Design of Anchorages for Underground Storage Tanks", dated December 6, 1972.</t>
  </si>
  <si>
    <t xml:space="preserve">      b. Lockwood Greene Engineering Special Design Instruction No. 31, </t>
  </si>
  <si>
    <t xml:space="preserve">          "Design of Anchorage for Underground Storage Tanks", dated January 14, 1972.</t>
  </si>
  <si>
    <t xml:space="preserve">2.  This program utilizes the procedures and guidelines per the ACI 318-99 Building Code in the design of the </t>
  </si>
  <si>
    <t xml:space="preserve">      reinforcing for the concrete spread foundation.</t>
  </si>
  <si>
    <t>….-4*((Bf-(OD+6"/12))/2)^2)/be)   (Average L.F. = 1.6)</t>
  </si>
  <si>
    <t>-Mu = 1.6*(2*Tr/Bf*((Bf-(OD+6"/12))/2)^2/be)</t>
  </si>
  <si>
    <t>d1 = Tf*12 - 4"</t>
  </si>
  <si>
    <t>d2 = Tf*12 - 3"</t>
  </si>
  <si>
    <t>Strap Thk.</t>
  </si>
  <si>
    <r>
      <t xml:space="preserve">Strap Width, bs </t>
    </r>
    <r>
      <rPr>
        <b/>
        <sz val="8"/>
        <color indexed="8"/>
        <rFont val="Arial"/>
        <family val="2"/>
      </rPr>
      <t>(in.)</t>
    </r>
  </si>
  <si>
    <r>
      <t xml:space="preserve">ts, </t>
    </r>
    <r>
      <rPr>
        <b/>
        <sz val="8"/>
        <color indexed="8"/>
        <rFont val="Arial"/>
        <family val="2"/>
      </rPr>
      <t>(in.)</t>
    </r>
  </si>
  <si>
    <t>Spread Foundation Thickness, Tf =</t>
  </si>
  <si>
    <t>Volume of Riser(s), Vr =</t>
  </si>
  <si>
    <r>
      <t xml:space="preserve">Anchor Strap (Gross) Allowable Loads </t>
    </r>
    <r>
      <rPr>
        <sz val="8"/>
        <color indexed="12"/>
        <rFont val="Arial"/>
        <family val="2"/>
      </rPr>
      <t>(kips)</t>
    </r>
  </si>
  <si>
    <r>
      <t xml:space="preserve">Strap Width, bs </t>
    </r>
    <r>
      <rPr>
        <sz val="8"/>
        <color indexed="12"/>
        <rFont val="Arial"/>
        <family val="2"/>
      </rPr>
      <t>(in.)</t>
    </r>
  </si>
  <si>
    <r>
      <t xml:space="preserve">ts, </t>
    </r>
    <r>
      <rPr>
        <sz val="8"/>
        <color indexed="12"/>
        <rFont val="Arial"/>
        <family val="2"/>
      </rPr>
      <t>(in.)</t>
    </r>
  </si>
  <si>
    <t>Anchor Strap Allowable Load, Ta =</t>
  </si>
  <si>
    <t>Ta &gt;= Tr  (from AISC 9th Edition Manual, page 4-149)</t>
  </si>
  <si>
    <t>Req'd. Size of Turnbuckle, D =</t>
  </si>
  <si>
    <r>
      <t xml:space="preserve">Anchor Strap (Gross) Allowable Load </t>
    </r>
    <r>
      <rPr>
        <b/>
        <sz val="8"/>
        <color indexed="8"/>
        <rFont val="Arial"/>
        <family val="2"/>
      </rPr>
      <t>(kips)</t>
    </r>
  </si>
  <si>
    <t>Tension Strap Thk. Used, ts(used) =</t>
  </si>
  <si>
    <t>Size of Anchor Rod Used, D(used) =</t>
  </si>
  <si>
    <t>D = from AISC 9th Edition Manual, page 4-149, for Ta &gt;= Tr</t>
  </si>
  <si>
    <t>Ta = (ts(used)*bs)*Ft</t>
  </si>
  <si>
    <t>Ta = Ft*(pi*D(used)^2/4) &gt;= Tr</t>
  </si>
  <si>
    <t xml:space="preserve">requirement to hold down an underground storage tank.  Specifically the requirements for anchor straps, </t>
  </si>
  <si>
    <t xml:space="preserve">anchor rods, and turnbuckles, as well as the reinforced concrete spread foundation are determined.  Tables </t>
  </si>
  <si>
    <t>calculation pages.</t>
  </si>
  <si>
    <t>for rod and turnbuckle load capacities as well as strap load capacities are displayed to the right off of the main</t>
  </si>
  <si>
    <t xml:space="preserve">5.  This program permits the user to utilize either steel tension straps or threaded rods with turnbuckles to </t>
  </si>
  <si>
    <t>6.  This program assumes that the empty tank weight is subtracted from the buoyant force in determining the</t>
  </si>
  <si>
    <t>7.  The program assumes that the distance between the ends of a strap or rod is equal to OD + 6".</t>
  </si>
  <si>
    <t>8.  The program assumes that the tank is centered on the spread foundation.</t>
  </si>
  <si>
    <t>D = SQRT(4*Tr/(pi*Ft)</t>
  </si>
  <si>
    <t>1.  This program is in part based on the following two (2) dated, but still useful references:</t>
  </si>
  <si>
    <t xml:space="preserve">      spread foundation.  This will protect the integrity of the tank and minimize possible failure of the tank joints.</t>
  </si>
  <si>
    <t>+Mu = 1.6*(2*Tr/(8*Bf)*((OD+6"/12)^2….</t>
  </si>
  <si>
    <t xml:space="preserve">10. This program does not address the anchorage of the straps or rods to the concrete foundation.  That must </t>
  </si>
  <si>
    <t xml:space="preserve">      be separately by the user.</t>
  </si>
  <si>
    <t xml:space="preserve">4.  The soil is assumed to have no voids and is assumed saturated with water (water level to top of grade), while </t>
  </si>
  <si>
    <t xml:space="preserve">      the tank is assumed to be empty.  These conservative assumptions result in largest possible buoyant force.</t>
  </si>
  <si>
    <t xml:space="preserve">11. Underground tank should be bedded on 12" of compacted sand rather than bearing directly on the concrete </t>
  </si>
  <si>
    <t>1. Soil is saturated, with no voids, and water table at grade.</t>
  </si>
  <si>
    <t>Soil Dry Unit Weight, we =</t>
  </si>
  <si>
    <t>Note: if used, turnbuckles will control rod size.</t>
  </si>
  <si>
    <t>Anchor</t>
  </si>
  <si>
    <t>Rod</t>
  </si>
  <si>
    <t>Allow.</t>
  </si>
  <si>
    <t>Anchor Rod and</t>
  </si>
  <si>
    <t>Turnbuckle Capacities</t>
  </si>
  <si>
    <t>Dia.</t>
  </si>
  <si>
    <t>Safe</t>
  </si>
  <si>
    <t>Working</t>
  </si>
  <si>
    <r>
      <t xml:space="preserve">Load </t>
    </r>
    <r>
      <rPr>
        <b/>
        <sz val="8"/>
        <color indexed="8"/>
        <rFont val="Arial"/>
        <family val="2"/>
      </rPr>
      <t>(k)</t>
    </r>
  </si>
  <si>
    <t>Tr = (U-W)/(2*Na)</t>
  </si>
  <si>
    <t>2. Tank is empty and is centered on foundation.</t>
  </si>
  <si>
    <t>3. Tension straps or rods with turnbuckles may be used.</t>
  </si>
  <si>
    <t>4. Distance between each end of a strap or rod = OD + 6".</t>
  </si>
  <si>
    <t>5. 12" thick sand bed between bottom/tank and top/fdn.</t>
  </si>
  <si>
    <t>Vs = ((h+OD+1.0')*Lf*Bf)-V(total)</t>
  </si>
  <si>
    <t>be = Lc/(Na+1)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</si>
</sst>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&quot;$&quot;#,##0\ ;\(&quot;$&quot;#,##0\)"/>
    <numFmt numFmtId="169" formatCode="m/d"/>
    <numFmt numFmtId="170" formatCode="#,##0.000"/>
  </numFmts>
  <fonts count="34">
    <font>
      <sz val="10"/>
      <name val="Arial"/>
      <family val="0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Symbol"/>
      <family val="1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Symbol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Symbol"/>
      <family val="1"/>
    </font>
    <font>
      <b/>
      <sz val="8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1" applyNumberFormat="0" applyFont="0" applyFill="0" applyAlignment="0" applyProtection="0"/>
  </cellStyleXfs>
  <cellXfs count="313">
    <xf numFmtId="0" fontId="0" fillId="0" borderId="0" xfId="0" applyAlignment="1">
      <alignment/>
    </xf>
    <xf numFmtId="0" fontId="0" fillId="2" borderId="2" xfId="0" applyFill="1" applyBorder="1" applyAlignment="1" applyProtection="1">
      <alignment horizontal="centerContinuous"/>
      <protection hidden="1"/>
    </xf>
    <xf numFmtId="0" fontId="14" fillId="2" borderId="3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165" fontId="3" fillId="4" borderId="5" xfId="0" applyNumberFormat="1" applyFont="1" applyFill="1" applyBorder="1" applyAlignment="1" applyProtection="1">
      <alignment horizontal="center"/>
      <protection locked="0"/>
    </xf>
    <xf numFmtId="170" fontId="3" fillId="4" borderId="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/>
      <protection hidden="1"/>
    </xf>
    <xf numFmtId="166" fontId="3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vertical="justify"/>
      <protection hidden="1"/>
    </xf>
    <xf numFmtId="0" fontId="19" fillId="2" borderId="7" xfId="0" applyFont="1" applyFill="1" applyBorder="1" applyAlignment="1" applyProtection="1">
      <alignment horizontal="centerContinuous"/>
      <protection hidden="1"/>
    </xf>
    <xf numFmtId="0" fontId="13" fillId="2" borderId="2" xfId="0" applyFont="1" applyFill="1" applyBorder="1" applyAlignment="1" applyProtection="1">
      <alignment horizontal="centerContinuous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centerContinuous"/>
      <protection hidden="1"/>
    </xf>
    <xf numFmtId="0" fontId="14" fillId="2" borderId="0" xfId="0" applyFont="1" applyFill="1" applyBorder="1" applyAlignment="1" applyProtection="1">
      <alignment horizontal="centerContinuous"/>
      <protection hidden="1"/>
    </xf>
    <xf numFmtId="0" fontId="14" fillId="2" borderId="8" xfId="0" applyFont="1" applyFill="1" applyBorder="1" applyAlignment="1" applyProtection="1">
      <alignment horizontal="centerContinuous"/>
      <protection hidden="1"/>
    </xf>
    <xf numFmtId="0" fontId="13" fillId="2" borderId="4" xfId="0" applyFont="1" applyFill="1" applyBorder="1" applyAlignment="1" applyProtection="1">
      <alignment horizontal="centerContinuous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/>
      <protection hidden="1"/>
    </xf>
    <xf numFmtId="2" fontId="3" fillId="3" borderId="0" xfId="0" applyNumberFormat="1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7" fillId="3" borderId="10" xfId="0" applyFont="1" applyFill="1" applyBorder="1" applyAlignment="1" applyProtection="1">
      <alignment horizontal="center"/>
      <protection hidden="1"/>
    </xf>
    <xf numFmtId="169" fontId="2" fillId="2" borderId="11" xfId="0" applyNumberFormat="1" applyFont="1" applyFill="1" applyBorder="1" applyAlignment="1" applyProtection="1">
      <alignment horizontal="centerContinuous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0" xfId="0" applyNumberFormat="1" applyFont="1" applyFill="1" applyBorder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1" fillId="3" borderId="12" xfId="0" applyFont="1" applyFill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10" fillId="3" borderId="0" xfId="0" applyNumberFormat="1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 horizontal="centerContinuous"/>
      <protection hidden="1"/>
    </xf>
    <xf numFmtId="0" fontId="0" fillId="2" borderId="12" xfId="0" applyFill="1" applyBorder="1" applyAlignment="1" applyProtection="1">
      <alignment horizontal="centerContinuous"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6" fillId="3" borderId="3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11" xfId="0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1" fillId="3" borderId="3" xfId="0" applyNumberFormat="1" applyFont="1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Alignment="1" applyProtection="1">
      <alignment/>
      <protection hidden="1"/>
    </xf>
    <xf numFmtId="166" fontId="3" fillId="3" borderId="5" xfId="0" applyNumberFormat="1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right"/>
      <protection hidden="1"/>
    </xf>
    <xf numFmtId="0" fontId="12" fillId="3" borderId="0" xfId="0" applyNumberFormat="1" applyFont="1" applyFill="1" applyBorder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/>
      <protection hidden="1"/>
    </xf>
    <xf numFmtId="0" fontId="18" fillId="3" borderId="11" xfId="0" applyFont="1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horizontal="right"/>
      <protection hidden="1"/>
    </xf>
    <xf numFmtId="0" fontId="16" fillId="3" borderId="0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165" fontId="3" fillId="3" borderId="14" xfId="0" applyNumberFormat="1" applyFont="1" applyFill="1" applyBorder="1" applyAlignment="1" applyProtection="1">
      <alignment horizont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hidden="1"/>
    </xf>
    <xf numFmtId="2" fontId="3" fillId="3" borderId="15" xfId="0" applyNumberFormat="1" applyFont="1" applyFill="1" applyBorder="1" applyAlignment="1" applyProtection="1">
      <alignment horizontal="center"/>
      <protection hidden="1"/>
    </xf>
    <xf numFmtId="0" fontId="15" fillId="3" borderId="3" xfId="0" applyNumberFormat="1" applyFont="1" applyFill="1" applyBorder="1" applyAlignment="1" applyProtection="1">
      <alignment/>
      <protection hidden="1"/>
    </xf>
    <xf numFmtId="2" fontId="3" fillId="3" borderId="14" xfId="0" applyNumberFormat="1" applyFont="1" applyFill="1" applyBorder="1" applyAlignment="1" applyProtection="1">
      <alignment horizontal="center"/>
      <protection hidden="1"/>
    </xf>
    <xf numFmtId="0" fontId="12" fillId="3" borderId="0" xfId="0" applyNumberFormat="1" applyFont="1" applyFill="1" applyBorder="1" applyAlignment="1" applyProtection="1">
      <alignment/>
      <protection hidden="1"/>
    </xf>
    <xf numFmtId="166" fontId="3" fillId="3" borderId="15" xfId="0" applyNumberFormat="1" applyFont="1" applyFill="1" applyBorder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166" fontId="3" fillId="3" borderId="14" xfId="0" applyNumberFormat="1" applyFont="1" applyFill="1" applyBorder="1" applyAlignment="1" applyProtection="1">
      <alignment horizontal="center"/>
      <protection hidden="1"/>
    </xf>
    <xf numFmtId="166" fontId="3" fillId="3" borderId="5" xfId="0" applyNumberFormat="1" applyFont="1" applyFill="1" applyBorder="1" applyAlignment="1" applyProtection="1">
      <alignment horizontal="center"/>
      <protection hidden="1"/>
    </xf>
    <xf numFmtId="0" fontId="1" fillId="3" borderId="3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/>
      <protection hidden="1"/>
    </xf>
    <xf numFmtId="2" fontId="3" fillId="3" borderId="14" xfId="0" applyNumberFormat="1" applyFont="1" applyFill="1" applyBorder="1" applyAlignment="1" applyProtection="1">
      <alignment horizontal="center"/>
      <protection hidden="1"/>
    </xf>
    <xf numFmtId="0" fontId="14" fillId="3" borderId="0" xfId="0" applyNumberFormat="1" applyFont="1" applyFill="1" applyBorder="1" applyAlignment="1" applyProtection="1">
      <alignment/>
      <protection hidden="1"/>
    </xf>
    <xf numFmtId="167" fontId="3" fillId="3" borderId="5" xfId="0" applyNumberFormat="1" applyFont="1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 quotePrefix="1">
      <alignment/>
      <protection hidden="1"/>
    </xf>
    <xf numFmtId="166" fontId="3" fillId="3" borderId="15" xfId="0" applyNumberFormat="1" applyFont="1" applyFill="1" applyBorder="1" applyAlignment="1" applyProtection="1">
      <alignment horizontal="center"/>
      <protection hidden="1"/>
    </xf>
    <xf numFmtId="4" fontId="3" fillId="4" borderId="5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15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Alignment="1">
      <alignment horizontal="centerContinuous"/>
    </xf>
    <xf numFmtId="0" fontId="24" fillId="3" borderId="0" xfId="0" applyFont="1" applyFill="1" applyAlignment="1">
      <alignment horizontal="centerContinuous"/>
    </xf>
    <xf numFmtId="0" fontId="24" fillId="3" borderId="0" xfId="0" applyFont="1" applyFill="1" applyAlignment="1">
      <alignment/>
    </xf>
    <xf numFmtId="0" fontId="0" fillId="3" borderId="0" xfId="0" applyFill="1" applyAlignment="1">
      <alignment/>
    </xf>
    <xf numFmtId="0" fontId="16" fillId="3" borderId="0" xfId="0" applyFont="1" applyFill="1" applyAlignment="1">
      <alignment/>
    </xf>
    <xf numFmtId="0" fontId="13" fillId="3" borderId="17" xfId="0" applyFont="1" applyFill="1" applyBorder="1" applyAlignment="1">
      <alignment horizontal="centerContinuous"/>
    </xf>
    <xf numFmtId="0" fontId="25" fillId="3" borderId="18" xfId="0" applyFont="1" applyFill="1" applyBorder="1" applyAlignment="1">
      <alignment horizontal="centerContinuous"/>
    </xf>
    <xf numFmtId="0" fontId="25" fillId="3" borderId="10" xfId="0" applyFont="1" applyFill="1" applyBorder="1" applyAlignment="1">
      <alignment horizontal="centerContinuous"/>
    </xf>
    <xf numFmtId="0" fontId="0" fillId="3" borderId="18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24" fillId="0" borderId="7" xfId="0" applyFont="1" applyFill="1" applyBorder="1" applyAlignment="1">
      <alignment horizontal="centerContinuous"/>
    </xf>
    <xf numFmtId="0" fontId="24" fillId="0" borderId="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8" xfId="0" applyFont="1" applyFill="1" applyBorder="1" applyAlignment="1">
      <alignment horizontal="centerContinuous"/>
    </xf>
    <xf numFmtId="0" fontId="24" fillId="0" borderId="4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24" fillId="3" borderId="0" xfId="0" applyFont="1" applyFill="1" applyBorder="1" applyAlignment="1">
      <alignment horizontal="centerContinuous"/>
    </xf>
    <xf numFmtId="0" fontId="24" fillId="3" borderId="0" xfId="0" applyFont="1" applyFill="1" applyBorder="1" applyAlignment="1">
      <alignment/>
    </xf>
    <xf numFmtId="0" fontId="17" fillId="3" borderId="0" xfId="0" applyFont="1" applyFill="1" applyAlignment="1">
      <alignment/>
    </xf>
    <xf numFmtId="0" fontId="24" fillId="3" borderId="0" xfId="0" applyFont="1" applyFill="1" applyAlignment="1" applyProtection="1">
      <alignment/>
      <protection hidden="1"/>
    </xf>
    <xf numFmtId="0" fontId="26" fillId="3" borderId="3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3" borderId="8" xfId="0" applyFont="1" applyFill="1" applyBorder="1" applyAlignment="1" applyProtection="1">
      <alignment/>
      <protection locked="0"/>
    </xf>
    <xf numFmtId="166" fontId="3" fillId="3" borderId="0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/>
      <protection locked="0"/>
    </xf>
    <xf numFmtId="0" fontId="26" fillId="3" borderId="0" xfId="0" applyNumberFormat="1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left"/>
      <protection hidden="1"/>
    </xf>
    <xf numFmtId="166" fontId="1" fillId="3" borderId="0" xfId="0" applyNumberFormat="1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2" fontId="3" fillId="3" borderId="16" xfId="0" applyNumberFormat="1" applyFont="1" applyFill="1" applyBorder="1" applyAlignment="1" applyProtection="1">
      <alignment horizontal="center"/>
      <protection hidden="1"/>
    </xf>
    <xf numFmtId="165" fontId="3" fillId="3" borderId="16" xfId="0" applyNumberFormat="1" applyFont="1" applyFill="1" applyBorder="1" applyAlignment="1" applyProtection="1">
      <alignment horizontal="center"/>
      <protection hidden="1"/>
    </xf>
    <xf numFmtId="166" fontId="0" fillId="3" borderId="0" xfId="0" applyNumberForma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9" fillId="3" borderId="0" xfId="0" applyNumberFormat="1" applyFont="1" applyFill="1" applyBorder="1" applyAlignment="1" applyProtection="1">
      <alignment/>
      <protection hidden="1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3" borderId="0" xfId="0" applyNumberFormat="1" applyFont="1" applyFill="1" applyBorder="1" applyAlignment="1" applyProtection="1">
      <alignment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5" fontId="3" fillId="3" borderId="0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 quotePrefix="1">
      <alignment/>
      <protection hidden="1"/>
    </xf>
    <xf numFmtId="0" fontId="3" fillId="3" borderId="0" xfId="0" applyNumberFormat="1" applyFont="1" applyFill="1" applyBorder="1" applyAlignment="1" applyProtection="1" quotePrefix="1">
      <alignment/>
      <protection hidden="1"/>
    </xf>
    <xf numFmtId="167" fontId="3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Continuous"/>
      <protection hidden="1"/>
    </xf>
    <xf numFmtId="0" fontId="3" fillId="3" borderId="0" xfId="0" applyFont="1" applyFill="1" applyAlignment="1" applyProtection="1">
      <alignment horizontal="centerContinuous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5" fontId="3" fillId="3" borderId="0" xfId="0" applyNumberFormat="1" applyFont="1" applyFill="1" applyAlignment="1" applyProtection="1">
      <alignment horizontal="center"/>
      <protection hidden="1"/>
    </xf>
    <xf numFmtId="166" fontId="3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26" fillId="3" borderId="0" xfId="0" applyFont="1" applyFill="1" applyBorder="1" applyAlignment="1" applyProtection="1">
      <alignment horizontal="left"/>
      <protection hidden="1"/>
    </xf>
    <xf numFmtId="0" fontId="26" fillId="3" borderId="0" xfId="0" applyFont="1" applyFill="1" applyBorder="1" applyAlignment="1" applyProtection="1">
      <alignment horizontal="right"/>
      <protection hidden="1"/>
    </xf>
    <xf numFmtId="49" fontId="3" fillId="3" borderId="3" xfId="0" applyNumberFormat="1" applyFont="1" applyFill="1" applyBorder="1" applyAlignment="1" applyProtection="1">
      <alignment/>
      <protection locked="0"/>
    </xf>
    <xf numFmtId="49" fontId="4" fillId="3" borderId="0" xfId="0" applyNumberFormat="1" applyFont="1" applyFill="1" applyBorder="1" applyAlignment="1" applyProtection="1">
      <alignment/>
      <protection locked="0"/>
    </xf>
    <xf numFmtId="49" fontId="3" fillId="3" borderId="17" xfId="0" applyNumberFormat="1" applyFont="1" applyFill="1" applyBorder="1" applyAlignment="1" applyProtection="1">
      <alignment/>
      <protection locked="0"/>
    </xf>
    <xf numFmtId="49" fontId="3" fillId="3" borderId="18" xfId="0" applyNumberFormat="1" applyFont="1" applyFill="1" applyBorder="1" applyAlignment="1" applyProtection="1">
      <alignment/>
      <protection locked="0"/>
    </xf>
    <xf numFmtId="49" fontId="3" fillId="3" borderId="10" xfId="0" applyNumberFormat="1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 quotePrefix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4" borderId="5" xfId="0" applyFont="1" applyFill="1" applyBorder="1" applyAlignment="1" applyProtection="1">
      <alignment horizontal="center"/>
      <protection locked="0"/>
    </xf>
    <xf numFmtId="165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/>
      <protection hidden="1"/>
    </xf>
    <xf numFmtId="166" fontId="2" fillId="3" borderId="14" xfId="0" applyNumberFormat="1" applyFont="1" applyFill="1" applyBorder="1" applyAlignment="1" applyProtection="1">
      <alignment horizontal="center"/>
      <protection hidden="1"/>
    </xf>
    <xf numFmtId="164" fontId="2" fillId="3" borderId="19" xfId="0" applyNumberFormat="1" applyFont="1" applyFill="1" applyBorder="1" applyAlignment="1" applyProtection="1">
      <alignment horizontal="center"/>
      <protection hidden="1"/>
    </xf>
    <xf numFmtId="166" fontId="2" fillId="3" borderId="5" xfId="0" applyNumberFormat="1" applyFont="1" applyFill="1" applyBorder="1" applyAlignment="1" applyProtection="1">
      <alignment horizontal="center"/>
      <protection hidden="1"/>
    </xf>
    <xf numFmtId="164" fontId="2" fillId="3" borderId="20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6" fontId="2" fillId="3" borderId="15" xfId="0" applyNumberFormat="1" applyFont="1" applyFill="1" applyBorder="1" applyAlignment="1" applyProtection="1">
      <alignment horizontal="center"/>
      <protection hidden="1"/>
    </xf>
    <xf numFmtId="164" fontId="2" fillId="3" borderId="21" xfId="0" applyNumberFormat="1" applyFont="1" applyFill="1" applyBorder="1" applyAlignment="1" applyProtection="1">
      <alignment horizontal="center"/>
      <protection hidden="1"/>
    </xf>
    <xf numFmtId="0" fontId="3" fillId="3" borderId="17" xfId="0" applyFont="1" applyFill="1" applyBorder="1" applyAlignment="1" applyProtection="1">
      <alignment horizontal="centerContinuous"/>
      <protection hidden="1"/>
    </xf>
    <xf numFmtId="0" fontId="3" fillId="3" borderId="10" xfId="0" applyFont="1" applyFill="1" applyBorder="1" applyAlignment="1" applyProtection="1">
      <alignment horizontal="centerContinuous"/>
      <protection hidden="1"/>
    </xf>
    <xf numFmtId="12" fontId="1" fillId="2" borderId="14" xfId="0" applyNumberFormat="1" applyFont="1" applyFill="1" applyBorder="1" applyAlignment="1" applyProtection="1">
      <alignment horizontal="center"/>
      <protection hidden="1"/>
    </xf>
    <xf numFmtId="12" fontId="1" fillId="2" borderId="5" xfId="0" applyNumberFormat="1" applyFont="1" applyFill="1" applyBorder="1" applyAlignment="1" applyProtection="1">
      <alignment horizontal="center"/>
      <protection hidden="1"/>
    </xf>
    <xf numFmtId="12" fontId="1" fillId="2" borderId="15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6" fontId="14" fillId="3" borderId="0" xfId="0" applyNumberFormat="1" applyFont="1" applyFill="1" applyBorder="1" applyAlignment="1" applyProtection="1">
      <alignment horizontal="center"/>
      <protection hidden="1"/>
    </xf>
    <xf numFmtId="12" fontId="3" fillId="3" borderId="0" xfId="0" applyNumberFormat="1" applyFont="1" applyFill="1" applyBorder="1" applyAlignment="1" applyProtection="1">
      <alignment/>
      <protection hidden="1"/>
    </xf>
    <xf numFmtId="164" fontId="3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locked="0"/>
    </xf>
    <xf numFmtId="0" fontId="14" fillId="3" borderId="0" xfId="0" applyFont="1" applyFill="1" applyBorder="1" applyAlignment="1" applyProtection="1">
      <alignment horizontal="right"/>
      <protection hidden="1"/>
    </xf>
    <xf numFmtId="2" fontId="3" fillId="3" borderId="0" xfId="0" applyNumberFormat="1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 quotePrefix="1">
      <alignment horizontal="right"/>
      <protection hidden="1"/>
    </xf>
    <xf numFmtId="0" fontId="3" fillId="3" borderId="0" xfId="0" applyFont="1" applyFill="1" applyBorder="1" applyAlignment="1" applyProtection="1" quotePrefix="1">
      <alignment horizontal="right"/>
      <protection hidden="1"/>
    </xf>
    <xf numFmtId="2" fontId="3" fillId="3" borderId="0" xfId="0" applyNumberFormat="1" applyFont="1" applyFill="1" applyBorder="1" applyAlignment="1" applyProtection="1" quotePrefix="1">
      <alignment horizontal="left"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17" fillId="3" borderId="0" xfId="0" applyNumberFormat="1" applyFont="1" applyFill="1" applyBorder="1" applyAlignment="1" applyProtection="1">
      <alignment/>
      <protection hidden="1"/>
    </xf>
    <xf numFmtId="0" fontId="24" fillId="3" borderId="0" xfId="0" applyFont="1" applyFill="1" applyBorder="1" applyAlignment="1" applyProtection="1">
      <alignment/>
      <protection hidden="1"/>
    </xf>
    <xf numFmtId="0" fontId="28" fillId="3" borderId="0" xfId="0" applyNumberFormat="1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26" fillId="3" borderId="0" xfId="0" applyFont="1" applyFill="1" applyAlignment="1" applyProtection="1">
      <alignment/>
      <protection hidden="1"/>
    </xf>
    <xf numFmtId="0" fontId="24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 quotePrefix="1">
      <alignment horizontal="left"/>
      <protection hidden="1"/>
    </xf>
    <xf numFmtId="0" fontId="13" fillId="2" borderId="17" xfId="0" applyFont="1" applyFill="1" applyBorder="1" applyAlignment="1" applyProtection="1">
      <alignment horizontal="centerContinuous"/>
      <protection hidden="1"/>
    </xf>
    <xf numFmtId="0" fontId="0" fillId="2" borderId="18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Continuous"/>
      <protection hidden="1"/>
    </xf>
    <xf numFmtId="0" fontId="0" fillId="2" borderId="17" xfId="0" applyFill="1" applyBorder="1" applyAlignment="1" applyProtection="1">
      <alignment horizontal="centerContinuous"/>
      <protection hidden="1"/>
    </xf>
    <xf numFmtId="0" fontId="29" fillId="2" borderId="22" xfId="0" applyFont="1" applyFill="1" applyBorder="1" applyAlignment="1" applyProtection="1">
      <alignment horizontal="center"/>
      <protection hidden="1"/>
    </xf>
    <xf numFmtId="0" fontId="29" fillId="2" borderId="16" xfId="0" applyFont="1" applyFill="1" applyBorder="1" applyAlignment="1" applyProtection="1">
      <alignment horizontal="center"/>
      <protection hidden="1"/>
    </xf>
    <xf numFmtId="0" fontId="29" fillId="2" borderId="9" xfId="0" applyFont="1" applyFill="1" applyBorder="1" applyAlignment="1" applyProtection="1">
      <alignment horizontal="center"/>
      <protection hidden="1"/>
    </xf>
    <xf numFmtId="0" fontId="31" fillId="2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Continuous"/>
      <protection hidden="1"/>
    </xf>
    <xf numFmtId="0" fontId="20" fillId="3" borderId="18" xfId="0" applyFont="1" applyFill="1" applyBorder="1" applyAlignment="1" applyProtection="1">
      <alignment horizontal="centerContinuous"/>
      <protection hidden="1"/>
    </xf>
    <xf numFmtId="0" fontId="21" fillId="3" borderId="18" xfId="0" applyFont="1" applyFill="1" applyBorder="1" applyAlignment="1" applyProtection="1">
      <alignment horizontal="centerContinuous"/>
      <protection hidden="1"/>
    </xf>
    <xf numFmtId="0" fontId="21" fillId="3" borderId="10" xfId="0" applyFont="1" applyFill="1" applyBorder="1" applyAlignment="1" applyProtection="1">
      <alignment horizontal="centerContinuous"/>
      <protection hidden="1"/>
    </xf>
    <xf numFmtId="0" fontId="29" fillId="2" borderId="17" xfId="0" applyFont="1" applyFill="1" applyBorder="1" applyAlignment="1" applyProtection="1">
      <alignment horizontal="centerContinuous"/>
      <protection hidden="1"/>
    </xf>
    <xf numFmtId="0" fontId="4" fillId="2" borderId="18" xfId="0" applyFont="1" applyFill="1" applyBorder="1" applyAlignment="1" applyProtection="1">
      <alignment horizontal="centerContinuous"/>
      <protection hidden="1"/>
    </xf>
    <xf numFmtId="0" fontId="4" fillId="2" borderId="10" xfId="0" applyFont="1" applyFill="1" applyBorder="1" applyAlignment="1" applyProtection="1">
      <alignment horizontal="centerContinuous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20" fillId="2" borderId="18" xfId="0" applyFont="1" applyFill="1" applyBorder="1" applyAlignment="1" applyProtection="1">
      <alignment horizontal="centerContinuous"/>
      <protection hidden="1"/>
    </xf>
    <xf numFmtId="0" fontId="21" fillId="2" borderId="18" xfId="0" applyFont="1" applyFill="1" applyBorder="1" applyAlignment="1" applyProtection="1">
      <alignment horizontal="centerContinuous"/>
      <protection hidden="1"/>
    </xf>
    <xf numFmtId="0" fontId="21" fillId="2" borderId="10" xfId="0" applyFont="1" applyFill="1" applyBorder="1" applyAlignment="1" applyProtection="1">
      <alignment horizontal="centerContinuous"/>
      <protection hidden="1"/>
    </xf>
    <xf numFmtId="0" fontId="3" fillId="3" borderId="22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4" fontId="2" fillId="3" borderId="14" xfId="0" applyNumberFormat="1" applyFont="1" applyFill="1" applyBorder="1" applyAlignment="1" applyProtection="1">
      <alignment horizontal="center"/>
      <protection hidden="1"/>
    </xf>
    <xf numFmtId="164" fontId="2" fillId="3" borderId="5" xfId="0" applyNumberFormat="1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164" fontId="2" fillId="3" borderId="15" xfId="0" applyNumberFormat="1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13" fontId="1" fillId="2" borderId="5" xfId="0" applyNumberFormat="1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13" fontId="1" fillId="2" borderId="15" xfId="0" applyNumberFormat="1" applyFont="1" applyFill="1" applyBorder="1" applyAlignment="1" applyProtection="1">
      <alignment horizontal="center"/>
      <protection hidden="1"/>
    </xf>
    <xf numFmtId="1" fontId="1" fillId="2" borderId="14" xfId="0" applyNumberFormat="1" applyFont="1" applyFill="1" applyBorder="1" applyAlignment="1" applyProtection="1">
      <alignment horizontal="center"/>
      <protection hidden="1"/>
    </xf>
    <xf numFmtId="165" fontId="3" fillId="3" borderId="5" xfId="0" applyNumberFormat="1" applyFont="1" applyFill="1" applyBorder="1" applyAlignment="1" applyProtection="1">
      <alignment horizontal="center"/>
      <protection hidden="1"/>
    </xf>
    <xf numFmtId="0" fontId="3" fillId="3" borderId="15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15" xfId="0" applyNumberFormat="1" applyFont="1" applyFill="1" applyBorder="1" applyAlignment="1" applyProtection="1">
      <alignment horizontal="center"/>
      <protection hidden="1"/>
    </xf>
    <xf numFmtId="165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 horizontal="centerContinuous"/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Continuous"/>
      <protection hidden="1"/>
    </xf>
    <xf numFmtId="1" fontId="1" fillId="3" borderId="0" xfId="0" applyNumberFormat="1" applyFont="1" applyFill="1" applyBorder="1" applyAlignment="1" applyProtection="1">
      <alignment horizontal="center"/>
      <protection hidden="1"/>
    </xf>
    <xf numFmtId="13" fontId="1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centerContinuous"/>
      <protection hidden="1"/>
    </xf>
    <xf numFmtId="0" fontId="20" fillId="3" borderId="0" xfId="0" applyFont="1" applyFill="1" applyBorder="1" applyAlignment="1" applyProtection="1">
      <alignment horizontal="centerContinuous"/>
      <protection hidden="1"/>
    </xf>
    <xf numFmtId="0" fontId="21" fillId="3" borderId="0" xfId="0" applyFont="1" applyFill="1" applyBorder="1" applyAlignment="1" applyProtection="1">
      <alignment horizontal="centerContinuous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2" fontId="3" fillId="3" borderId="0" xfId="0" applyNumberFormat="1" applyFont="1" applyFill="1" applyBorder="1" applyAlignment="1" applyProtection="1">
      <alignment horizontal="center"/>
      <protection hidden="1"/>
    </xf>
    <xf numFmtId="0" fontId="24" fillId="2" borderId="6" xfId="0" applyFont="1" applyFill="1" applyBorder="1" applyAlignment="1" applyProtection="1">
      <alignment horizontal="center"/>
      <protection hidden="1"/>
    </xf>
    <xf numFmtId="0" fontId="24" fillId="2" borderId="18" xfId="0" applyFont="1" applyFill="1" applyBorder="1" applyAlignment="1" applyProtection="1">
      <alignment horizontal="center"/>
      <protection hidden="1"/>
    </xf>
    <xf numFmtId="0" fontId="24" fillId="2" borderId="14" xfId="0" applyFont="1" applyFill="1" applyBorder="1" applyAlignment="1" applyProtection="1">
      <alignment horizontal="center"/>
      <protection hidden="1"/>
    </xf>
    <xf numFmtId="2" fontId="18" fillId="3" borderId="23" xfId="0" applyNumberFormat="1" applyFont="1" applyFill="1" applyBorder="1" applyAlignment="1" applyProtection="1">
      <alignment horizontal="center"/>
      <protection hidden="1"/>
    </xf>
    <xf numFmtId="2" fontId="18" fillId="3" borderId="14" xfId="0" applyNumberFormat="1" applyFont="1" applyFill="1" applyBorder="1" applyAlignment="1" applyProtection="1">
      <alignment horizontal="center"/>
      <protection hidden="1"/>
    </xf>
    <xf numFmtId="2" fontId="18" fillId="3" borderId="24" xfId="0" applyNumberFormat="1" applyFont="1" applyFill="1" applyBorder="1" applyAlignment="1" applyProtection="1">
      <alignment horizontal="center"/>
      <protection hidden="1"/>
    </xf>
    <xf numFmtId="2" fontId="18" fillId="3" borderId="19" xfId="0" applyNumberFormat="1" applyFont="1" applyFill="1" applyBorder="1" applyAlignment="1" applyProtection="1">
      <alignment horizontal="center"/>
      <protection hidden="1"/>
    </xf>
    <xf numFmtId="0" fontId="24" fillId="2" borderId="5" xfId="0" applyFont="1" applyFill="1" applyBorder="1" applyAlignment="1" applyProtection="1" quotePrefix="1">
      <alignment horizontal="center"/>
      <protection hidden="1"/>
    </xf>
    <xf numFmtId="2" fontId="18" fillId="3" borderId="25" xfId="0" applyNumberFormat="1" applyFont="1" applyFill="1" applyBorder="1" applyAlignment="1" applyProtection="1">
      <alignment horizontal="center"/>
      <protection hidden="1"/>
    </xf>
    <xf numFmtId="2" fontId="18" fillId="3" borderId="5" xfId="0" applyNumberFormat="1" applyFont="1" applyFill="1" applyBorder="1" applyAlignment="1" applyProtection="1">
      <alignment horizontal="center"/>
      <protection hidden="1"/>
    </xf>
    <xf numFmtId="2" fontId="18" fillId="3" borderId="26" xfId="0" applyNumberFormat="1" applyFont="1" applyFill="1" applyBorder="1" applyAlignment="1" applyProtection="1">
      <alignment horizontal="center"/>
      <protection hidden="1"/>
    </xf>
    <xf numFmtId="2" fontId="18" fillId="3" borderId="20" xfId="0" applyNumberFormat="1" applyFont="1" applyFill="1" applyBorder="1" applyAlignment="1" applyProtection="1">
      <alignment horizontal="center"/>
      <protection hidden="1"/>
    </xf>
    <xf numFmtId="0" fontId="24" fillId="2" borderId="5" xfId="0" applyFont="1" applyFill="1" applyBorder="1" applyAlignment="1" applyProtection="1">
      <alignment horizontal="center"/>
      <protection hidden="1"/>
    </xf>
    <xf numFmtId="166" fontId="18" fillId="3" borderId="25" xfId="0" applyNumberFormat="1" applyFont="1" applyFill="1" applyBorder="1" applyAlignment="1" applyProtection="1">
      <alignment horizontal="center"/>
      <protection hidden="1"/>
    </xf>
    <xf numFmtId="0" fontId="24" fillId="2" borderId="15" xfId="0" applyFont="1" applyFill="1" applyBorder="1" applyAlignment="1" applyProtection="1">
      <alignment horizontal="center"/>
      <protection hidden="1"/>
    </xf>
    <xf numFmtId="2" fontId="18" fillId="3" borderId="27" xfId="0" applyNumberFormat="1" applyFont="1" applyFill="1" applyBorder="1" applyAlignment="1" applyProtection="1">
      <alignment horizontal="center"/>
      <protection hidden="1"/>
    </xf>
    <xf numFmtId="2" fontId="18" fillId="3" borderId="15" xfId="0" applyNumberFormat="1" applyFont="1" applyFill="1" applyBorder="1" applyAlignment="1" applyProtection="1">
      <alignment horizontal="center"/>
      <protection hidden="1"/>
    </xf>
    <xf numFmtId="2" fontId="18" fillId="3" borderId="28" xfId="0" applyNumberFormat="1" applyFont="1" applyFill="1" applyBorder="1" applyAlignment="1" applyProtection="1">
      <alignment horizontal="center"/>
      <protection hidden="1"/>
    </xf>
    <xf numFmtId="2" fontId="18" fillId="3" borderId="21" xfId="0" applyNumberFormat="1" applyFont="1" applyFill="1" applyBorder="1" applyAlignment="1" applyProtection="1">
      <alignment horizontal="center"/>
      <protection hidden="1"/>
    </xf>
    <xf numFmtId="0" fontId="29" fillId="2" borderId="7" xfId="0" applyFont="1" applyFill="1" applyBorder="1" applyAlignment="1" applyProtection="1">
      <alignment horizontal="centerContinuous"/>
      <protection hidden="1"/>
    </xf>
    <xf numFmtId="0" fontId="3" fillId="2" borderId="2" xfId="0" applyFont="1" applyFill="1" applyBorder="1" applyAlignment="1" applyProtection="1">
      <alignment horizontal="centerContinuous"/>
      <protection hidden="1"/>
    </xf>
    <xf numFmtId="0" fontId="3" fillId="2" borderId="13" xfId="0" applyFont="1" applyFill="1" applyBorder="1" applyAlignment="1" applyProtection="1">
      <alignment horizontal="centerContinuous"/>
      <protection hidden="1"/>
    </xf>
    <xf numFmtId="0" fontId="29" fillId="2" borderId="8" xfId="0" applyFont="1" applyFill="1" applyBorder="1" applyAlignment="1" applyProtection="1">
      <alignment horizontal="centerContinuous"/>
      <protection hidden="1"/>
    </xf>
    <xf numFmtId="0" fontId="3" fillId="2" borderId="4" xfId="0" applyFont="1" applyFill="1" applyBorder="1" applyAlignment="1" applyProtection="1">
      <alignment horizontal="centerContinuous"/>
      <protection hidden="1"/>
    </xf>
    <xf numFmtId="0" fontId="3" fillId="2" borderId="12" xfId="0" applyFont="1" applyFill="1" applyBorder="1" applyAlignment="1" applyProtection="1">
      <alignment horizontal="centerContinuous"/>
      <protection hidden="1"/>
    </xf>
    <xf numFmtId="164" fontId="3" fillId="3" borderId="29" xfId="0" applyNumberFormat="1" applyFont="1" applyFill="1" applyBorder="1" applyAlignment="1" applyProtection="1">
      <alignment horizontal="center"/>
      <protection hidden="1"/>
    </xf>
    <xf numFmtId="164" fontId="3" fillId="3" borderId="30" xfId="0" applyNumberFormat="1" applyFont="1" applyFill="1" applyBorder="1" applyAlignment="1" applyProtection="1">
      <alignment horizontal="center"/>
      <protection hidden="1"/>
    </xf>
    <xf numFmtId="164" fontId="3" fillId="3" borderId="20" xfId="0" applyNumberFormat="1" applyFont="1" applyFill="1" applyBorder="1" applyAlignment="1" applyProtection="1">
      <alignment horizontal="center"/>
      <protection hidden="1"/>
    </xf>
    <xf numFmtId="164" fontId="3" fillId="3" borderId="31" xfId="0" applyNumberFormat="1" applyFont="1" applyFill="1" applyBorder="1" applyAlignment="1" applyProtection="1">
      <alignment horizontal="center"/>
      <protection hidden="1"/>
    </xf>
    <xf numFmtId="164" fontId="3" fillId="3" borderId="21" xfId="0" applyNumberFormat="1" applyFont="1" applyFill="1" applyBorder="1" applyAlignment="1" applyProtection="1">
      <alignment horizontal="center"/>
      <protection hidden="1"/>
    </xf>
    <xf numFmtId="164" fontId="3" fillId="3" borderId="32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12" fontId="1" fillId="2" borderId="9" xfId="0" applyNumberFormat="1" applyFont="1" applyFill="1" applyBorder="1" applyAlignment="1" applyProtection="1">
      <alignment horizontal="center"/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164" fontId="3" fillId="3" borderId="5" xfId="0" applyNumberFormat="1" applyFont="1" applyFill="1" applyBorder="1" applyAlignment="1" applyProtection="1">
      <alignment horizontal="center"/>
      <protection hidden="1"/>
    </xf>
    <xf numFmtId="164" fontId="3" fillId="3" borderId="25" xfId="0" applyNumberFormat="1" applyFont="1" applyFill="1" applyBorder="1" applyAlignment="1" applyProtection="1">
      <alignment horizontal="center"/>
      <protection hidden="1"/>
    </xf>
    <xf numFmtId="164" fontId="3" fillId="3" borderId="27" xfId="0" applyNumberFormat="1" applyFont="1" applyFill="1" applyBorder="1" applyAlignment="1" applyProtection="1">
      <alignment horizontal="center"/>
      <protection hidden="1"/>
    </xf>
    <xf numFmtId="0" fontId="13" fillId="2" borderId="22" xfId="0" applyFont="1" applyFill="1" applyBorder="1" applyAlignment="1" applyProtection="1">
      <alignment horizontal="center"/>
      <protection hidden="1"/>
    </xf>
    <xf numFmtId="0" fontId="30" fillId="2" borderId="16" xfId="0" applyFont="1" applyFill="1" applyBorder="1" applyAlignment="1" applyProtection="1">
      <alignment horizontal="center"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76200</xdr:rowOff>
    </xdr:from>
    <xdr:to>
      <xdr:col>5</xdr:col>
      <xdr:colOff>533400</xdr:colOff>
      <xdr:row>15</xdr:row>
      <xdr:rowOff>114300</xdr:rowOff>
    </xdr:to>
    <xdr:sp>
      <xdr:nvSpPr>
        <xdr:cNvPr id="1" name="Oval 4"/>
        <xdr:cNvSpPr>
          <a:spLocks/>
        </xdr:cNvSpPr>
      </xdr:nvSpPr>
      <xdr:spPr>
        <a:xfrm>
          <a:off x="3171825" y="1895475"/>
          <a:ext cx="685800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9525</xdr:rowOff>
    </xdr:from>
    <xdr:to>
      <xdr:col>6</xdr:col>
      <xdr:colOff>38100</xdr:colOff>
      <xdr:row>17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3057525" y="2638425"/>
          <a:ext cx="9144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9525</xdr:rowOff>
    </xdr:from>
    <xdr:to>
      <xdr:col>9</xdr:col>
      <xdr:colOff>476250</xdr:colOff>
      <xdr:row>17</xdr:row>
      <xdr:rowOff>28575</xdr:rowOff>
    </xdr:to>
    <xdr:sp>
      <xdr:nvSpPr>
        <xdr:cNvPr id="3" name="Rectangle 6"/>
        <xdr:cNvSpPr>
          <a:spLocks/>
        </xdr:cNvSpPr>
      </xdr:nvSpPr>
      <xdr:spPr>
        <a:xfrm>
          <a:off x="4076700" y="2638425"/>
          <a:ext cx="21621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11</xdr:row>
      <xdr:rowOff>104775</xdr:rowOff>
    </xdr:from>
    <xdr:to>
      <xdr:col>5</xdr:col>
      <xdr:colOff>504825</xdr:colOff>
      <xdr:row>15</xdr:row>
      <xdr:rowOff>85725</xdr:rowOff>
    </xdr:to>
    <xdr:sp>
      <xdr:nvSpPr>
        <xdr:cNvPr id="4" name="Oval 7"/>
        <xdr:cNvSpPr>
          <a:spLocks/>
        </xdr:cNvSpPr>
      </xdr:nvSpPr>
      <xdr:spPr>
        <a:xfrm>
          <a:off x="3200400" y="1924050"/>
          <a:ext cx="628650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85725</xdr:rowOff>
    </xdr:from>
    <xdr:to>
      <xdr:col>5</xdr:col>
      <xdr:colOff>561975</xdr:colOff>
      <xdr:row>16</xdr:row>
      <xdr:rowOff>9525</xdr:rowOff>
    </xdr:to>
    <xdr:sp>
      <xdr:nvSpPr>
        <xdr:cNvPr id="5" name="Line 8"/>
        <xdr:cNvSpPr>
          <a:spLocks/>
        </xdr:cNvSpPr>
      </xdr:nvSpPr>
      <xdr:spPr>
        <a:xfrm>
          <a:off x="3867150" y="2228850"/>
          <a:ext cx="1905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11</xdr:row>
      <xdr:rowOff>57150</xdr:rowOff>
    </xdr:from>
    <xdr:to>
      <xdr:col>5</xdr:col>
      <xdr:colOff>552450</xdr:colOff>
      <xdr:row>15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3152775" y="1876425"/>
          <a:ext cx="723900" cy="723900"/>
        </a:xfrm>
        <a:prstGeom prst="blockArc">
          <a:avLst>
            <a:gd name="adj1" fmla="val -54152189"/>
            <a:gd name="adj2" fmla="val -275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13</xdr:row>
      <xdr:rowOff>85725</xdr:rowOff>
    </xdr:from>
    <xdr:to>
      <xdr:col>4</xdr:col>
      <xdr:colOff>447675</xdr:colOff>
      <xdr:row>16</xdr:row>
      <xdr:rowOff>9525</xdr:rowOff>
    </xdr:to>
    <xdr:sp>
      <xdr:nvSpPr>
        <xdr:cNvPr id="7" name="Line 10"/>
        <xdr:cNvSpPr>
          <a:spLocks/>
        </xdr:cNvSpPr>
      </xdr:nvSpPr>
      <xdr:spPr>
        <a:xfrm flipH="1">
          <a:off x="3143250" y="2228850"/>
          <a:ext cx="1905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76200</xdr:rowOff>
    </xdr:from>
    <xdr:to>
      <xdr:col>9</xdr:col>
      <xdr:colOff>523875</xdr:colOff>
      <xdr:row>9</xdr:row>
      <xdr:rowOff>76200</xdr:rowOff>
    </xdr:to>
    <xdr:sp>
      <xdr:nvSpPr>
        <xdr:cNvPr id="8" name="Line 11"/>
        <xdr:cNvSpPr>
          <a:spLocks/>
        </xdr:cNvSpPr>
      </xdr:nvSpPr>
      <xdr:spPr>
        <a:xfrm>
          <a:off x="4076700" y="15716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9</xdr:row>
      <xdr:rowOff>76200</xdr:rowOff>
    </xdr:from>
    <xdr:to>
      <xdr:col>6</xdr:col>
      <xdr:colOff>19050</xdr:colOff>
      <xdr:row>9</xdr:row>
      <xdr:rowOff>76200</xdr:rowOff>
    </xdr:to>
    <xdr:sp>
      <xdr:nvSpPr>
        <xdr:cNvPr id="9" name="Line 12"/>
        <xdr:cNvSpPr>
          <a:spLocks/>
        </xdr:cNvSpPr>
      </xdr:nvSpPr>
      <xdr:spPr>
        <a:xfrm>
          <a:off x="3076575" y="1571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</xdr:row>
      <xdr:rowOff>85725</xdr:rowOff>
    </xdr:from>
    <xdr:to>
      <xdr:col>9</xdr:col>
      <xdr:colOff>400050</xdr:colOff>
      <xdr:row>11</xdr:row>
      <xdr:rowOff>57150</xdr:rowOff>
    </xdr:to>
    <xdr:sp>
      <xdr:nvSpPr>
        <xdr:cNvPr id="10" name="Rectangle 13"/>
        <xdr:cNvSpPr>
          <a:spLocks/>
        </xdr:cNvSpPr>
      </xdr:nvSpPr>
      <xdr:spPr>
        <a:xfrm>
          <a:off x="4086225" y="1581150"/>
          <a:ext cx="2076450" cy="295275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9</xdr:row>
      <xdr:rowOff>85725</xdr:rowOff>
    </xdr:from>
    <xdr:to>
      <xdr:col>6</xdr:col>
      <xdr:colOff>19050</xdr:colOff>
      <xdr:row>11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3076575" y="1581150"/>
          <a:ext cx="876300" cy="285750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17</xdr:row>
      <xdr:rowOff>57150</xdr:rowOff>
    </xdr:from>
    <xdr:to>
      <xdr:col>4</xdr:col>
      <xdr:colOff>342900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>
          <a:off x="3057525" y="2847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57150</xdr:rowOff>
    </xdr:from>
    <xdr:to>
      <xdr:col>6</xdr:col>
      <xdr:colOff>38100</xdr:colOff>
      <xdr:row>19</xdr:row>
      <xdr:rowOff>0</xdr:rowOff>
    </xdr:to>
    <xdr:sp>
      <xdr:nvSpPr>
        <xdr:cNvPr id="13" name="Line 16"/>
        <xdr:cNvSpPr>
          <a:spLocks/>
        </xdr:cNvSpPr>
      </xdr:nvSpPr>
      <xdr:spPr>
        <a:xfrm>
          <a:off x="3971925" y="2847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17</xdr:row>
      <xdr:rowOff>57150</xdr:rowOff>
    </xdr:from>
    <xdr:to>
      <xdr:col>6</xdr:col>
      <xdr:colOff>142875</xdr:colOff>
      <xdr:row>19</xdr:row>
      <xdr:rowOff>0</xdr:rowOff>
    </xdr:to>
    <xdr:sp>
      <xdr:nvSpPr>
        <xdr:cNvPr id="14" name="Line 17"/>
        <xdr:cNvSpPr>
          <a:spLocks/>
        </xdr:cNvSpPr>
      </xdr:nvSpPr>
      <xdr:spPr>
        <a:xfrm>
          <a:off x="4076700" y="2847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17</xdr:row>
      <xdr:rowOff>57150</xdr:rowOff>
    </xdr:from>
    <xdr:to>
      <xdr:col>9</xdr:col>
      <xdr:colOff>476250</xdr:colOff>
      <xdr:row>19</xdr:row>
      <xdr:rowOff>0</xdr:rowOff>
    </xdr:to>
    <xdr:sp>
      <xdr:nvSpPr>
        <xdr:cNvPr id="15" name="Line 18"/>
        <xdr:cNvSpPr>
          <a:spLocks/>
        </xdr:cNvSpPr>
      </xdr:nvSpPr>
      <xdr:spPr>
        <a:xfrm>
          <a:off x="6238875" y="2847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95250</xdr:rowOff>
    </xdr:from>
    <xdr:to>
      <xdr:col>9</xdr:col>
      <xdr:colOff>476250</xdr:colOff>
      <xdr:row>18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4076700" y="30480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95250</xdr:rowOff>
    </xdr:from>
    <xdr:to>
      <xdr:col>6</xdr:col>
      <xdr:colOff>38100</xdr:colOff>
      <xdr:row>18</xdr:row>
      <xdr:rowOff>95250</xdr:rowOff>
    </xdr:to>
    <xdr:sp>
      <xdr:nvSpPr>
        <xdr:cNvPr id="17" name="Line 20"/>
        <xdr:cNvSpPr>
          <a:spLocks/>
        </xdr:cNvSpPr>
      </xdr:nvSpPr>
      <xdr:spPr>
        <a:xfrm>
          <a:off x="3057525" y="30480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76200</xdr:rowOff>
    </xdr:from>
    <xdr:to>
      <xdr:col>6</xdr:col>
      <xdr:colOff>352425</xdr:colOff>
      <xdr:row>11</xdr:row>
      <xdr:rowOff>76200</xdr:rowOff>
    </xdr:to>
    <xdr:sp>
      <xdr:nvSpPr>
        <xdr:cNvPr id="18" name="Line 21"/>
        <xdr:cNvSpPr>
          <a:spLocks/>
        </xdr:cNvSpPr>
      </xdr:nvSpPr>
      <xdr:spPr>
        <a:xfrm flipH="1">
          <a:off x="3981450" y="1895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114300</xdr:rowOff>
    </xdr:from>
    <xdr:to>
      <xdr:col>6</xdr:col>
      <xdr:colOff>352425</xdr:colOff>
      <xdr:row>15</xdr:row>
      <xdr:rowOff>114300</xdr:rowOff>
    </xdr:to>
    <xdr:sp>
      <xdr:nvSpPr>
        <xdr:cNvPr id="19" name="Line 22"/>
        <xdr:cNvSpPr>
          <a:spLocks/>
        </xdr:cNvSpPr>
      </xdr:nvSpPr>
      <xdr:spPr>
        <a:xfrm flipH="1">
          <a:off x="3981450" y="2581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104775</xdr:rowOff>
    </xdr:from>
    <xdr:to>
      <xdr:col>5</xdr:col>
      <xdr:colOff>190500</xdr:colOff>
      <xdr:row>15</xdr:row>
      <xdr:rowOff>85725</xdr:rowOff>
    </xdr:to>
    <xdr:sp>
      <xdr:nvSpPr>
        <xdr:cNvPr id="20" name="Line 23"/>
        <xdr:cNvSpPr>
          <a:spLocks/>
        </xdr:cNvSpPr>
      </xdr:nvSpPr>
      <xdr:spPr>
        <a:xfrm>
          <a:off x="3514725" y="19240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76200</xdr:rowOff>
    </xdr:from>
    <xdr:to>
      <xdr:col>6</xdr:col>
      <xdr:colOff>171450</xdr:colOff>
      <xdr:row>15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4105275" y="18954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28575</xdr:rowOff>
    </xdr:from>
    <xdr:to>
      <xdr:col>4</xdr:col>
      <xdr:colOff>428625</xdr:colOff>
      <xdr:row>17</xdr:row>
      <xdr:rowOff>0</xdr:rowOff>
    </xdr:to>
    <xdr:sp>
      <xdr:nvSpPr>
        <xdr:cNvPr id="22" name="Line 25"/>
        <xdr:cNvSpPr>
          <a:spLocks/>
        </xdr:cNvSpPr>
      </xdr:nvSpPr>
      <xdr:spPr>
        <a:xfrm flipV="1">
          <a:off x="3143250" y="2657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28575</xdr:rowOff>
    </xdr:from>
    <xdr:to>
      <xdr:col>5</xdr:col>
      <xdr:colOff>561975</xdr:colOff>
      <xdr:row>17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3886200" y="2657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123825</xdr:rowOff>
    </xdr:from>
    <xdr:to>
      <xdr:col>5</xdr:col>
      <xdr:colOff>561975</xdr:colOff>
      <xdr:row>16</xdr:row>
      <xdr:rowOff>123825</xdr:rowOff>
    </xdr:to>
    <xdr:sp>
      <xdr:nvSpPr>
        <xdr:cNvPr id="24" name="Line 27"/>
        <xdr:cNvSpPr>
          <a:spLocks/>
        </xdr:cNvSpPr>
      </xdr:nvSpPr>
      <xdr:spPr>
        <a:xfrm>
          <a:off x="3143250" y="2752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47625</xdr:rowOff>
    </xdr:from>
    <xdr:to>
      <xdr:col>6</xdr:col>
      <xdr:colOff>514350</xdr:colOff>
      <xdr:row>11</xdr:row>
      <xdr:rowOff>47625</xdr:rowOff>
    </xdr:to>
    <xdr:sp>
      <xdr:nvSpPr>
        <xdr:cNvPr id="25" name="Line 28"/>
        <xdr:cNvSpPr>
          <a:spLocks/>
        </xdr:cNvSpPr>
      </xdr:nvSpPr>
      <xdr:spPr>
        <a:xfrm flipV="1">
          <a:off x="4448175" y="1704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10</xdr:row>
      <xdr:rowOff>47625</xdr:rowOff>
    </xdr:from>
    <xdr:to>
      <xdr:col>9</xdr:col>
      <xdr:colOff>114300</xdr:colOff>
      <xdr:row>11</xdr:row>
      <xdr:rowOff>47625</xdr:rowOff>
    </xdr:to>
    <xdr:sp>
      <xdr:nvSpPr>
        <xdr:cNvPr id="26" name="Line 29"/>
        <xdr:cNvSpPr>
          <a:spLocks/>
        </xdr:cNvSpPr>
      </xdr:nvSpPr>
      <xdr:spPr>
        <a:xfrm flipV="1">
          <a:off x="5876925" y="1704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76200</xdr:rowOff>
    </xdr:from>
    <xdr:to>
      <xdr:col>9</xdr:col>
      <xdr:colOff>523875</xdr:colOff>
      <xdr:row>11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6038850" y="1895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9</xdr:row>
      <xdr:rowOff>76200</xdr:rowOff>
    </xdr:from>
    <xdr:to>
      <xdr:col>9</xdr:col>
      <xdr:colOff>438150</xdr:colOff>
      <xdr:row>11</xdr:row>
      <xdr:rowOff>76200</xdr:rowOff>
    </xdr:to>
    <xdr:sp>
      <xdr:nvSpPr>
        <xdr:cNvPr id="28" name="Line 31"/>
        <xdr:cNvSpPr>
          <a:spLocks/>
        </xdr:cNvSpPr>
      </xdr:nvSpPr>
      <xdr:spPr>
        <a:xfrm>
          <a:off x="6200775" y="1571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104775</xdr:rowOff>
    </xdr:from>
    <xdr:to>
      <xdr:col>7</xdr:col>
      <xdr:colOff>247650</xdr:colOff>
      <xdr:row>9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4695825" y="1600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123825</xdr:rowOff>
    </xdr:from>
    <xdr:to>
      <xdr:col>7</xdr:col>
      <xdr:colOff>228600</xdr:colOff>
      <xdr:row>9</xdr:row>
      <xdr:rowOff>123825</xdr:rowOff>
    </xdr:to>
    <xdr:sp>
      <xdr:nvSpPr>
        <xdr:cNvPr id="30" name="Line 33"/>
        <xdr:cNvSpPr>
          <a:spLocks/>
        </xdr:cNvSpPr>
      </xdr:nvSpPr>
      <xdr:spPr>
        <a:xfrm>
          <a:off x="4714875" y="1619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142875</xdr:rowOff>
    </xdr:from>
    <xdr:to>
      <xdr:col>7</xdr:col>
      <xdr:colOff>209550</xdr:colOff>
      <xdr:row>9</xdr:row>
      <xdr:rowOff>142875</xdr:rowOff>
    </xdr:to>
    <xdr:sp>
      <xdr:nvSpPr>
        <xdr:cNvPr id="31" name="Line 34"/>
        <xdr:cNvSpPr>
          <a:spLocks/>
        </xdr:cNvSpPr>
      </xdr:nvSpPr>
      <xdr:spPr>
        <a:xfrm>
          <a:off x="4733925" y="1638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28575</xdr:rowOff>
    </xdr:from>
    <xdr:to>
      <xdr:col>7</xdr:col>
      <xdr:colOff>238125</xdr:colOff>
      <xdr:row>9</xdr:row>
      <xdr:rowOff>76200</xdr:rowOff>
    </xdr:to>
    <xdr:sp>
      <xdr:nvSpPr>
        <xdr:cNvPr id="32" name="AutoShape 35"/>
        <xdr:cNvSpPr>
          <a:spLocks/>
        </xdr:cNvSpPr>
      </xdr:nvSpPr>
      <xdr:spPr>
        <a:xfrm rot="10800000">
          <a:off x="4714875" y="1524000"/>
          <a:ext cx="66675" cy="476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95250</xdr:rowOff>
    </xdr:from>
    <xdr:to>
      <xdr:col>5</xdr:col>
      <xdr:colOff>180975</xdr:colOff>
      <xdr:row>8</xdr:row>
      <xdr:rowOff>95250</xdr:rowOff>
    </xdr:to>
    <xdr:sp>
      <xdr:nvSpPr>
        <xdr:cNvPr id="33" name="Line 36"/>
        <xdr:cNvSpPr>
          <a:spLocks/>
        </xdr:cNvSpPr>
      </xdr:nvSpPr>
      <xdr:spPr>
        <a:xfrm flipH="1">
          <a:off x="3400425" y="1428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95250</xdr:rowOff>
    </xdr:from>
    <xdr:to>
      <xdr:col>5</xdr:col>
      <xdr:colOff>85725</xdr:colOff>
      <xdr:row>9</xdr:row>
      <xdr:rowOff>76200</xdr:rowOff>
    </xdr:to>
    <xdr:sp>
      <xdr:nvSpPr>
        <xdr:cNvPr id="34" name="Line 37"/>
        <xdr:cNvSpPr>
          <a:spLocks/>
        </xdr:cNvSpPr>
      </xdr:nvSpPr>
      <xdr:spPr>
        <a:xfrm flipH="1">
          <a:off x="3343275" y="142875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17</xdr:row>
      <xdr:rowOff>28575</xdr:rowOff>
    </xdr:from>
    <xdr:to>
      <xdr:col>9</xdr:col>
      <xdr:colOff>619125</xdr:colOff>
      <xdr:row>17</xdr:row>
      <xdr:rowOff>28575</xdr:rowOff>
    </xdr:to>
    <xdr:sp>
      <xdr:nvSpPr>
        <xdr:cNvPr id="35" name="Line 38"/>
        <xdr:cNvSpPr>
          <a:spLocks/>
        </xdr:cNvSpPr>
      </xdr:nvSpPr>
      <xdr:spPr>
        <a:xfrm>
          <a:off x="6267450" y="2819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16</xdr:row>
      <xdr:rowOff>9525</xdr:rowOff>
    </xdr:from>
    <xdr:to>
      <xdr:col>9</xdr:col>
      <xdr:colOff>619125</xdr:colOff>
      <xdr:row>16</xdr:row>
      <xdr:rowOff>9525</xdr:rowOff>
    </xdr:to>
    <xdr:sp>
      <xdr:nvSpPr>
        <xdr:cNvPr id="36" name="Line 39"/>
        <xdr:cNvSpPr>
          <a:spLocks/>
        </xdr:cNvSpPr>
      </xdr:nvSpPr>
      <xdr:spPr>
        <a:xfrm>
          <a:off x="6267450" y="2638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16</xdr:row>
      <xdr:rowOff>9525</xdr:rowOff>
    </xdr:from>
    <xdr:to>
      <xdr:col>9</xdr:col>
      <xdr:colOff>561975</xdr:colOff>
      <xdr:row>17</xdr:row>
      <xdr:rowOff>28575</xdr:rowOff>
    </xdr:to>
    <xdr:sp>
      <xdr:nvSpPr>
        <xdr:cNvPr id="37" name="Line 40"/>
        <xdr:cNvSpPr>
          <a:spLocks/>
        </xdr:cNvSpPr>
      </xdr:nvSpPr>
      <xdr:spPr>
        <a:xfrm flipV="1">
          <a:off x="63246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15</xdr:row>
      <xdr:rowOff>123825</xdr:rowOff>
    </xdr:from>
    <xdr:to>
      <xdr:col>5</xdr:col>
      <xdr:colOff>447675</xdr:colOff>
      <xdr:row>16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3257550" y="2590800"/>
          <a:ext cx="514350" cy="38100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123825</xdr:rowOff>
    </xdr:from>
    <xdr:to>
      <xdr:col>9</xdr:col>
      <xdr:colOff>457200</xdr:colOff>
      <xdr:row>16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4095750" y="2590800"/>
          <a:ext cx="2124075" cy="38100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38100</xdr:rowOff>
    </xdr:from>
    <xdr:to>
      <xdr:col>6</xdr:col>
      <xdr:colOff>19050</xdr:colOff>
      <xdr:row>17</xdr:row>
      <xdr:rowOff>142875</xdr:rowOff>
    </xdr:to>
    <xdr:sp>
      <xdr:nvSpPr>
        <xdr:cNvPr id="40" name="Rectangle 43"/>
        <xdr:cNvSpPr>
          <a:spLocks/>
        </xdr:cNvSpPr>
      </xdr:nvSpPr>
      <xdr:spPr>
        <a:xfrm>
          <a:off x="3076575" y="2828925"/>
          <a:ext cx="876300" cy="104775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17</xdr:row>
      <xdr:rowOff>38100</xdr:rowOff>
    </xdr:from>
    <xdr:to>
      <xdr:col>9</xdr:col>
      <xdr:colOff>466725</xdr:colOff>
      <xdr:row>17</xdr:row>
      <xdr:rowOff>142875</xdr:rowOff>
    </xdr:to>
    <xdr:sp>
      <xdr:nvSpPr>
        <xdr:cNvPr id="41" name="Rectangle 44"/>
        <xdr:cNvSpPr>
          <a:spLocks/>
        </xdr:cNvSpPr>
      </xdr:nvSpPr>
      <xdr:spPr>
        <a:xfrm>
          <a:off x="4086225" y="2828925"/>
          <a:ext cx="2143125" cy="104775"/>
        </a:xfrm>
        <a:prstGeom prst="rect">
          <a:avLst/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76200</xdr:rowOff>
    </xdr:from>
    <xdr:to>
      <xdr:col>7</xdr:col>
      <xdr:colOff>171450</xdr:colOff>
      <xdr:row>15</xdr:row>
      <xdr:rowOff>114300</xdr:rowOff>
    </xdr:to>
    <xdr:sp>
      <xdr:nvSpPr>
        <xdr:cNvPr id="42" name="Oval 45"/>
        <xdr:cNvSpPr>
          <a:spLocks/>
        </xdr:cNvSpPr>
      </xdr:nvSpPr>
      <xdr:spPr>
        <a:xfrm rot="5400000">
          <a:off x="4171950" y="1895475"/>
          <a:ext cx="542925" cy="6858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11</xdr:row>
      <xdr:rowOff>76200</xdr:rowOff>
    </xdr:from>
    <xdr:to>
      <xdr:col>9</xdr:col>
      <xdr:colOff>390525</xdr:colOff>
      <xdr:row>15</xdr:row>
      <xdr:rowOff>114300</xdr:rowOff>
    </xdr:to>
    <xdr:sp>
      <xdr:nvSpPr>
        <xdr:cNvPr id="43" name="Oval 46"/>
        <xdr:cNvSpPr>
          <a:spLocks/>
        </xdr:cNvSpPr>
      </xdr:nvSpPr>
      <xdr:spPr>
        <a:xfrm rot="5400000">
          <a:off x="5610225" y="1895475"/>
          <a:ext cx="542925" cy="6858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11</xdr:row>
      <xdr:rowOff>76200</xdr:rowOff>
    </xdr:from>
    <xdr:to>
      <xdr:col>9</xdr:col>
      <xdr:colOff>114300</xdr:colOff>
      <xdr:row>15</xdr:row>
      <xdr:rowOff>114300</xdr:rowOff>
    </xdr:to>
    <xdr:sp>
      <xdr:nvSpPr>
        <xdr:cNvPr id="44" name="Rectangle 47"/>
        <xdr:cNvSpPr>
          <a:spLocks/>
        </xdr:cNvSpPr>
      </xdr:nvSpPr>
      <xdr:spPr>
        <a:xfrm>
          <a:off x="4448175" y="1895475"/>
          <a:ext cx="1428750" cy="685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85725</xdr:rowOff>
    </xdr:from>
    <xdr:to>
      <xdr:col>7</xdr:col>
      <xdr:colOff>9525</xdr:colOff>
      <xdr:row>16</xdr:row>
      <xdr:rowOff>9525</xdr:rowOff>
    </xdr:to>
    <xdr:sp>
      <xdr:nvSpPr>
        <xdr:cNvPr id="45" name="Line 48"/>
        <xdr:cNvSpPr>
          <a:spLocks/>
        </xdr:cNvSpPr>
      </xdr:nvSpPr>
      <xdr:spPr>
        <a:xfrm>
          <a:off x="4552950" y="2228850"/>
          <a:ext cx="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85725</xdr:rowOff>
    </xdr:from>
    <xdr:to>
      <xdr:col>8</xdr:col>
      <xdr:colOff>9525</xdr:colOff>
      <xdr:row>16</xdr:row>
      <xdr:rowOff>9525</xdr:rowOff>
    </xdr:to>
    <xdr:sp>
      <xdr:nvSpPr>
        <xdr:cNvPr id="46" name="Line 49"/>
        <xdr:cNvSpPr>
          <a:spLocks/>
        </xdr:cNvSpPr>
      </xdr:nvSpPr>
      <xdr:spPr>
        <a:xfrm>
          <a:off x="5162550" y="2228850"/>
          <a:ext cx="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85725</xdr:rowOff>
    </xdr:from>
    <xdr:to>
      <xdr:col>9</xdr:col>
      <xdr:colOff>9525</xdr:colOff>
      <xdr:row>16</xdr:row>
      <xdr:rowOff>9525</xdr:rowOff>
    </xdr:to>
    <xdr:sp>
      <xdr:nvSpPr>
        <xdr:cNvPr id="47" name="Line 50"/>
        <xdr:cNvSpPr>
          <a:spLocks/>
        </xdr:cNvSpPr>
      </xdr:nvSpPr>
      <xdr:spPr>
        <a:xfrm>
          <a:off x="5772150" y="2228850"/>
          <a:ext cx="0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57150</xdr:rowOff>
    </xdr:from>
    <xdr:to>
      <xdr:col>7</xdr:col>
      <xdr:colOff>9525</xdr:colOff>
      <xdr:row>13</xdr:row>
      <xdr:rowOff>95250</xdr:rowOff>
    </xdr:to>
    <xdr:sp>
      <xdr:nvSpPr>
        <xdr:cNvPr id="48" name="Line 51"/>
        <xdr:cNvSpPr>
          <a:spLocks/>
        </xdr:cNvSpPr>
      </xdr:nvSpPr>
      <xdr:spPr>
        <a:xfrm>
          <a:off x="4552950" y="1876425"/>
          <a:ext cx="0" cy="36195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57150</xdr:rowOff>
    </xdr:from>
    <xdr:to>
      <xdr:col>8</xdr:col>
      <xdr:colOff>9525</xdr:colOff>
      <xdr:row>13</xdr:row>
      <xdr:rowOff>95250</xdr:rowOff>
    </xdr:to>
    <xdr:sp>
      <xdr:nvSpPr>
        <xdr:cNvPr id="49" name="Line 52"/>
        <xdr:cNvSpPr>
          <a:spLocks/>
        </xdr:cNvSpPr>
      </xdr:nvSpPr>
      <xdr:spPr>
        <a:xfrm>
          <a:off x="5162550" y="1876425"/>
          <a:ext cx="0" cy="36195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57150</xdr:rowOff>
    </xdr:from>
    <xdr:to>
      <xdr:col>9</xdr:col>
      <xdr:colOff>9525</xdr:colOff>
      <xdr:row>13</xdr:row>
      <xdr:rowOff>95250</xdr:rowOff>
    </xdr:to>
    <xdr:sp>
      <xdr:nvSpPr>
        <xdr:cNvPr id="50" name="Line 53"/>
        <xdr:cNvSpPr>
          <a:spLocks/>
        </xdr:cNvSpPr>
      </xdr:nvSpPr>
      <xdr:spPr>
        <a:xfrm>
          <a:off x="5772150" y="1876425"/>
          <a:ext cx="0" cy="36195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47625</xdr:rowOff>
    </xdr:from>
    <xdr:to>
      <xdr:col>7</xdr:col>
      <xdr:colOff>142875</xdr:colOff>
      <xdr:row>13</xdr:row>
      <xdr:rowOff>47625</xdr:rowOff>
    </xdr:to>
    <xdr:sp>
      <xdr:nvSpPr>
        <xdr:cNvPr id="51" name="Line 54"/>
        <xdr:cNvSpPr>
          <a:spLocks/>
        </xdr:cNvSpPr>
      </xdr:nvSpPr>
      <xdr:spPr>
        <a:xfrm flipH="1">
          <a:off x="4581525" y="219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13</xdr:row>
      <xdr:rowOff>152400</xdr:rowOff>
    </xdr:from>
    <xdr:to>
      <xdr:col>8</xdr:col>
      <xdr:colOff>0</xdr:colOff>
      <xdr:row>13</xdr:row>
      <xdr:rowOff>152400</xdr:rowOff>
    </xdr:to>
    <xdr:sp>
      <xdr:nvSpPr>
        <xdr:cNvPr id="52" name="Line 55"/>
        <xdr:cNvSpPr>
          <a:spLocks/>
        </xdr:cNvSpPr>
      </xdr:nvSpPr>
      <xdr:spPr>
        <a:xfrm>
          <a:off x="5048250" y="2295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133350</xdr:rowOff>
    </xdr:from>
    <xdr:to>
      <xdr:col>7</xdr:col>
      <xdr:colOff>514350</xdr:colOff>
      <xdr:row>13</xdr:row>
      <xdr:rowOff>114300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4686300" y="21145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Straps</a:t>
          </a:r>
        </a:p>
      </xdr:txBody>
    </xdr:sp>
    <xdr:clientData/>
  </xdr:twoCellAnchor>
  <xdr:twoCellAnchor>
    <xdr:from>
      <xdr:col>7</xdr:col>
      <xdr:colOff>552450</xdr:colOff>
      <xdr:row>17</xdr:row>
      <xdr:rowOff>123825</xdr:rowOff>
    </xdr:from>
    <xdr:to>
      <xdr:col>8</xdr:col>
      <xdr:colOff>152400</xdr:colOff>
      <xdr:row>18</xdr:row>
      <xdr:rowOff>95250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5095875" y="29146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5</xdr:col>
      <xdr:colOff>114300</xdr:colOff>
      <xdr:row>17</xdr:row>
      <xdr:rowOff>123825</xdr:rowOff>
    </xdr:from>
    <xdr:to>
      <xdr:col>5</xdr:col>
      <xdr:colOff>333375</xdr:colOff>
      <xdr:row>18</xdr:row>
      <xdr:rowOff>95250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3438525" y="2914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Bf</a:t>
          </a:r>
        </a:p>
      </xdr:txBody>
    </xdr:sp>
    <xdr:clientData/>
  </xdr:twoCellAnchor>
  <xdr:twoCellAnchor>
    <xdr:from>
      <xdr:col>5</xdr:col>
      <xdr:colOff>19050</xdr:colOff>
      <xdr:row>16</xdr:row>
      <xdr:rowOff>0</xdr:rowOff>
    </xdr:from>
    <xdr:to>
      <xdr:col>5</xdr:col>
      <xdr:colOff>438150</xdr:colOff>
      <xdr:row>16</xdr:row>
      <xdr:rowOff>152400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3343275" y="26289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OD+6"</a:t>
          </a:r>
        </a:p>
      </xdr:txBody>
    </xdr:sp>
    <xdr:clientData/>
  </xdr:twoCellAnchor>
  <xdr:twoCellAnchor>
    <xdr:from>
      <xdr:col>5</xdr:col>
      <xdr:colOff>57150</xdr:colOff>
      <xdr:row>13</xdr:row>
      <xdr:rowOff>9525</xdr:rowOff>
    </xdr:from>
    <xdr:to>
      <xdr:col>5</xdr:col>
      <xdr:colOff>228600</xdr:colOff>
      <xdr:row>14</xdr:row>
      <xdr:rowOff>19050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3381375" y="215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ID</a:t>
          </a:r>
        </a:p>
      </xdr:txBody>
    </xdr:sp>
    <xdr:clientData/>
  </xdr:twoCellAnchor>
  <xdr:twoCellAnchor>
    <xdr:from>
      <xdr:col>7</xdr:col>
      <xdr:colOff>542925</xdr:colOff>
      <xdr:row>9</xdr:row>
      <xdr:rowOff>133350</xdr:rowOff>
    </xdr:from>
    <xdr:to>
      <xdr:col>8</xdr:col>
      <xdr:colOff>152400</xdr:colOff>
      <xdr:row>10</xdr:row>
      <xdr:rowOff>123825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5086350" y="1628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Lc</a:t>
          </a:r>
        </a:p>
      </xdr:txBody>
    </xdr:sp>
    <xdr:clientData/>
  </xdr:twoCellAnchor>
  <xdr:twoCellAnchor>
    <xdr:from>
      <xdr:col>9</xdr:col>
      <xdr:colOff>457200</xdr:colOff>
      <xdr:row>10</xdr:row>
      <xdr:rowOff>9525</xdr:rowOff>
    </xdr:from>
    <xdr:to>
      <xdr:col>9</xdr:col>
      <xdr:colOff>609600</xdr:colOff>
      <xdr:row>11</xdr:row>
      <xdr:rowOff>9525</xdr:rowOff>
    </xdr:to>
    <xdr:sp>
      <xdr:nvSpPr>
        <xdr:cNvPr id="59" name="TextBox 62"/>
        <xdr:cNvSpPr txBox="1">
          <a:spLocks noChangeArrowheads="1"/>
        </xdr:cNvSpPr>
      </xdr:nvSpPr>
      <xdr:spPr>
        <a:xfrm>
          <a:off x="6219825" y="16668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381000</xdr:colOff>
      <xdr:row>14</xdr:row>
      <xdr:rowOff>152400</xdr:rowOff>
    </xdr:from>
    <xdr:to>
      <xdr:col>9</xdr:col>
      <xdr:colOff>552450</xdr:colOff>
      <xdr:row>15</xdr:row>
      <xdr:rowOff>152400</xdr:rowOff>
    </xdr:to>
    <xdr:sp>
      <xdr:nvSpPr>
        <xdr:cNvPr id="60" name="TextBox 63"/>
        <xdr:cNvSpPr txBox="1">
          <a:spLocks noChangeArrowheads="1"/>
        </xdr:cNvSpPr>
      </xdr:nvSpPr>
      <xdr:spPr>
        <a:xfrm>
          <a:off x="6143625" y="24574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Tf</a:t>
          </a:r>
        </a:p>
      </xdr:txBody>
    </xdr:sp>
    <xdr:clientData/>
  </xdr:twoCellAnchor>
  <xdr:twoCellAnchor>
    <xdr:from>
      <xdr:col>6</xdr:col>
      <xdr:colOff>257175</xdr:colOff>
      <xdr:row>11</xdr:row>
      <xdr:rowOff>104775</xdr:rowOff>
    </xdr:from>
    <xdr:to>
      <xdr:col>6</xdr:col>
      <xdr:colOff>514350</xdr:colOff>
      <xdr:row>15</xdr:row>
      <xdr:rowOff>85725</xdr:rowOff>
    </xdr:to>
    <xdr:sp>
      <xdr:nvSpPr>
        <xdr:cNvPr id="61" name="Arc 64"/>
        <xdr:cNvSpPr>
          <a:spLocks/>
        </xdr:cNvSpPr>
      </xdr:nvSpPr>
      <xdr:spPr>
        <a:xfrm rot="16200000">
          <a:off x="4191000" y="1924050"/>
          <a:ext cx="257175" cy="628650"/>
        </a:xfrm>
        <a:prstGeom prst="arc">
          <a:avLst>
            <a:gd name="adj1" fmla="val -51480143"/>
            <a:gd name="adj2" fmla="val -3290837"/>
            <a:gd name="adj3" fmla="val 48328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11</xdr:row>
      <xdr:rowOff>104775</xdr:rowOff>
    </xdr:from>
    <xdr:to>
      <xdr:col>9</xdr:col>
      <xdr:colOff>371475</xdr:colOff>
      <xdr:row>15</xdr:row>
      <xdr:rowOff>85725</xdr:rowOff>
    </xdr:to>
    <xdr:sp>
      <xdr:nvSpPr>
        <xdr:cNvPr id="62" name="Arc 65"/>
        <xdr:cNvSpPr>
          <a:spLocks/>
        </xdr:cNvSpPr>
      </xdr:nvSpPr>
      <xdr:spPr>
        <a:xfrm rot="5400000">
          <a:off x="5876925" y="1924050"/>
          <a:ext cx="257175" cy="628650"/>
        </a:xfrm>
        <a:prstGeom prst="arc">
          <a:avLst>
            <a:gd name="adj1" fmla="val -51480143"/>
            <a:gd name="adj2" fmla="val -3290837"/>
            <a:gd name="adj3" fmla="val 48328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11</xdr:row>
      <xdr:rowOff>95250</xdr:rowOff>
    </xdr:from>
    <xdr:to>
      <xdr:col>9</xdr:col>
      <xdr:colOff>114300</xdr:colOff>
      <xdr:row>11</xdr:row>
      <xdr:rowOff>95250</xdr:rowOff>
    </xdr:to>
    <xdr:sp>
      <xdr:nvSpPr>
        <xdr:cNvPr id="63" name="Line 66"/>
        <xdr:cNvSpPr>
          <a:spLocks/>
        </xdr:cNvSpPr>
      </xdr:nvSpPr>
      <xdr:spPr>
        <a:xfrm>
          <a:off x="4448175" y="1914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95250</xdr:rowOff>
    </xdr:from>
    <xdr:to>
      <xdr:col>9</xdr:col>
      <xdr:colOff>114300</xdr:colOff>
      <xdr:row>15</xdr:row>
      <xdr:rowOff>95250</xdr:rowOff>
    </xdr:to>
    <xdr:sp>
      <xdr:nvSpPr>
        <xdr:cNvPr id="64" name="Line 67"/>
        <xdr:cNvSpPr>
          <a:spLocks/>
        </xdr:cNvSpPr>
      </xdr:nvSpPr>
      <xdr:spPr>
        <a:xfrm>
          <a:off x="4448175" y="2562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9525</xdr:rowOff>
    </xdr:from>
    <xdr:to>
      <xdr:col>6</xdr:col>
      <xdr:colOff>228600</xdr:colOff>
      <xdr:row>14</xdr:row>
      <xdr:rowOff>19050</xdr:rowOff>
    </xdr:to>
    <xdr:sp>
      <xdr:nvSpPr>
        <xdr:cNvPr id="65" name="TextBox 68"/>
        <xdr:cNvSpPr txBox="1">
          <a:spLocks noChangeArrowheads="1"/>
        </xdr:cNvSpPr>
      </xdr:nvSpPr>
      <xdr:spPr>
        <a:xfrm>
          <a:off x="3914775" y="215265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OD</a:t>
          </a:r>
        </a:p>
      </xdr:txBody>
    </xdr:sp>
    <xdr:clientData/>
  </xdr:twoCellAnchor>
  <xdr:twoCellAnchor>
    <xdr:from>
      <xdr:col>9</xdr:col>
      <xdr:colOff>114300</xdr:colOff>
      <xdr:row>13</xdr:row>
      <xdr:rowOff>95250</xdr:rowOff>
    </xdr:from>
    <xdr:to>
      <xdr:col>9</xdr:col>
      <xdr:colOff>390525</xdr:colOff>
      <xdr:row>13</xdr:row>
      <xdr:rowOff>95250</xdr:rowOff>
    </xdr:to>
    <xdr:sp>
      <xdr:nvSpPr>
        <xdr:cNvPr id="66" name="Line 69"/>
        <xdr:cNvSpPr>
          <a:spLocks/>
        </xdr:cNvSpPr>
      </xdr:nvSpPr>
      <xdr:spPr>
        <a:xfrm flipV="1">
          <a:off x="5876925" y="2238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123825</xdr:rowOff>
    </xdr:from>
    <xdr:to>
      <xdr:col>9</xdr:col>
      <xdr:colOff>361950</xdr:colOff>
      <xdr:row>13</xdr:row>
      <xdr:rowOff>133350</xdr:rowOff>
    </xdr:to>
    <xdr:sp>
      <xdr:nvSpPr>
        <xdr:cNvPr id="67" name="TextBox 70"/>
        <xdr:cNvSpPr txBox="1">
          <a:spLocks noChangeArrowheads="1"/>
        </xdr:cNvSpPr>
      </xdr:nvSpPr>
      <xdr:spPr>
        <a:xfrm>
          <a:off x="5934075" y="21050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</a:t>
          </a:r>
        </a:p>
      </xdr:txBody>
    </xdr:sp>
    <xdr:clientData/>
  </xdr:twoCellAnchor>
  <xdr:twoCellAnchor>
    <xdr:from>
      <xdr:col>6</xdr:col>
      <xdr:colOff>238125</xdr:colOff>
      <xdr:row>13</xdr:row>
      <xdr:rowOff>95250</xdr:rowOff>
    </xdr:from>
    <xdr:to>
      <xdr:col>6</xdr:col>
      <xdr:colOff>514350</xdr:colOff>
      <xdr:row>13</xdr:row>
      <xdr:rowOff>95250</xdr:rowOff>
    </xdr:to>
    <xdr:sp>
      <xdr:nvSpPr>
        <xdr:cNvPr id="68" name="Line 71"/>
        <xdr:cNvSpPr>
          <a:spLocks/>
        </xdr:cNvSpPr>
      </xdr:nvSpPr>
      <xdr:spPr>
        <a:xfrm>
          <a:off x="4171950" y="2238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12</xdr:row>
      <xdr:rowOff>123825</xdr:rowOff>
    </xdr:from>
    <xdr:to>
      <xdr:col>6</xdr:col>
      <xdr:colOff>495300</xdr:colOff>
      <xdr:row>13</xdr:row>
      <xdr:rowOff>123825</xdr:rowOff>
    </xdr:to>
    <xdr:sp>
      <xdr:nvSpPr>
        <xdr:cNvPr id="69" name="TextBox 72"/>
        <xdr:cNvSpPr txBox="1">
          <a:spLocks noChangeArrowheads="1"/>
        </xdr:cNvSpPr>
      </xdr:nvSpPr>
      <xdr:spPr>
        <a:xfrm>
          <a:off x="4238625" y="2105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</a:t>
          </a:r>
        </a:p>
      </xdr:txBody>
    </xdr:sp>
    <xdr:clientData/>
  </xdr:twoCellAnchor>
  <xdr:twoCellAnchor>
    <xdr:from>
      <xdr:col>7</xdr:col>
      <xdr:colOff>66675</xdr:colOff>
      <xdr:row>8</xdr:row>
      <xdr:rowOff>38100</xdr:rowOff>
    </xdr:from>
    <xdr:to>
      <xdr:col>7</xdr:col>
      <xdr:colOff>352425</xdr:colOff>
      <xdr:row>9</xdr:row>
      <xdr:rowOff>57150</xdr:rowOff>
    </xdr:to>
    <xdr:sp>
      <xdr:nvSpPr>
        <xdr:cNvPr id="70" name="TextBox 73"/>
        <xdr:cNvSpPr txBox="1">
          <a:spLocks noChangeArrowheads="1"/>
        </xdr:cNvSpPr>
      </xdr:nvSpPr>
      <xdr:spPr>
        <a:xfrm>
          <a:off x="4610100" y="1371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W.T.</a:t>
          </a:r>
        </a:p>
      </xdr:txBody>
    </xdr:sp>
    <xdr:clientData/>
  </xdr:twoCellAnchor>
  <xdr:twoCellAnchor>
    <xdr:from>
      <xdr:col>5</xdr:col>
      <xdr:colOff>200025</xdr:colOff>
      <xdr:row>8</xdr:row>
      <xdr:rowOff>19050</xdr:rowOff>
    </xdr:from>
    <xdr:to>
      <xdr:col>5</xdr:col>
      <xdr:colOff>552450</xdr:colOff>
      <xdr:row>9</xdr:row>
      <xdr:rowOff>19050</xdr:rowOff>
    </xdr:to>
    <xdr:sp>
      <xdr:nvSpPr>
        <xdr:cNvPr id="71" name="TextBox 74"/>
        <xdr:cNvSpPr txBox="1">
          <a:spLocks noChangeArrowheads="1"/>
        </xdr:cNvSpPr>
      </xdr:nvSpPr>
      <xdr:spPr>
        <a:xfrm>
          <a:off x="3524250" y="13525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Grade</a:t>
          </a:r>
        </a:p>
      </xdr:txBody>
    </xdr:sp>
    <xdr:clientData/>
  </xdr:twoCellAnchor>
  <xdr:twoCellAnchor>
    <xdr:from>
      <xdr:col>7</xdr:col>
      <xdr:colOff>114300</xdr:colOff>
      <xdr:row>13</xdr:row>
      <xdr:rowOff>76200</xdr:rowOff>
    </xdr:from>
    <xdr:to>
      <xdr:col>7</xdr:col>
      <xdr:colOff>533400</xdr:colOff>
      <xdr:row>14</xdr:row>
      <xdr:rowOff>38100</xdr:rowOff>
    </xdr:to>
    <xdr:sp>
      <xdr:nvSpPr>
        <xdr:cNvPr id="72" name="TextBox 75"/>
        <xdr:cNvSpPr txBox="1">
          <a:spLocks noChangeArrowheads="1"/>
        </xdr:cNvSpPr>
      </xdr:nvSpPr>
      <xdr:spPr>
        <a:xfrm>
          <a:off x="4657725" y="2219325"/>
          <a:ext cx="419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or Rods</a:t>
          </a:r>
        </a:p>
      </xdr:txBody>
    </xdr:sp>
    <xdr:clientData/>
  </xdr:twoCellAnchor>
  <xdr:twoCellAnchor>
    <xdr:from>
      <xdr:col>8</xdr:col>
      <xdr:colOff>161925</xdr:colOff>
      <xdr:row>11</xdr:row>
      <xdr:rowOff>19050</xdr:rowOff>
    </xdr:from>
    <xdr:to>
      <xdr:col>8</xdr:col>
      <xdr:colOff>352425</xdr:colOff>
      <xdr:row>11</xdr:row>
      <xdr:rowOff>133350</xdr:rowOff>
    </xdr:to>
    <xdr:sp>
      <xdr:nvSpPr>
        <xdr:cNvPr id="73" name="Oval 78"/>
        <xdr:cNvSpPr>
          <a:spLocks/>
        </xdr:cNvSpPr>
      </xdr:nvSpPr>
      <xdr:spPr>
        <a:xfrm>
          <a:off x="5314950" y="1838325"/>
          <a:ext cx="190500" cy="1143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104775</xdr:rowOff>
    </xdr:from>
    <xdr:to>
      <xdr:col>8</xdr:col>
      <xdr:colOff>352425</xdr:colOff>
      <xdr:row>11</xdr:row>
      <xdr:rowOff>76200</xdr:rowOff>
    </xdr:to>
    <xdr:sp>
      <xdr:nvSpPr>
        <xdr:cNvPr id="74" name="Rectangle 79"/>
        <xdr:cNvSpPr>
          <a:spLocks/>
        </xdr:cNvSpPr>
      </xdr:nvSpPr>
      <xdr:spPr>
        <a:xfrm>
          <a:off x="5314950" y="1600200"/>
          <a:ext cx="190500" cy="29527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104775</xdr:rowOff>
    </xdr:from>
    <xdr:to>
      <xdr:col>9</xdr:col>
      <xdr:colOff>114300</xdr:colOff>
      <xdr:row>10</xdr:row>
      <xdr:rowOff>104775</xdr:rowOff>
    </xdr:to>
    <xdr:sp>
      <xdr:nvSpPr>
        <xdr:cNvPr id="75" name="Line 80"/>
        <xdr:cNvSpPr>
          <a:spLocks/>
        </xdr:cNvSpPr>
      </xdr:nvSpPr>
      <xdr:spPr>
        <a:xfrm>
          <a:off x="4448175" y="1762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8</xdr:row>
      <xdr:rowOff>19050</xdr:rowOff>
    </xdr:from>
    <xdr:to>
      <xdr:col>9</xdr:col>
      <xdr:colOff>133350</xdr:colOff>
      <xdr:row>9</xdr:row>
      <xdr:rowOff>19050</xdr:rowOff>
    </xdr:to>
    <xdr:sp>
      <xdr:nvSpPr>
        <xdr:cNvPr id="76" name="TextBox 81"/>
        <xdr:cNvSpPr txBox="1">
          <a:spLocks noChangeArrowheads="1"/>
        </xdr:cNvSpPr>
      </xdr:nvSpPr>
      <xdr:spPr>
        <a:xfrm>
          <a:off x="5600700" y="13525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Riser</a:t>
          </a:r>
        </a:p>
      </xdr:txBody>
    </xdr:sp>
    <xdr:clientData/>
  </xdr:twoCellAnchor>
  <xdr:twoCellAnchor>
    <xdr:from>
      <xdr:col>8</xdr:col>
      <xdr:colOff>257175</xdr:colOff>
      <xdr:row>8</xdr:row>
      <xdr:rowOff>95250</xdr:rowOff>
    </xdr:from>
    <xdr:to>
      <xdr:col>8</xdr:col>
      <xdr:colOff>323850</xdr:colOff>
      <xdr:row>9</xdr:row>
      <xdr:rowOff>76200</xdr:rowOff>
    </xdr:to>
    <xdr:sp>
      <xdr:nvSpPr>
        <xdr:cNvPr id="77" name="Line 82"/>
        <xdr:cNvSpPr>
          <a:spLocks/>
        </xdr:cNvSpPr>
      </xdr:nvSpPr>
      <xdr:spPr>
        <a:xfrm flipH="1">
          <a:off x="5410200" y="142875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95250</xdr:rowOff>
    </xdr:from>
    <xdr:to>
      <xdr:col>8</xdr:col>
      <xdr:colOff>428625</xdr:colOff>
      <xdr:row>8</xdr:row>
      <xdr:rowOff>95250</xdr:rowOff>
    </xdr:to>
    <xdr:sp>
      <xdr:nvSpPr>
        <xdr:cNvPr id="78" name="Line 83"/>
        <xdr:cNvSpPr>
          <a:spLocks/>
        </xdr:cNvSpPr>
      </xdr:nvSpPr>
      <xdr:spPr>
        <a:xfrm>
          <a:off x="5476875" y="1428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76200</xdr:rowOff>
    </xdr:from>
    <xdr:to>
      <xdr:col>8</xdr:col>
      <xdr:colOff>342900</xdr:colOff>
      <xdr:row>11</xdr:row>
      <xdr:rowOff>76200</xdr:rowOff>
    </xdr:to>
    <xdr:sp>
      <xdr:nvSpPr>
        <xdr:cNvPr id="79" name="Line 84"/>
        <xdr:cNvSpPr>
          <a:spLocks/>
        </xdr:cNvSpPr>
      </xdr:nvSpPr>
      <xdr:spPr>
        <a:xfrm>
          <a:off x="5324475" y="1895475"/>
          <a:ext cx="1714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114300</xdr:rowOff>
    </xdr:from>
    <xdr:to>
      <xdr:col>9</xdr:col>
      <xdr:colOff>504825</xdr:colOff>
      <xdr:row>19</xdr:row>
      <xdr:rowOff>104775</xdr:rowOff>
    </xdr:to>
    <xdr:sp>
      <xdr:nvSpPr>
        <xdr:cNvPr id="80" name="TextBox 85"/>
        <xdr:cNvSpPr txBox="1">
          <a:spLocks noChangeArrowheads="1"/>
        </xdr:cNvSpPr>
      </xdr:nvSpPr>
      <xdr:spPr>
        <a:xfrm>
          <a:off x="5438775" y="3067050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1' thk. sand bed</a:t>
          </a:r>
        </a:p>
      </xdr:txBody>
    </xdr:sp>
    <xdr:clientData/>
  </xdr:twoCellAnchor>
  <xdr:twoCellAnchor>
    <xdr:from>
      <xdr:col>8</xdr:col>
      <xdr:colOff>200025</xdr:colOff>
      <xdr:row>19</xdr:row>
      <xdr:rowOff>19050</xdr:rowOff>
    </xdr:from>
    <xdr:to>
      <xdr:col>8</xdr:col>
      <xdr:colOff>276225</xdr:colOff>
      <xdr:row>19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5353050" y="3133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142875</xdr:rowOff>
    </xdr:from>
    <xdr:to>
      <xdr:col>8</xdr:col>
      <xdr:colOff>371475</xdr:colOff>
      <xdr:row>19</xdr:row>
      <xdr:rowOff>19050</xdr:rowOff>
    </xdr:to>
    <xdr:sp>
      <xdr:nvSpPr>
        <xdr:cNvPr id="82" name="Line 87"/>
        <xdr:cNvSpPr>
          <a:spLocks/>
        </xdr:cNvSpPr>
      </xdr:nvSpPr>
      <xdr:spPr>
        <a:xfrm flipV="1">
          <a:off x="5353050" y="2609850"/>
          <a:ext cx="1714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15</xdr:row>
      <xdr:rowOff>66675</xdr:rowOff>
    </xdr:from>
    <xdr:to>
      <xdr:col>5</xdr:col>
      <xdr:colOff>257175</xdr:colOff>
      <xdr:row>16</xdr:row>
      <xdr:rowOff>0</xdr:rowOff>
    </xdr:to>
    <xdr:sp>
      <xdr:nvSpPr>
        <xdr:cNvPr id="83" name="AutoShape 89"/>
        <xdr:cNvSpPr>
          <a:spLocks/>
        </xdr:cNvSpPr>
      </xdr:nvSpPr>
      <xdr:spPr>
        <a:xfrm>
          <a:off x="3171825" y="2533650"/>
          <a:ext cx="409575" cy="95250"/>
        </a:xfrm>
        <a:prstGeom prst="triangle">
          <a:avLst>
            <a:gd name="adj" fmla="val -15907"/>
          </a:avLst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533400</xdr:colOff>
      <xdr:row>16</xdr:row>
      <xdr:rowOff>0</xdr:rowOff>
    </xdr:to>
    <xdr:sp>
      <xdr:nvSpPr>
        <xdr:cNvPr id="84" name="AutoShape 90"/>
        <xdr:cNvSpPr>
          <a:spLocks/>
        </xdr:cNvSpPr>
      </xdr:nvSpPr>
      <xdr:spPr>
        <a:xfrm>
          <a:off x="3448050" y="2533650"/>
          <a:ext cx="409575" cy="95250"/>
        </a:xfrm>
        <a:prstGeom prst="triangle">
          <a:avLst>
            <a:gd name="adj" fmla="val 15907"/>
          </a:avLst>
        </a:prstGeom>
        <a:pattFill prst="smConfetti">
          <a:fgClr>
            <a:srgbClr val="9933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76200</xdr:rowOff>
    </xdr:from>
    <xdr:to>
      <xdr:col>8</xdr:col>
      <xdr:colOff>381000</xdr:colOff>
      <xdr:row>9</xdr:row>
      <xdr:rowOff>114300</xdr:rowOff>
    </xdr:to>
    <xdr:sp>
      <xdr:nvSpPr>
        <xdr:cNvPr id="85" name="Rectangle 91"/>
        <xdr:cNvSpPr>
          <a:spLocks/>
        </xdr:cNvSpPr>
      </xdr:nvSpPr>
      <xdr:spPr>
        <a:xfrm>
          <a:off x="5286375" y="1571625"/>
          <a:ext cx="247650" cy="381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95250</xdr:rowOff>
    </xdr:from>
    <xdr:to>
      <xdr:col>8</xdr:col>
      <xdr:colOff>381000</xdr:colOff>
      <xdr:row>9</xdr:row>
      <xdr:rowOff>95250</xdr:rowOff>
    </xdr:to>
    <xdr:sp>
      <xdr:nvSpPr>
        <xdr:cNvPr id="86" name="Line 92"/>
        <xdr:cNvSpPr>
          <a:spLocks/>
        </xdr:cNvSpPr>
      </xdr:nvSpPr>
      <xdr:spPr>
        <a:xfrm>
          <a:off x="5286375" y="1590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152400</xdr:rowOff>
    </xdr:from>
    <xdr:to>
      <xdr:col>8</xdr:col>
      <xdr:colOff>381000</xdr:colOff>
      <xdr:row>11</xdr:row>
      <xdr:rowOff>28575</xdr:rowOff>
    </xdr:to>
    <xdr:sp>
      <xdr:nvSpPr>
        <xdr:cNvPr id="87" name="Rectangle 93"/>
        <xdr:cNvSpPr>
          <a:spLocks/>
        </xdr:cNvSpPr>
      </xdr:nvSpPr>
      <xdr:spPr>
        <a:xfrm>
          <a:off x="5286375" y="1809750"/>
          <a:ext cx="247650" cy="381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9525</xdr:rowOff>
    </xdr:from>
    <xdr:to>
      <xdr:col>8</xdr:col>
      <xdr:colOff>381000</xdr:colOff>
      <xdr:row>11</xdr:row>
      <xdr:rowOff>9525</xdr:rowOff>
    </xdr:to>
    <xdr:sp>
      <xdr:nvSpPr>
        <xdr:cNvPr id="88" name="Line 94"/>
        <xdr:cNvSpPr>
          <a:spLocks/>
        </xdr:cNvSpPr>
      </xdr:nvSpPr>
      <xdr:spPr>
        <a:xfrm>
          <a:off x="5286375" y="1828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57150</xdr:rowOff>
    </xdr:from>
    <xdr:to>
      <xdr:col>9</xdr:col>
      <xdr:colOff>561975</xdr:colOff>
      <xdr:row>15</xdr:row>
      <xdr:rowOff>57150</xdr:rowOff>
    </xdr:to>
    <xdr:sp>
      <xdr:nvSpPr>
        <xdr:cNvPr id="89" name="Line 95"/>
        <xdr:cNvSpPr>
          <a:spLocks/>
        </xdr:cNvSpPr>
      </xdr:nvSpPr>
      <xdr:spPr>
        <a:xfrm>
          <a:off x="6276975" y="25241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15</xdr:row>
      <xdr:rowOff>57150</xdr:rowOff>
    </xdr:from>
    <xdr:to>
      <xdr:col>9</xdr:col>
      <xdr:colOff>561975</xdr:colOff>
      <xdr:row>16</xdr:row>
      <xdr:rowOff>9525</xdr:rowOff>
    </xdr:to>
    <xdr:sp>
      <xdr:nvSpPr>
        <xdr:cNvPr id="90" name="Line 96"/>
        <xdr:cNvSpPr>
          <a:spLocks/>
        </xdr:cNvSpPr>
      </xdr:nvSpPr>
      <xdr:spPr>
        <a:xfrm>
          <a:off x="6324600" y="25241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152400</xdr:rowOff>
    </xdr:from>
    <xdr:to>
      <xdr:col>9</xdr:col>
      <xdr:colOff>9525</xdr:colOff>
      <xdr:row>13</xdr:row>
      <xdr:rowOff>152400</xdr:rowOff>
    </xdr:to>
    <xdr:sp>
      <xdr:nvSpPr>
        <xdr:cNvPr id="91" name="Line 101"/>
        <xdr:cNvSpPr>
          <a:spLocks/>
        </xdr:cNvSpPr>
      </xdr:nvSpPr>
      <xdr:spPr>
        <a:xfrm>
          <a:off x="5162550" y="229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13</xdr:row>
      <xdr:rowOff>19050</xdr:rowOff>
    </xdr:from>
    <xdr:to>
      <xdr:col>8</xdr:col>
      <xdr:colOff>438150</xdr:colOff>
      <xdr:row>14</xdr:row>
      <xdr:rowOff>28575</xdr:rowOff>
    </xdr:to>
    <xdr:sp>
      <xdr:nvSpPr>
        <xdr:cNvPr id="92" name="TextBox 102"/>
        <xdr:cNvSpPr txBox="1">
          <a:spLocks noChangeArrowheads="1"/>
        </xdr:cNvSpPr>
      </xdr:nvSpPr>
      <xdr:spPr>
        <a:xfrm>
          <a:off x="5400675" y="2162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50" sqref="A50"/>
    </sheetView>
  </sheetViews>
  <sheetFormatPr defaultColWidth="9.140625" defaultRowHeight="12.75"/>
  <cols>
    <col min="1" max="9" width="9.140625" style="98" customWidth="1"/>
    <col min="10" max="10" width="5.7109375" style="98" customWidth="1"/>
    <col min="11" max="11" width="9.140625" style="98" customWidth="1"/>
    <col min="12" max="16384" width="9.140625" style="99" customWidth="1"/>
  </cols>
  <sheetData>
    <row r="1" spans="1:10" ht="15.75">
      <c r="A1" s="96" t="s">
        <v>50</v>
      </c>
      <c r="B1" s="97"/>
      <c r="C1" s="97"/>
      <c r="D1" s="97"/>
      <c r="E1" s="97"/>
      <c r="F1" s="97"/>
      <c r="G1" s="97"/>
      <c r="H1" s="97"/>
      <c r="I1" s="97"/>
      <c r="J1" s="97"/>
    </row>
    <row r="3" ht="12.75">
      <c r="A3" s="100" t="s">
        <v>41</v>
      </c>
    </row>
    <row r="5" ht="12.75">
      <c r="A5" s="98" t="s">
        <v>51</v>
      </c>
    </row>
    <row r="6" ht="12.75">
      <c r="A6" s="98" t="s">
        <v>248</v>
      </c>
    </row>
    <row r="7" ht="12.75">
      <c r="A7" s="98" t="s">
        <v>249</v>
      </c>
    </row>
    <row r="8" ht="12.75">
      <c r="A8" s="98" t="s">
        <v>251</v>
      </c>
    </row>
    <row r="9" ht="12.75">
      <c r="A9" s="98" t="s">
        <v>250</v>
      </c>
    </row>
    <row r="11" ht="12.75">
      <c r="A11" s="98" t="s">
        <v>42</v>
      </c>
    </row>
    <row r="13" spans="1:10" ht="12.75">
      <c r="A13" s="101" t="s">
        <v>43</v>
      </c>
      <c r="B13" s="102"/>
      <c r="C13" s="103"/>
      <c r="D13" s="101" t="s">
        <v>44</v>
      </c>
      <c r="E13" s="104"/>
      <c r="F13" s="104"/>
      <c r="G13" s="104"/>
      <c r="H13" s="104"/>
      <c r="I13" s="104"/>
      <c r="J13" s="105"/>
    </row>
    <row r="14" spans="1:10" ht="12.75" customHeight="1">
      <c r="A14" s="106" t="s">
        <v>45</v>
      </c>
      <c r="B14" s="107"/>
      <c r="C14" s="108"/>
      <c r="D14" s="106" t="s">
        <v>46</v>
      </c>
      <c r="E14" s="107"/>
      <c r="F14" s="107"/>
      <c r="G14" s="107"/>
      <c r="H14" s="107"/>
      <c r="I14" s="107"/>
      <c r="J14" s="108"/>
    </row>
    <row r="15" spans="1:10" ht="12.75">
      <c r="A15" s="109" t="s">
        <v>52</v>
      </c>
      <c r="B15" s="110"/>
      <c r="C15" s="111"/>
      <c r="D15" s="109" t="s">
        <v>53</v>
      </c>
      <c r="E15" s="110"/>
      <c r="F15" s="110"/>
      <c r="G15" s="110"/>
      <c r="H15" s="110"/>
      <c r="I15" s="110"/>
      <c r="J15" s="111"/>
    </row>
    <row r="16" spans="1:10" ht="12.75">
      <c r="A16" s="112"/>
      <c r="B16" s="112"/>
      <c r="C16" s="112"/>
      <c r="D16" s="112"/>
      <c r="E16" s="112"/>
      <c r="F16" s="112"/>
      <c r="G16" s="112"/>
      <c r="H16" s="112"/>
      <c r="I16" s="112"/>
      <c r="J16" s="113"/>
    </row>
    <row r="17" ht="12.75">
      <c r="A17" s="100" t="s">
        <v>47</v>
      </c>
    </row>
    <row r="19" ht="12.75">
      <c r="A19" s="98" t="s">
        <v>257</v>
      </c>
    </row>
    <row r="20" ht="12.75">
      <c r="A20" s="98" t="s">
        <v>221</v>
      </c>
    </row>
    <row r="21" ht="12.75">
      <c r="A21" s="98" t="s">
        <v>222</v>
      </c>
    </row>
    <row r="22" ht="12.75">
      <c r="A22" s="98" t="s">
        <v>223</v>
      </c>
    </row>
    <row r="23" ht="12.75">
      <c r="A23" s="98" t="s">
        <v>224</v>
      </c>
    </row>
    <row r="24" ht="12.75">
      <c r="A24" s="115" t="s">
        <v>225</v>
      </c>
    </row>
    <row r="25" ht="12.75">
      <c r="A25" s="98" t="s">
        <v>226</v>
      </c>
    </row>
    <row r="26" ht="12.75">
      <c r="A26" s="115" t="s">
        <v>166</v>
      </c>
    </row>
    <row r="27" ht="12.75">
      <c r="A27" s="98" t="s">
        <v>167</v>
      </c>
    </row>
    <row r="28" spans="1:10" ht="12.75">
      <c r="A28" s="98" t="s">
        <v>262</v>
      </c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98" t="s">
        <v>263</v>
      </c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98" t="s">
        <v>252</v>
      </c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98" t="s">
        <v>169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ht="12.75">
      <c r="A32" s="98" t="s">
        <v>168</v>
      </c>
    </row>
    <row r="33" spans="1:10" ht="12.75">
      <c r="A33" s="98" t="s">
        <v>253</v>
      </c>
      <c r="D33" s="114"/>
      <c r="E33" s="114"/>
      <c r="F33" s="114"/>
      <c r="G33" s="114"/>
      <c r="H33" s="114"/>
      <c r="I33" s="114"/>
      <c r="J33" s="114"/>
    </row>
    <row r="34" spans="1:10" ht="12.75">
      <c r="A34" s="98" t="s">
        <v>170</v>
      </c>
      <c r="D34" s="114"/>
      <c r="E34" s="114"/>
      <c r="F34" s="114"/>
      <c r="G34" s="114"/>
      <c r="H34" s="114"/>
      <c r="I34" s="114"/>
      <c r="J34" s="114"/>
    </row>
    <row r="35" spans="1:10" ht="12.75">
      <c r="A35" s="208" t="s">
        <v>254</v>
      </c>
      <c r="D35" s="114"/>
      <c r="E35" s="114"/>
      <c r="F35" s="114"/>
      <c r="G35" s="114"/>
      <c r="H35" s="114"/>
      <c r="I35" s="114"/>
      <c r="J35" s="114"/>
    </row>
    <row r="36" spans="1:10" ht="12.75">
      <c r="A36" s="208" t="s">
        <v>255</v>
      </c>
      <c r="G36" s="114"/>
      <c r="H36" s="114"/>
      <c r="I36" s="114"/>
      <c r="J36" s="114"/>
    </row>
    <row r="37" spans="1:10" ht="12.75">
      <c r="A37" s="208" t="s">
        <v>171</v>
      </c>
      <c r="D37" s="114"/>
      <c r="E37" s="114"/>
      <c r="F37" s="114"/>
      <c r="G37" s="114"/>
      <c r="H37" s="114"/>
      <c r="I37" s="114"/>
      <c r="J37" s="114"/>
    </row>
    <row r="38" spans="1:10" ht="12.75">
      <c r="A38" s="98" t="s">
        <v>172</v>
      </c>
      <c r="D38" s="114"/>
      <c r="E38" s="114"/>
      <c r="F38" s="114"/>
      <c r="G38" s="114"/>
      <c r="H38" s="114"/>
      <c r="I38" s="114"/>
      <c r="J38" s="114"/>
    </row>
    <row r="39" spans="1:10" ht="12.75">
      <c r="A39" s="98" t="s">
        <v>173</v>
      </c>
      <c r="D39" s="114"/>
      <c r="E39" s="114"/>
      <c r="F39" s="114"/>
      <c r="G39" s="114"/>
      <c r="H39" s="114"/>
      <c r="I39" s="114"/>
      <c r="J39" s="114"/>
    </row>
    <row r="40" spans="1:10" ht="12.75">
      <c r="A40" s="98" t="s">
        <v>174</v>
      </c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5" t="s">
        <v>260</v>
      </c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98" t="s">
        <v>261</v>
      </c>
      <c r="F42" s="114"/>
      <c r="G42" s="114"/>
      <c r="H42" s="114"/>
      <c r="I42" s="114"/>
      <c r="J42" s="114"/>
    </row>
    <row r="43" spans="1:10" ht="12.75">
      <c r="A43" s="115" t="s">
        <v>264</v>
      </c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98" t="s">
        <v>258</v>
      </c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5" t="s">
        <v>219</v>
      </c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98" t="s">
        <v>220</v>
      </c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5" t="s">
        <v>218</v>
      </c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6" ht="12.75">
      <c r="A48" s="115" t="s">
        <v>48</v>
      </c>
      <c r="B48" s="114"/>
      <c r="C48" s="114"/>
      <c r="D48" s="114"/>
      <c r="E48" s="114"/>
      <c r="F48" s="114"/>
    </row>
    <row r="49" spans="1:5" ht="12.75">
      <c r="A49" s="115" t="s">
        <v>49</v>
      </c>
      <c r="B49" s="114"/>
      <c r="C49" s="114"/>
      <c r="D49" s="114"/>
      <c r="E49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32" customWidth="1"/>
    <col min="2" max="2" width="9.7109375" style="32" customWidth="1"/>
    <col min="3" max="9" width="9.140625" style="32" customWidth="1"/>
    <col min="10" max="10" width="9.7109375" style="45" customWidth="1"/>
    <col min="11" max="14" width="0" style="37" hidden="1" customWidth="1"/>
    <col min="15" max="15" width="11.7109375" style="14" hidden="1" customWidth="1"/>
    <col min="16" max="16" width="0" style="14" hidden="1" customWidth="1"/>
    <col min="17" max="17" width="11.7109375" style="146" hidden="1" customWidth="1"/>
    <col min="18" max="26" width="0" style="14" hidden="1" customWidth="1"/>
    <col min="27" max="27" width="10.7109375" style="14" customWidth="1"/>
    <col min="28" max="28" width="9.7109375" style="14" customWidth="1"/>
    <col min="29" max="29" width="8.7109375" style="14" customWidth="1"/>
    <col min="30" max="30" width="10.7109375" style="14" customWidth="1"/>
    <col min="31" max="36" width="7.7109375" style="14" customWidth="1"/>
    <col min="37" max="39" width="7.7109375" style="23" customWidth="1"/>
    <col min="40" max="43" width="6.7109375" style="23" customWidth="1"/>
    <col min="44" max="44" width="9.140625" style="23" customWidth="1"/>
    <col min="45" max="52" width="9.140625" style="14" customWidth="1"/>
    <col min="53" max="16384" width="9.140625" style="9" customWidth="1"/>
  </cols>
  <sheetData>
    <row r="1" spans="1:27" ht="15.75">
      <c r="A1" s="21" t="s">
        <v>38</v>
      </c>
      <c r="B1" s="1"/>
      <c r="C1" s="22"/>
      <c r="D1" s="22"/>
      <c r="E1" s="22"/>
      <c r="F1" s="22"/>
      <c r="G1" s="1"/>
      <c r="H1" s="1"/>
      <c r="I1" s="1"/>
      <c r="J1" s="53"/>
      <c r="K1" s="14"/>
      <c r="L1" s="14"/>
      <c r="M1" s="14"/>
      <c r="N1" s="14"/>
      <c r="O1" s="15" t="s">
        <v>39</v>
      </c>
      <c r="Q1" s="16"/>
      <c r="R1" s="17"/>
      <c r="T1" s="16"/>
      <c r="AA1" s="19" t="s">
        <v>40</v>
      </c>
    </row>
    <row r="2" spans="1:38" ht="12.75">
      <c r="A2" s="2" t="s">
        <v>139</v>
      </c>
      <c r="B2" s="24"/>
      <c r="C2" s="25"/>
      <c r="D2" s="24"/>
      <c r="E2" s="24"/>
      <c r="F2" s="24"/>
      <c r="G2" s="3"/>
      <c r="H2" s="3"/>
      <c r="I2" s="3"/>
      <c r="J2" s="36"/>
      <c r="K2" s="14"/>
      <c r="L2" s="14"/>
      <c r="M2" s="14"/>
      <c r="N2" s="14"/>
      <c r="AL2" s="20"/>
    </row>
    <row r="3" spans="1:49" ht="12.75">
      <c r="A3" s="26" t="s">
        <v>138</v>
      </c>
      <c r="B3" s="27"/>
      <c r="C3" s="27"/>
      <c r="D3" s="27"/>
      <c r="E3" s="27"/>
      <c r="F3" s="27"/>
      <c r="G3" s="4"/>
      <c r="H3" s="4"/>
      <c r="I3" s="4"/>
      <c r="J3" s="54"/>
      <c r="K3" s="18"/>
      <c r="O3" s="153" t="s">
        <v>84</v>
      </c>
      <c r="Q3" s="154"/>
      <c r="R3" s="155"/>
      <c r="S3" s="154"/>
      <c r="AK3" s="56"/>
      <c r="AL3" s="56"/>
      <c r="AM3" s="56"/>
      <c r="AN3" s="56"/>
      <c r="AO3" s="56"/>
      <c r="AP3" s="56"/>
      <c r="AQ3" s="56"/>
      <c r="AR3" s="56"/>
      <c r="AS3" s="18"/>
      <c r="AT3" s="18"/>
      <c r="AU3" s="18"/>
      <c r="AV3" s="18"/>
      <c r="AW3" s="18"/>
    </row>
    <row r="4" spans="1:44" ht="12.75">
      <c r="A4" s="33" t="s">
        <v>0</v>
      </c>
      <c r="B4" s="165"/>
      <c r="C4" s="166"/>
      <c r="D4" s="166"/>
      <c r="E4" s="166"/>
      <c r="F4" s="28" t="s">
        <v>1</v>
      </c>
      <c r="G4" s="167"/>
      <c r="H4" s="168"/>
      <c r="I4" s="168"/>
      <c r="J4" s="170"/>
      <c r="K4" s="18"/>
      <c r="L4" s="156" t="s">
        <v>55</v>
      </c>
      <c r="M4" s="156"/>
      <c r="O4" s="157" t="s">
        <v>99</v>
      </c>
      <c r="P4" s="148">
        <f>ROUND($D$10+2*$D$11/12,4)</f>
        <v>8.0833</v>
      </c>
      <c r="Q4" s="133" t="s">
        <v>2</v>
      </c>
      <c r="R4" s="133" t="s">
        <v>189</v>
      </c>
      <c r="S4" s="158"/>
      <c r="AK4" s="56"/>
      <c r="AL4" s="56"/>
      <c r="AM4" s="56"/>
      <c r="AN4" s="56"/>
      <c r="AO4" s="56"/>
      <c r="AP4" s="56"/>
      <c r="AQ4" s="56"/>
      <c r="AR4" s="56"/>
    </row>
    <row r="5" spans="1:44" ht="12.75">
      <c r="A5" s="33" t="s">
        <v>3</v>
      </c>
      <c r="B5" s="167"/>
      <c r="C5" s="168"/>
      <c r="D5" s="168"/>
      <c r="E5" s="169"/>
      <c r="F5" s="34" t="s">
        <v>4</v>
      </c>
      <c r="G5" s="167"/>
      <c r="H5" s="171"/>
      <c r="I5" s="35" t="s">
        <v>5</v>
      </c>
      <c r="J5" s="172"/>
      <c r="L5" s="156" t="s">
        <v>56</v>
      </c>
      <c r="M5" s="156"/>
      <c r="O5" s="157" t="s">
        <v>144</v>
      </c>
      <c r="P5" s="159">
        <f>ROUND($D$13+2*$D$14,4)</f>
        <v>34.5</v>
      </c>
      <c r="Q5" s="160" t="s">
        <v>2</v>
      </c>
      <c r="R5" s="131" t="s">
        <v>145</v>
      </c>
      <c r="S5" s="134"/>
      <c r="T5" s="211"/>
      <c r="AK5" s="56"/>
      <c r="AL5" s="56"/>
      <c r="AM5" s="56"/>
      <c r="AN5" s="56"/>
      <c r="AO5" s="56"/>
      <c r="AP5" s="56"/>
      <c r="AQ5" s="56"/>
      <c r="AR5" s="56"/>
    </row>
    <row r="6" spans="1:44" ht="12.75">
      <c r="A6" s="31"/>
      <c r="B6" s="10"/>
      <c r="C6" s="10"/>
      <c r="D6" s="10"/>
      <c r="E6" s="10"/>
      <c r="F6" s="10"/>
      <c r="G6" s="38"/>
      <c r="H6" s="38"/>
      <c r="I6" s="38"/>
      <c r="J6" s="39"/>
      <c r="K6" s="14"/>
      <c r="L6" s="156" t="s">
        <v>57</v>
      </c>
      <c r="M6" s="156"/>
      <c r="O6" s="153" t="s">
        <v>85</v>
      </c>
      <c r="R6" s="17"/>
      <c r="S6" s="134"/>
      <c r="AE6" s="196"/>
      <c r="AK6" s="56"/>
      <c r="AL6" s="56"/>
      <c r="AM6" s="56"/>
      <c r="AN6" s="56"/>
      <c r="AO6" s="56"/>
      <c r="AP6" s="56"/>
      <c r="AQ6" s="56"/>
      <c r="AR6" s="268"/>
    </row>
    <row r="7" spans="1:44" ht="12.75">
      <c r="A7" s="58" t="s">
        <v>6</v>
      </c>
      <c r="B7" s="38"/>
      <c r="C7" s="38"/>
      <c r="D7" s="38"/>
      <c r="E7" s="38"/>
      <c r="F7" s="38"/>
      <c r="G7" s="38"/>
      <c r="H7" s="38"/>
      <c r="I7" s="38"/>
      <c r="J7" s="39"/>
      <c r="K7" s="14"/>
      <c r="L7" s="224">
        <v>0</v>
      </c>
      <c r="O7" s="157" t="s">
        <v>73</v>
      </c>
      <c r="P7" s="134" t="str">
        <f>IF($D$12="Flat",2*PI()*$P$4^2/4,"N.A.")</f>
        <v>N.A.</v>
      </c>
      <c r="Q7" s="160" t="s">
        <v>7</v>
      </c>
      <c r="R7" s="161" t="s">
        <v>190</v>
      </c>
      <c r="AE7" s="158"/>
      <c r="AK7" s="56"/>
      <c r="AL7" s="56"/>
      <c r="AM7" s="56"/>
      <c r="AN7" s="56"/>
      <c r="AO7" s="56"/>
      <c r="AP7" s="56"/>
      <c r="AQ7" s="56"/>
      <c r="AR7" s="268"/>
    </row>
    <row r="8" spans="1:44" ht="12.75">
      <c r="A8" s="31"/>
      <c r="B8" s="10"/>
      <c r="C8" s="10"/>
      <c r="D8" s="10"/>
      <c r="E8" s="200"/>
      <c r="F8" s="10"/>
      <c r="G8" s="10"/>
      <c r="H8" s="10"/>
      <c r="I8" s="10"/>
      <c r="J8" s="39"/>
      <c r="K8" s="14"/>
      <c r="L8" s="224">
        <v>1</v>
      </c>
      <c r="O8" s="157" t="s">
        <v>75</v>
      </c>
      <c r="P8" s="5" t="str">
        <f>IF($D$12="Elliptical",2*(PI()*(2*($P$4/2)^2+$D$14^2/(SQRT((P$4/2)^2-$D$14^2)/($P$4/2))*LN((1+(SQRT((P$4/2)^2-$D$14^2)/($P$4/2)))/(1-(SQRT((P$4/2)^2-$D$14^2)/($P$4/2))))))/2,"N.A.")</f>
        <v>N.A.</v>
      </c>
      <c r="Q8" s="160" t="s">
        <v>7</v>
      </c>
      <c r="R8" s="17" t="s">
        <v>191</v>
      </c>
      <c r="S8" s="134"/>
      <c r="AB8" s="293" t="s">
        <v>271</v>
      </c>
      <c r="AC8" s="294"/>
      <c r="AD8" s="295"/>
      <c r="AE8" s="158"/>
      <c r="AK8" s="56"/>
      <c r="AL8" s="56"/>
      <c r="AM8" s="56"/>
      <c r="AN8" s="56"/>
      <c r="AO8" s="56"/>
      <c r="AP8" s="56"/>
      <c r="AQ8" s="56"/>
      <c r="AR8" s="268"/>
    </row>
    <row r="9" spans="1:44" ht="12.75">
      <c r="A9" s="62"/>
      <c r="B9" s="42"/>
      <c r="C9" s="63" t="s">
        <v>91</v>
      </c>
      <c r="D9" s="262">
        <v>1.5</v>
      </c>
      <c r="H9" s="59"/>
      <c r="J9" s="60"/>
      <c r="K9" s="14"/>
      <c r="L9" s="224">
        <v>1.5</v>
      </c>
      <c r="O9" s="157" t="s">
        <v>74</v>
      </c>
      <c r="P9" s="5">
        <f>IF($D$12="Spherical",2*PI()*($P$4^2+4*$D$14^2)/4,"N.A.")</f>
        <v>203.166386757023</v>
      </c>
      <c r="Q9" s="160" t="s">
        <v>7</v>
      </c>
      <c r="R9" s="17" t="s">
        <v>77</v>
      </c>
      <c r="S9" s="134"/>
      <c r="AB9" s="296" t="s">
        <v>272</v>
      </c>
      <c r="AC9" s="297"/>
      <c r="AD9" s="298"/>
      <c r="AE9" s="195"/>
      <c r="AF9" s="263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8"/>
    </row>
    <row r="10" spans="1:44" ht="12.75">
      <c r="A10" s="31"/>
      <c r="B10" s="42"/>
      <c r="C10" s="63" t="s">
        <v>92</v>
      </c>
      <c r="D10" s="12">
        <v>8</v>
      </c>
      <c r="E10" s="64" t="s">
        <v>2</v>
      </c>
      <c r="I10" s="42"/>
      <c r="J10" s="40"/>
      <c r="L10" s="224">
        <v>2</v>
      </c>
      <c r="O10" s="157" t="s">
        <v>58</v>
      </c>
      <c r="P10" s="5">
        <f>PI()*$P$4*$D$13</f>
        <v>672.952551264203</v>
      </c>
      <c r="Q10" s="160" t="s">
        <v>7</v>
      </c>
      <c r="R10" s="17" t="s">
        <v>65</v>
      </c>
      <c r="S10" s="134"/>
      <c r="AB10" s="218" t="s">
        <v>269</v>
      </c>
      <c r="AC10" s="218" t="s">
        <v>268</v>
      </c>
      <c r="AD10" s="218" t="s">
        <v>153</v>
      </c>
      <c r="AE10" s="195"/>
      <c r="AF10" s="264"/>
      <c r="AG10" s="269"/>
      <c r="AH10" s="265"/>
      <c r="AI10" s="265"/>
      <c r="AJ10" s="265"/>
      <c r="AK10" s="265"/>
      <c r="AL10" s="265"/>
      <c r="AM10" s="265"/>
      <c r="AN10" s="270"/>
      <c r="AO10" s="271"/>
      <c r="AP10" s="271"/>
      <c r="AQ10" s="271"/>
      <c r="AR10" s="56"/>
    </row>
    <row r="11" spans="1:44" ht="12.75">
      <c r="A11" s="31"/>
      <c r="B11" s="42"/>
      <c r="C11" s="7" t="s">
        <v>93</v>
      </c>
      <c r="D11" s="12">
        <v>0.5</v>
      </c>
      <c r="E11" s="64" t="s">
        <v>8</v>
      </c>
      <c r="F11" s="59"/>
      <c r="H11" s="59"/>
      <c r="I11" s="43"/>
      <c r="J11" s="66"/>
      <c r="L11" s="224">
        <v>2.5</v>
      </c>
      <c r="O11" s="157" t="s">
        <v>63</v>
      </c>
      <c r="P11" s="5">
        <f>$P$10+MAX($P$7:$P$9)</f>
        <v>876.118938021226</v>
      </c>
      <c r="Q11" s="160" t="s">
        <v>7</v>
      </c>
      <c r="R11" s="131" t="s">
        <v>76</v>
      </c>
      <c r="S11" s="134"/>
      <c r="AB11" s="219" t="s">
        <v>273</v>
      </c>
      <c r="AC11" s="219" t="s">
        <v>269</v>
      </c>
      <c r="AD11" s="219" t="s">
        <v>274</v>
      </c>
      <c r="AE11" s="195"/>
      <c r="AF11" s="264"/>
      <c r="AG11" s="272"/>
      <c r="AH11" s="273"/>
      <c r="AI11" s="272"/>
      <c r="AJ11" s="273"/>
      <c r="AK11" s="272"/>
      <c r="AL11" s="273"/>
      <c r="AM11" s="272"/>
      <c r="AN11" s="273"/>
      <c r="AO11" s="272"/>
      <c r="AP11" s="273"/>
      <c r="AQ11" s="272"/>
      <c r="AR11" s="56"/>
    </row>
    <row r="12" spans="1:44" ht="12.75">
      <c r="A12" s="31"/>
      <c r="C12" s="7" t="s">
        <v>61</v>
      </c>
      <c r="D12" s="176" t="s">
        <v>57</v>
      </c>
      <c r="E12" s="67"/>
      <c r="F12" s="42"/>
      <c r="G12" s="42"/>
      <c r="H12" s="42"/>
      <c r="I12" s="43"/>
      <c r="J12" s="40"/>
      <c r="L12" s="224">
        <v>3</v>
      </c>
      <c r="P12" s="5"/>
      <c r="R12" s="213" t="s">
        <v>192</v>
      </c>
      <c r="S12" s="134"/>
      <c r="AB12" s="219" t="s">
        <v>152</v>
      </c>
      <c r="AC12" s="219" t="s">
        <v>270</v>
      </c>
      <c r="AD12" s="219" t="s">
        <v>275</v>
      </c>
      <c r="AE12" s="195"/>
      <c r="AF12" s="266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56"/>
    </row>
    <row r="13" spans="1:44" ht="12.75">
      <c r="A13" s="31"/>
      <c r="C13" s="7" t="s">
        <v>94</v>
      </c>
      <c r="D13" s="12">
        <v>26.5</v>
      </c>
      <c r="E13" s="67" t="s">
        <v>2</v>
      </c>
      <c r="G13" s="42"/>
      <c r="H13" s="42"/>
      <c r="I13" s="43"/>
      <c r="J13" s="40"/>
      <c r="K13" s="14"/>
      <c r="L13" s="224">
        <v>3.5</v>
      </c>
      <c r="O13" s="153" t="s">
        <v>86</v>
      </c>
      <c r="P13" s="141"/>
      <c r="Q13" s="81"/>
      <c r="R13" s="144"/>
      <c r="S13" s="134"/>
      <c r="AB13" s="221" t="s">
        <v>21</v>
      </c>
      <c r="AC13" s="220" t="s">
        <v>276</v>
      </c>
      <c r="AD13" s="220" t="s">
        <v>276</v>
      </c>
      <c r="AE13" s="195"/>
      <c r="AF13" s="267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56"/>
    </row>
    <row r="14" spans="1:44" ht="12.75">
      <c r="A14" s="31"/>
      <c r="C14" s="132" t="s">
        <v>62</v>
      </c>
      <c r="D14" s="177">
        <v>4</v>
      </c>
      <c r="E14" s="64" t="s">
        <v>2</v>
      </c>
      <c r="F14" s="68"/>
      <c r="G14" s="68"/>
      <c r="H14" s="68"/>
      <c r="I14" s="43"/>
      <c r="J14" s="69"/>
      <c r="K14" s="14"/>
      <c r="L14" s="224">
        <v>4</v>
      </c>
      <c r="O14" s="157" t="s">
        <v>73</v>
      </c>
      <c r="P14" s="5" t="str">
        <f>IF($D$12="Flat",$P$7*($D$11/12)*$D$15/1000,"N.A.")</f>
        <v>N.A.</v>
      </c>
      <c r="Q14" s="160" t="s">
        <v>14</v>
      </c>
      <c r="R14" s="17" t="s">
        <v>66</v>
      </c>
      <c r="S14" s="134"/>
      <c r="AB14" s="192">
        <v>5</v>
      </c>
      <c r="AC14" s="299">
        <v>375</v>
      </c>
      <c r="AD14" s="300">
        <v>294.7</v>
      </c>
      <c r="AE14" s="195"/>
      <c r="AF14" s="267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56"/>
    </row>
    <row r="15" spans="1:44" ht="12.75">
      <c r="A15" s="31"/>
      <c r="C15" s="7" t="s">
        <v>95</v>
      </c>
      <c r="D15" s="8">
        <v>100</v>
      </c>
      <c r="E15" s="64" t="s">
        <v>9</v>
      </c>
      <c r="F15" s="42"/>
      <c r="G15" s="42"/>
      <c r="H15" s="42"/>
      <c r="I15" s="43"/>
      <c r="J15" s="40"/>
      <c r="K15" s="14"/>
      <c r="L15" s="224">
        <v>4.5</v>
      </c>
      <c r="O15" s="157" t="s">
        <v>75</v>
      </c>
      <c r="P15" s="5" t="str">
        <f>IF($D$12="Elliptical",$P$8*($D$11/12)*$D$15/1000,"N.A.")</f>
        <v>N.A.</v>
      </c>
      <c r="Q15" s="160" t="s">
        <v>14</v>
      </c>
      <c r="R15" s="17" t="s">
        <v>66</v>
      </c>
      <c r="S15" s="134"/>
      <c r="AB15" s="193">
        <v>4.75</v>
      </c>
      <c r="AC15" s="301">
        <v>338.5</v>
      </c>
      <c r="AD15" s="302">
        <v>233.8</v>
      </c>
      <c r="AE15" s="195"/>
      <c r="AF15" s="267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56"/>
    </row>
    <row r="16" spans="1:44" ht="12.75">
      <c r="A16" s="31"/>
      <c r="B16" s="42"/>
      <c r="C16" s="63" t="s">
        <v>266</v>
      </c>
      <c r="D16" s="8">
        <v>105</v>
      </c>
      <c r="E16" s="64" t="s">
        <v>9</v>
      </c>
      <c r="F16" s="42"/>
      <c r="G16" s="42"/>
      <c r="H16" s="42"/>
      <c r="I16" s="43"/>
      <c r="J16" s="66"/>
      <c r="K16" s="14"/>
      <c r="L16" s="224">
        <v>5</v>
      </c>
      <c r="O16" s="157" t="s">
        <v>74</v>
      </c>
      <c r="P16" s="5">
        <f>IF($D$12="Spherical",$P$9*($D$11/12)*$D$15/1000,"N.A.")</f>
        <v>0.8465266114875957</v>
      </c>
      <c r="Q16" s="160" t="s">
        <v>14</v>
      </c>
      <c r="R16" s="17" t="s">
        <v>66</v>
      </c>
      <c r="S16" s="134"/>
      <c r="AB16" s="193">
        <v>4.5</v>
      </c>
      <c r="AC16" s="301">
        <v>303.8</v>
      </c>
      <c r="AD16" s="302">
        <v>233.8</v>
      </c>
      <c r="AE16" s="195"/>
      <c r="AF16" s="267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56"/>
    </row>
    <row r="17" spans="1:44" ht="12.75">
      <c r="A17" s="31"/>
      <c r="B17" s="42"/>
      <c r="C17" s="7" t="s">
        <v>96</v>
      </c>
      <c r="D17" s="12">
        <v>3</v>
      </c>
      <c r="E17" s="64" t="s">
        <v>2</v>
      </c>
      <c r="I17" s="43"/>
      <c r="J17" s="40"/>
      <c r="L17" s="224">
        <v>5.5</v>
      </c>
      <c r="O17" s="157" t="s">
        <v>58</v>
      </c>
      <c r="P17" s="5">
        <f>$P$10*($D$11/12)*$D$15/1000</f>
        <v>2.803968963600845</v>
      </c>
      <c r="Q17" s="160" t="s">
        <v>14</v>
      </c>
      <c r="R17" s="17" t="s">
        <v>67</v>
      </c>
      <c r="S17" s="134"/>
      <c r="AB17" s="193">
        <v>4.25</v>
      </c>
      <c r="AC17" s="301">
        <v>271</v>
      </c>
      <c r="AD17" s="302">
        <v>233.8</v>
      </c>
      <c r="AE17" s="195"/>
      <c r="AF17" s="267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56"/>
    </row>
    <row r="18" spans="1:44" ht="12.75">
      <c r="A18" s="31"/>
      <c r="C18" s="63" t="s">
        <v>97</v>
      </c>
      <c r="D18" s="13">
        <v>4</v>
      </c>
      <c r="E18" s="64" t="s">
        <v>12</v>
      </c>
      <c r="F18" s="59"/>
      <c r="H18" s="59"/>
      <c r="J18" s="40"/>
      <c r="L18" s="224">
        <v>6</v>
      </c>
      <c r="O18" s="157" t="s">
        <v>59</v>
      </c>
      <c r="P18" s="5">
        <f>$P$17+MAX($P$14:$P$16)+$D$22</f>
        <v>4.65049557508844</v>
      </c>
      <c r="Q18" s="160" t="s">
        <v>14</v>
      </c>
      <c r="R18" s="131" t="s">
        <v>78</v>
      </c>
      <c r="S18" s="134"/>
      <c r="AB18" s="193">
        <v>4</v>
      </c>
      <c r="AC18" s="301">
        <v>240</v>
      </c>
      <c r="AD18" s="302">
        <v>167.8</v>
      </c>
      <c r="AE18" s="195"/>
      <c r="AF18" s="267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56"/>
    </row>
    <row r="19" spans="1:44" ht="12.75">
      <c r="A19" s="31"/>
      <c r="C19" s="70" t="s">
        <v>98</v>
      </c>
      <c r="D19" s="93">
        <v>60</v>
      </c>
      <c r="E19" s="64" t="s">
        <v>12</v>
      </c>
      <c r="I19" s="43"/>
      <c r="J19" s="40"/>
      <c r="K19" s="14"/>
      <c r="O19" s="153" t="s">
        <v>87</v>
      </c>
      <c r="P19" s="138"/>
      <c r="Q19" s="81"/>
      <c r="T19" s="158"/>
      <c r="AB19" s="193">
        <v>3.75</v>
      </c>
      <c r="AC19" s="301">
        <v>211</v>
      </c>
      <c r="AD19" s="302">
        <v>167.8</v>
      </c>
      <c r="AE19" s="195"/>
      <c r="AF19" s="267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56"/>
    </row>
    <row r="20" spans="1:44" ht="12.75">
      <c r="A20" s="31"/>
      <c r="C20" s="7" t="s">
        <v>187</v>
      </c>
      <c r="D20" s="178">
        <v>1</v>
      </c>
      <c r="F20" s="71" t="s">
        <v>36</v>
      </c>
      <c r="G20" s="72"/>
      <c r="H20" s="72"/>
      <c r="I20" s="72"/>
      <c r="J20" s="40"/>
      <c r="O20" s="157" t="s">
        <v>73</v>
      </c>
      <c r="P20" s="5" t="str">
        <f>IF($D$12="Flat",0,"N.A.")</f>
        <v>N.A.</v>
      </c>
      <c r="Q20" s="160" t="s">
        <v>10</v>
      </c>
      <c r="R20" s="161" t="s">
        <v>79</v>
      </c>
      <c r="T20" s="158"/>
      <c r="AB20" s="193">
        <v>3.5</v>
      </c>
      <c r="AC20" s="301">
        <v>183.8</v>
      </c>
      <c r="AD20" s="302">
        <v>122.2</v>
      </c>
      <c r="AE20" s="195"/>
      <c r="AF20" s="267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56"/>
    </row>
    <row r="21" spans="1:44" ht="12.75">
      <c r="A21" s="31"/>
      <c r="C21" s="7" t="s">
        <v>186</v>
      </c>
      <c r="D21" s="12">
        <v>3</v>
      </c>
      <c r="E21" s="67" t="s">
        <v>2</v>
      </c>
      <c r="J21" s="40"/>
      <c r="K21" s="14"/>
      <c r="O21" s="157" t="s">
        <v>75</v>
      </c>
      <c r="P21" s="5" t="str">
        <f>IF($D$12="Elliptical",2*((4/3*PI()*($D$10/2)^2*($D$14-$D$11/12))/2),"N.A.")</f>
        <v>N.A.</v>
      </c>
      <c r="Q21" s="160" t="s">
        <v>10</v>
      </c>
      <c r="R21" s="161" t="s">
        <v>81</v>
      </c>
      <c r="T21" s="158"/>
      <c r="AB21" s="193">
        <v>3.25</v>
      </c>
      <c r="AC21" s="301">
        <v>158.4</v>
      </c>
      <c r="AD21" s="302">
        <v>122.2</v>
      </c>
      <c r="AE21" s="195"/>
      <c r="AF21" s="267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56"/>
    </row>
    <row r="22" spans="1:44" ht="12.75">
      <c r="A22" s="31"/>
      <c r="C22" s="7" t="s">
        <v>188</v>
      </c>
      <c r="D22" s="11">
        <v>1</v>
      </c>
      <c r="E22" s="67" t="s">
        <v>14</v>
      </c>
      <c r="F22" s="209" t="s">
        <v>11</v>
      </c>
      <c r="J22" s="40"/>
      <c r="K22" s="14"/>
      <c r="O22" s="157" t="s">
        <v>74</v>
      </c>
      <c r="P22" s="5">
        <f>IF($D$12="Spherical",2*(PI()*($D$14-$D$11/12)*(3*$D$10^2+4*($D$14-$D$11/12)^2)/24),"N.A.")</f>
        <v>263.9155237650549</v>
      </c>
      <c r="Q22" s="160" t="s">
        <v>10</v>
      </c>
      <c r="R22" s="161" t="s">
        <v>80</v>
      </c>
      <c r="T22" s="158"/>
      <c r="AB22" s="193">
        <v>3</v>
      </c>
      <c r="AC22" s="301">
        <v>135</v>
      </c>
      <c r="AD22" s="302">
        <v>96.7</v>
      </c>
      <c r="AE22" s="195"/>
      <c r="AF22" s="267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56"/>
    </row>
    <row r="23" spans="1:44" ht="12.75">
      <c r="A23" s="31"/>
      <c r="C23" s="70" t="s">
        <v>146</v>
      </c>
      <c r="D23" s="12">
        <v>28.5</v>
      </c>
      <c r="E23" s="79" t="s">
        <v>2</v>
      </c>
      <c r="F23" s="207" t="s">
        <v>265</v>
      </c>
      <c r="J23" s="40"/>
      <c r="K23" s="14"/>
      <c r="O23" s="157" t="s">
        <v>58</v>
      </c>
      <c r="P23" s="5">
        <f>PI()*$D$10^2/4*$D$13</f>
        <v>1332.0352851220723</v>
      </c>
      <c r="Q23" s="160" t="s">
        <v>10</v>
      </c>
      <c r="R23" s="161" t="s">
        <v>68</v>
      </c>
      <c r="T23" s="156"/>
      <c r="AB23" s="193">
        <v>2.75</v>
      </c>
      <c r="AC23" s="301">
        <v>113.4</v>
      </c>
      <c r="AD23" s="302">
        <v>75</v>
      </c>
      <c r="AE23" s="195"/>
      <c r="AF23" s="267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56"/>
    </row>
    <row r="24" spans="1:44" ht="12.75">
      <c r="A24" s="31"/>
      <c r="C24" s="70" t="s">
        <v>147</v>
      </c>
      <c r="D24" s="12">
        <v>12</v>
      </c>
      <c r="E24" s="79" t="s">
        <v>2</v>
      </c>
      <c r="F24" s="207" t="s">
        <v>278</v>
      </c>
      <c r="J24" s="40"/>
      <c r="O24" s="138" t="s">
        <v>69</v>
      </c>
      <c r="P24" s="134">
        <f>$D$20*(PI()*$D$21^2/4*$D$17)</f>
        <v>21.205750411731103</v>
      </c>
      <c r="Q24" s="160" t="s">
        <v>10</v>
      </c>
      <c r="R24" s="56" t="s">
        <v>70</v>
      </c>
      <c r="T24" s="156"/>
      <c r="AB24" s="193">
        <v>2.5</v>
      </c>
      <c r="AC24" s="301">
        <v>93.8</v>
      </c>
      <c r="AD24" s="302">
        <v>60</v>
      </c>
      <c r="AE24" s="195"/>
      <c r="AF24" s="267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56"/>
    </row>
    <row r="25" spans="1:44" ht="12.75">
      <c r="A25" s="31"/>
      <c r="C25" s="70" t="s">
        <v>234</v>
      </c>
      <c r="D25" s="94">
        <v>1.5</v>
      </c>
      <c r="E25" s="67" t="s">
        <v>2</v>
      </c>
      <c r="F25" s="208" t="s">
        <v>279</v>
      </c>
      <c r="J25" s="40"/>
      <c r="O25" s="157" t="s">
        <v>60</v>
      </c>
      <c r="P25" s="143">
        <f>$P$23+MAX($P$20:$P$22)+$P$24</f>
        <v>1617.1565592988582</v>
      </c>
      <c r="Q25" s="160" t="s">
        <v>10</v>
      </c>
      <c r="R25" s="131" t="s">
        <v>82</v>
      </c>
      <c r="S25" s="134"/>
      <c r="T25" s="5"/>
      <c r="AB25" s="193">
        <v>2.25</v>
      </c>
      <c r="AC25" s="301">
        <v>75.9</v>
      </c>
      <c r="AD25" s="302">
        <v>48</v>
      </c>
      <c r="AE25" s="195"/>
      <c r="AF25" s="267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56"/>
    </row>
    <row r="26" spans="1:44" ht="12.75">
      <c r="A26" s="31"/>
      <c r="C26" s="63" t="s">
        <v>180</v>
      </c>
      <c r="D26" s="94">
        <v>3</v>
      </c>
      <c r="E26" s="64" t="s">
        <v>8</v>
      </c>
      <c r="F26" s="208" t="s">
        <v>280</v>
      </c>
      <c r="J26" s="40"/>
      <c r="O26" s="139" t="s">
        <v>88</v>
      </c>
      <c r="P26" s="5"/>
      <c r="Q26" s="160"/>
      <c r="R26" s="160"/>
      <c r="S26" s="146"/>
      <c r="AB26" s="193">
        <v>2</v>
      </c>
      <c r="AC26" s="301">
        <v>60</v>
      </c>
      <c r="AD26" s="302">
        <v>37.2</v>
      </c>
      <c r="AE26" s="195"/>
      <c r="AF26" s="267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56"/>
    </row>
    <row r="27" spans="1:43" ht="12.75">
      <c r="A27" s="31"/>
      <c r="C27" s="7" t="s">
        <v>181</v>
      </c>
      <c r="D27" s="95">
        <v>4</v>
      </c>
      <c r="E27" s="64"/>
      <c r="F27" s="208" t="s">
        <v>281</v>
      </c>
      <c r="J27" s="40"/>
      <c r="O27" s="157" t="s">
        <v>73</v>
      </c>
      <c r="P27" s="5" t="str">
        <f>IF($D$12="Flat",(62.4*$P$20)/1000,"N.A.")</f>
        <v>N.A.</v>
      </c>
      <c r="Q27" s="142" t="s">
        <v>14</v>
      </c>
      <c r="R27" s="142" t="s">
        <v>193</v>
      </c>
      <c r="AB27" s="193">
        <v>1.875</v>
      </c>
      <c r="AC27" s="301">
        <v>52.7</v>
      </c>
      <c r="AD27" s="302">
        <v>37.2</v>
      </c>
      <c r="AE27" s="195"/>
      <c r="AF27" s="222"/>
      <c r="AG27" s="223"/>
      <c r="AH27" s="223"/>
      <c r="AI27" s="223"/>
      <c r="AJ27" s="223"/>
      <c r="AK27" s="224"/>
      <c r="AL27" s="224"/>
      <c r="AM27" s="224"/>
      <c r="AN27" s="144"/>
      <c r="AO27" s="144"/>
      <c r="AP27" s="224"/>
      <c r="AQ27" s="224"/>
    </row>
    <row r="28" spans="1:43" ht="12.75">
      <c r="A28" s="31"/>
      <c r="B28" s="210">
        <f>IF(AND($D$12="Flat",$D$14&gt;0),"Must input Le = 0, for Flat Tank Ends!","")</f>
      </c>
      <c r="J28" s="40"/>
      <c r="K28" s="14"/>
      <c r="O28" s="157" t="s">
        <v>75</v>
      </c>
      <c r="P28" s="5" t="str">
        <f>IF($D$12="Elliptical",(62.4*$P$21)/1000,"N.A.")</f>
        <v>N.A.</v>
      </c>
      <c r="Q28" s="142" t="s">
        <v>14</v>
      </c>
      <c r="R28" s="142" t="s">
        <v>72</v>
      </c>
      <c r="AB28" s="193">
        <v>1.75</v>
      </c>
      <c r="AC28" s="301">
        <v>45.9</v>
      </c>
      <c r="AD28" s="302">
        <v>28.3</v>
      </c>
      <c r="AE28" s="195"/>
      <c r="AF28" s="222"/>
      <c r="AG28" s="223"/>
      <c r="AH28" s="223"/>
      <c r="AI28" s="223"/>
      <c r="AJ28" s="223"/>
      <c r="AK28" s="224"/>
      <c r="AL28" s="224"/>
      <c r="AM28" s="224"/>
      <c r="AN28" s="144"/>
      <c r="AO28" s="144"/>
      <c r="AP28" s="224"/>
      <c r="AQ28" s="224"/>
    </row>
    <row r="29" spans="1:43" ht="12.75">
      <c r="A29" s="58" t="s">
        <v>37</v>
      </c>
      <c r="B29" s="210">
        <f>IF(AND(OR($D$12="Spherical",$D$12="Elliptical"),$D$14=0),"Must input Le &gt; 0, for Spherical or Elliptical Tank Ends!","")</f>
      </c>
      <c r="J29" s="40"/>
      <c r="K29" s="14"/>
      <c r="O29" s="157" t="s">
        <v>74</v>
      </c>
      <c r="P29" s="5">
        <f>IF($D$12="Spherical",(62.4*$P$22)/1000,"N.A.")</f>
        <v>16.468328682939422</v>
      </c>
      <c r="Q29" s="142" t="s">
        <v>14</v>
      </c>
      <c r="R29" s="142" t="s">
        <v>72</v>
      </c>
      <c r="AB29" s="193">
        <v>1.625</v>
      </c>
      <c r="AC29" s="301">
        <v>39.6</v>
      </c>
      <c r="AD29" s="302">
        <v>24.5</v>
      </c>
      <c r="AE29" s="195"/>
      <c r="AF29" s="222"/>
      <c r="AG29" s="223"/>
      <c r="AH29" s="223"/>
      <c r="AI29" s="223"/>
      <c r="AJ29" s="223"/>
      <c r="AK29" s="224"/>
      <c r="AL29" s="224"/>
      <c r="AM29" s="224"/>
      <c r="AN29" s="144"/>
      <c r="AO29" s="144"/>
      <c r="AP29" s="224"/>
      <c r="AQ29" s="224"/>
    </row>
    <row r="30" spans="1:43" ht="12.75">
      <c r="A30" s="31"/>
      <c r="C30" s="201">
        <f>IF($D$25&lt;$D$61,"Fdn. Tf(req'd) =","")</f>
      </c>
      <c r="D30" s="197">
        <f>IF($D$25&lt;$D$61,$D$61,"")</f>
      </c>
      <c r="E30" s="206">
        <f>IF($D$25&lt;$D$61,"ft.","")</f>
      </c>
      <c r="J30" s="40"/>
      <c r="K30" s="14"/>
      <c r="N30" s="14"/>
      <c r="O30" s="157" t="s">
        <v>58</v>
      </c>
      <c r="P30" s="5">
        <f>(62.4*$P$23)/1000</f>
        <v>83.11900179161731</v>
      </c>
      <c r="Q30" s="142" t="s">
        <v>14</v>
      </c>
      <c r="R30" s="142" t="s">
        <v>16</v>
      </c>
      <c r="AB30" s="193">
        <v>1.5</v>
      </c>
      <c r="AC30" s="301">
        <v>33.8</v>
      </c>
      <c r="AD30" s="302">
        <v>21</v>
      </c>
      <c r="AE30" s="195"/>
      <c r="AF30" s="222"/>
      <c r="AG30" s="223"/>
      <c r="AH30" s="223"/>
      <c r="AI30" s="223"/>
      <c r="AJ30" s="223"/>
      <c r="AK30" s="224"/>
      <c r="AL30" s="224"/>
      <c r="AM30" s="224"/>
      <c r="AN30" s="144"/>
      <c r="AO30" s="144"/>
      <c r="AP30" s="224"/>
      <c r="AQ30" s="224"/>
    </row>
    <row r="31" spans="1:41" ht="12.75">
      <c r="A31" s="58" t="s">
        <v>15</v>
      </c>
      <c r="J31" s="40"/>
      <c r="K31" s="14"/>
      <c r="N31" s="14"/>
      <c r="O31" s="140" t="s">
        <v>89</v>
      </c>
      <c r="P31" s="5">
        <f>(62.4*$P$24)/1000</f>
        <v>1.323238825692021</v>
      </c>
      <c r="Q31" s="142" t="s">
        <v>14</v>
      </c>
      <c r="R31" s="23" t="s">
        <v>83</v>
      </c>
      <c r="AB31" s="193">
        <v>1.375</v>
      </c>
      <c r="AC31" s="301">
        <v>28.4</v>
      </c>
      <c r="AD31" s="302">
        <v>17.4</v>
      </c>
      <c r="AE31" s="195"/>
      <c r="AN31" s="29"/>
      <c r="AO31" s="29"/>
    </row>
    <row r="32" spans="1:41" ht="12.75">
      <c r="A32" s="31"/>
      <c r="C32" s="7" t="s">
        <v>99</v>
      </c>
      <c r="D32" s="73">
        <f>$P$4</f>
        <v>8.0833</v>
      </c>
      <c r="E32" s="64" t="s">
        <v>2</v>
      </c>
      <c r="F32" s="32" t="str">
        <f>$R$4</f>
        <v>OD=ID+2*(t/12)</v>
      </c>
      <c r="I32" s="43"/>
      <c r="J32" s="40"/>
      <c r="K32" s="14"/>
      <c r="N32" s="14"/>
      <c r="O32" s="141" t="s">
        <v>71</v>
      </c>
      <c r="P32" s="143">
        <f>$P$30+MAX($P$27:$P$29)+$P$31</f>
        <v>100.91056930024874</v>
      </c>
      <c r="Q32" s="142" t="s">
        <v>14</v>
      </c>
      <c r="R32" s="23" t="s">
        <v>90</v>
      </c>
      <c r="AB32" s="193">
        <v>1.25</v>
      </c>
      <c r="AC32" s="301">
        <v>23.4</v>
      </c>
      <c r="AD32" s="302">
        <v>15.2</v>
      </c>
      <c r="AE32" s="195"/>
      <c r="AN32" s="29"/>
      <c r="AO32" s="29"/>
    </row>
    <row r="33" spans="1:41" ht="12.75">
      <c r="A33" s="31"/>
      <c r="C33" s="7" t="s">
        <v>64</v>
      </c>
      <c r="D33" s="136">
        <f>$P$5</f>
        <v>34.5</v>
      </c>
      <c r="E33" s="64" t="s">
        <v>2</v>
      </c>
      <c r="F33" s="32" t="str">
        <f>$R$5</f>
        <v>L(total) = Lc+2*Le</v>
      </c>
      <c r="I33" s="43"/>
      <c r="J33" s="40"/>
      <c r="K33" s="14"/>
      <c r="N33" s="14"/>
      <c r="O33" s="139" t="s">
        <v>185</v>
      </c>
      <c r="AB33" s="193">
        <v>1.125</v>
      </c>
      <c r="AC33" s="301">
        <v>19</v>
      </c>
      <c r="AD33" s="302">
        <v>11.6</v>
      </c>
      <c r="AE33" s="195"/>
      <c r="AN33" s="29"/>
      <c r="AO33" s="29"/>
    </row>
    <row r="34" spans="1:41" ht="12.75">
      <c r="A34" s="31"/>
      <c r="C34" s="70" t="s">
        <v>100</v>
      </c>
      <c r="D34" s="74">
        <f>IF($D$12="Flat",$P$7,IF($D$12="Elliptical",$P$8,IF($D$12="Spherical",$P$9)))</f>
        <v>203.166386757023</v>
      </c>
      <c r="E34" s="67" t="s">
        <v>7</v>
      </c>
      <c r="F34" s="42" t="str">
        <f>IF($D$12="Flat",$R$7,IF($D$12="Elliptical",$R$8,IF($D$12="Spherical",$R$9)))</f>
        <v>Ae = 2*(pi*(OD^2+4*Le^2)/4)</v>
      </c>
      <c r="I34" s="43"/>
      <c r="J34" s="40"/>
      <c r="K34" s="14"/>
      <c r="N34" s="14"/>
      <c r="O34" s="140" t="s">
        <v>112</v>
      </c>
      <c r="P34" s="134">
        <f>(($D$17+$P$4+1)*$D$23*$D$24)-$P$25</f>
        <v>2515.3320407011424</v>
      </c>
      <c r="Q34" s="142" t="s">
        <v>10</v>
      </c>
      <c r="R34" s="145" t="s">
        <v>282</v>
      </c>
      <c r="V34" s="37"/>
      <c r="W34" s="37"/>
      <c r="AB34" s="193">
        <v>1</v>
      </c>
      <c r="AC34" s="301">
        <v>15</v>
      </c>
      <c r="AD34" s="302">
        <v>9.3</v>
      </c>
      <c r="AE34" s="195"/>
      <c r="AN34" s="29"/>
      <c r="AO34" s="29"/>
    </row>
    <row r="35" spans="1:41" ht="12.75">
      <c r="A35" s="31"/>
      <c r="C35" s="70" t="s">
        <v>101</v>
      </c>
      <c r="D35" s="75">
        <f>$P$10</f>
        <v>672.952551264203</v>
      </c>
      <c r="E35" s="67" t="s">
        <v>7</v>
      </c>
      <c r="F35" s="137" t="str">
        <f>$R$10</f>
        <v>Ac = pi*OD*Lc</v>
      </c>
      <c r="I35" s="43"/>
      <c r="J35" s="40"/>
      <c r="K35" s="14"/>
      <c r="N35" s="14"/>
      <c r="O35" s="141" t="s">
        <v>113</v>
      </c>
      <c r="P35" s="134">
        <f>$D$16-62.4</f>
        <v>42.6</v>
      </c>
      <c r="Q35" s="23" t="s">
        <v>9</v>
      </c>
      <c r="R35" s="56" t="s">
        <v>194</v>
      </c>
      <c r="T35" s="163"/>
      <c r="V35" s="37"/>
      <c r="W35" s="37"/>
      <c r="AB35" s="193">
        <v>0.875</v>
      </c>
      <c r="AC35" s="301">
        <v>11.5</v>
      </c>
      <c r="AD35" s="302">
        <v>7.2</v>
      </c>
      <c r="AN35" s="29"/>
      <c r="AO35" s="29"/>
    </row>
    <row r="36" spans="1:41" ht="12.75">
      <c r="A36" s="31"/>
      <c r="C36" s="162" t="s">
        <v>63</v>
      </c>
      <c r="D36" s="75">
        <f>$P$11</f>
        <v>876.118938021226</v>
      </c>
      <c r="E36" s="67" t="s">
        <v>7</v>
      </c>
      <c r="F36" s="137" t="str">
        <f>$R$11</f>
        <v>A(total) = Ac+Ae</v>
      </c>
      <c r="I36" s="43"/>
      <c r="J36" s="40"/>
      <c r="N36" s="14"/>
      <c r="O36" s="141" t="s">
        <v>114</v>
      </c>
      <c r="P36" s="134">
        <f>($P$34*$P$35)/1000</f>
        <v>107.15314493386866</v>
      </c>
      <c r="Q36" s="23" t="s">
        <v>14</v>
      </c>
      <c r="R36" s="56" t="s">
        <v>17</v>
      </c>
      <c r="T36" s="164"/>
      <c r="V36" s="37"/>
      <c r="W36" s="37"/>
      <c r="AB36" s="193">
        <v>0.75</v>
      </c>
      <c r="AC36" s="301">
        <v>8.4</v>
      </c>
      <c r="AD36" s="302">
        <v>5.2</v>
      </c>
      <c r="AN36" s="29"/>
      <c r="AO36" s="29"/>
    </row>
    <row r="37" spans="1:41" ht="12.75">
      <c r="A37" s="31"/>
      <c r="C37" s="7" t="s">
        <v>102</v>
      </c>
      <c r="D37" s="135">
        <f>IF($D$12="Flat",$P$14,IF($D$12="Elliptical",$P$15,IF($D$12="Spherical",$P$16)))</f>
        <v>0.8465266114875957</v>
      </c>
      <c r="E37" s="64" t="s">
        <v>14</v>
      </c>
      <c r="F37" s="42" t="str">
        <f>IF($D$12="Flat",$R$14,IF($D$12="Elliptical",$R$15,IF($D$12="Spherical",$R$16)))</f>
        <v>We = Ae*(t/12)*w</v>
      </c>
      <c r="I37" s="43"/>
      <c r="J37" s="40"/>
      <c r="N37" s="14"/>
      <c r="O37" s="41" t="s">
        <v>141</v>
      </c>
      <c r="V37" s="37"/>
      <c r="W37" s="37"/>
      <c r="AB37" s="193">
        <v>0.625</v>
      </c>
      <c r="AC37" s="301">
        <v>5.9</v>
      </c>
      <c r="AD37" s="302">
        <v>3.5</v>
      </c>
      <c r="AN37" s="29"/>
      <c r="AO37" s="29"/>
    </row>
    <row r="38" spans="1:30" ht="12.75">
      <c r="A38" s="31"/>
      <c r="C38" s="7" t="s">
        <v>103</v>
      </c>
      <c r="D38" s="75">
        <f>$P$17</f>
        <v>2.803968963600845</v>
      </c>
      <c r="E38" s="64" t="s">
        <v>14</v>
      </c>
      <c r="F38" s="137" t="str">
        <f>$R$17</f>
        <v>Wc = Ac*(t/12)*w</v>
      </c>
      <c r="J38" s="40"/>
      <c r="K38" s="5"/>
      <c r="N38" s="14"/>
      <c r="O38" s="140" t="s">
        <v>148</v>
      </c>
      <c r="P38" s="5">
        <f>MAX(($P$32*$D$9)-($P$18+$P$36),0)</f>
        <v>39.56221344141599</v>
      </c>
      <c r="Q38" s="142" t="s">
        <v>14</v>
      </c>
      <c r="R38" s="142" t="s">
        <v>175</v>
      </c>
      <c r="S38" s="146"/>
      <c r="V38" s="37"/>
      <c r="W38" s="37"/>
      <c r="AB38" s="193">
        <v>0.5</v>
      </c>
      <c r="AC38" s="301">
        <v>3.8</v>
      </c>
      <c r="AD38" s="302">
        <v>2.2</v>
      </c>
    </row>
    <row r="39" spans="1:30" ht="12.75" customHeight="1">
      <c r="A39" s="31"/>
      <c r="C39" s="7" t="s">
        <v>106</v>
      </c>
      <c r="D39" s="76">
        <f>$P$18</f>
        <v>4.65049557508844</v>
      </c>
      <c r="E39" s="64" t="s">
        <v>14</v>
      </c>
      <c r="F39" s="137" t="str">
        <f>$R$18</f>
        <v>W(total) = Wc+We+Wm</v>
      </c>
      <c r="J39" s="40"/>
      <c r="O39" s="141" t="s">
        <v>115</v>
      </c>
      <c r="P39" s="5">
        <f>150-62.4</f>
        <v>87.6</v>
      </c>
      <c r="Q39" s="23" t="s">
        <v>9</v>
      </c>
      <c r="R39" s="23" t="s">
        <v>150</v>
      </c>
      <c r="S39" s="146"/>
      <c r="W39" s="37"/>
      <c r="AB39" s="194">
        <v>0.375</v>
      </c>
      <c r="AC39" s="303">
        <v>2.1</v>
      </c>
      <c r="AD39" s="304">
        <v>1.2</v>
      </c>
    </row>
    <row r="40" spans="1:23" ht="12.75">
      <c r="A40" s="31"/>
      <c r="F40" s="212">
        <f>""&amp;IF($D$12="Elliptical",$R$12,"")</f>
      </c>
      <c r="J40" s="40"/>
      <c r="O40" s="140" t="s">
        <v>137</v>
      </c>
      <c r="P40" s="5">
        <f>$P$38/($P$39/1000)</f>
        <v>451.6234411120547</v>
      </c>
      <c r="Q40" s="142" t="s">
        <v>10</v>
      </c>
      <c r="R40" s="142" t="s">
        <v>149</v>
      </c>
      <c r="S40" s="146"/>
      <c r="W40" s="37"/>
    </row>
    <row r="41" spans="1:40" ht="12.75">
      <c r="A41" s="77" t="s">
        <v>13</v>
      </c>
      <c r="C41" s="42"/>
      <c r="D41" s="42"/>
      <c r="E41" s="42"/>
      <c r="F41" s="42"/>
      <c r="G41" s="42"/>
      <c r="J41" s="40"/>
      <c r="K41" s="14"/>
      <c r="O41" s="140" t="s">
        <v>195</v>
      </c>
      <c r="P41" s="81">
        <f>ROUND($P$40/($D$23*$D$24),1)</f>
        <v>1.3</v>
      </c>
      <c r="Q41" s="142" t="s">
        <v>2</v>
      </c>
      <c r="R41" s="142" t="s">
        <v>196</v>
      </c>
      <c r="S41" s="146"/>
      <c r="AN41" s="41"/>
    </row>
    <row r="42" spans="1:44" ht="12.75">
      <c r="A42" s="31"/>
      <c r="C42" s="70" t="s">
        <v>104</v>
      </c>
      <c r="D42" s="87">
        <f>IF($D$12="Flat",$P$20,IF($D$12="Elliptical",$P$21,IF($D$12="Spherical",$P$22)))</f>
        <v>263.9155237650549</v>
      </c>
      <c r="E42" s="79" t="s">
        <v>10</v>
      </c>
      <c r="F42" s="42" t="str">
        <f>IF($D$12="Flat",$R$20,IF($D$12="Elliptical",$R$21,IF($D$12="Spherical",$R$22)))</f>
        <v>Ve = 2*(pi*(Le-t/12)*(3*OD^2+4*(Le-t/12)^2)/24)</v>
      </c>
      <c r="G42" s="42"/>
      <c r="I42" s="43"/>
      <c r="J42" s="40"/>
      <c r="K42" s="14"/>
      <c r="O42" s="139" t="s">
        <v>179</v>
      </c>
      <c r="AB42" s="229" t="s">
        <v>242</v>
      </c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1"/>
      <c r="AO42" s="29"/>
      <c r="AP42" s="29"/>
      <c r="AQ42" s="29"/>
      <c r="AR42" s="29"/>
    </row>
    <row r="43" spans="1:44" ht="12.75">
      <c r="A43" s="62"/>
      <c r="B43" s="42"/>
      <c r="C43" s="70" t="s">
        <v>105</v>
      </c>
      <c r="D43" s="74">
        <f>$P$23</f>
        <v>1332.0352851220723</v>
      </c>
      <c r="E43" s="79" t="s">
        <v>10</v>
      </c>
      <c r="F43" s="32" t="str">
        <f>$R$23</f>
        <v>Vc = pi*ID^2/4*Lc</v>
      </c>
      <c r="I43" s="43"/>
      <c r="J43" s="40"/>
      <c r="K43" s="14"/>
      <c r="O43" s="147" t="s">
        <v>116</v>
      </c>
      <c r="P43" s="134">
        <f>IF($D$26&gt;0,($P$32-$P$18)/(2*$D$27),"N.A.")</f>
        <v>12.032509215645037</v>
      </c>
      <c r="Q43" s="145" t="s">
        <v>14</v>
      </c>
      <c r="R43" s="145" t="s">
        <v>176</v>
      </c>
      <c r="S43" s="145"/>
      <c r="AB43" s="218" t="s">
        <v>231</v>
      </c>
      <c r="AC43" s="229" t="s">
        <v>232</v>
      </c>
      <c r="AD43" s="232"/>
      <c r="AE43" s="232"/>
      <c r="AF43" s="232"/>
      <c r="AG43" s="233"/>
      <c r="AH43" s="233"/>
      <c r="AI43" s="233"/>
      <c r="AJ43" s="234"/>
      <c r="AK43" s="235"/>
      <c r="AL43" s="235"/>
      <c r="AM43" s="236"/>
      <c r="AO43" s="29"/>
      <c r="AP43" s="29"/>
      <c r="AQ43" s="29"/>
      <c r="AR43" s="29"/>
    </row>
    <row r="44" spans="1:44" ht="12.75">
      <c r="A44" s="62"/>
      <c r="B44" s="42"/>
      <c r="C44" s="7" t="s">
        <v>235</v>
      </c>
      <c r="D44" s="74">
        <f>$P$24</f>
        <v>21.205750411731103</v>
      </c>
      <c r="E44" s="79" t="s">
        <v>10</v>
      </c>
      <c r="F44" s="32" t="str">
        <f>$R$24</f>
        <v>Vr = Nr*(pi*Dr^2/4*h)</v>
      </c>
      <c r="I44" s="42"/>
      <c r="J44" s="40"/>
      <c r="K44" s="14"/>
      <c r="O44" s="147" t="s">
        <v>117</v>
      </c>
      <c r="P44" s="134">
        <f>IF($D$26&gt;0,0.6*36,"N.A.")</f>
        <v>21.599999999999998</v>
      </c>
      <c r="Q44" s="145" t="s">
        <v>24</v>
      </c>
      <c r="R44" s="145" t="s">
        <v>184</v>
      </c>
      <c r="S44" s="145"/>
      <c r="AB44" s="220" t="s">
        <v>233</v>
      </c>
      <c r="AC44" s="305">
        <v>1</v>
      </c>
      <c r="AD44" s="306">
        <v>1.5</v>
      </c>
      <c r="AE44" s="307">
        <v>2</v>
      </c>
      <c r="AF44" s="306">
        <v>2.5</v>
      </c>
      <c r="AG44" s="307">
        <v>3</v>
      </c>
      <c r="AH44" s="306">
        <v>3.5</v>
      </c>
      <c r="AI44" s="307">
        <v>4</v>
      </c>
      <c r="AJ44" s="306">
        <v>4.5</v>
      </c>
      <c r="AK44" s="307">
        <v>5</v>
      </c>
      <c r="AL44" s="306">
        <v>5.5</v>
      </c>
      <c r="AM44" s="307">
        <v>6</v>
      </c>
      <c r="AO44" s="29"/>
      <c r="AP44" s="29"/>
      <c r="AQ44" s="29"/>
      <c r="AR44" s="29"/>
    </row>
    <row r="45" spans="1:44" ht="12.75">
      <c r="A45" s="31"/>
      <c r="C45" s="7" t="s">
        <v>107</v>
      </c>
      <c r="D45" s="74">
        <f>$P$25</f>
        <v>1617.1565592988582</v>
      </c>
      <c r="E45" s="79" t="s">
        <v>10</v>
      </c>
      <c r="F45" s="32" t="str">
        <f>$R$25</f>
        <v>V(total) = Vc+Ve+Vr</v>
      </c>
      <c r="G45" s="42"/>
      <c r="H45" s="42"/>
      <c r="I45" s="42"/>
      <c r="J45" s="40"/>
      <c r="K45" s="14"/>
      <c r="O45" s="147" t="s">
        <v>118</v>
      </c>
      <c r="P45" s="148">
        <f>IF($D$26&gt;0,$P$43/($D$26*$P$44),"N.A.")</f>
        <v>0.18568687061180614</v>
      </c>
      <c r="Q45" s="145" t="s">
        <v>8</v>
      </c>
      <c r="R45" s="145" t="s">
        <v>26</v>
      </c>
      <c r="S45" s="145"/>
      <c r="T45" s="81"/>
      <c r="V45" s="145"/>
      <c r="AB45" s="253">
        <v>1</v>
      </c>
      <c r="AC45" s="248">
        <v>21.6</v>
      </c>
      <c r="AD45" s="248">
        <v>32.4</v>
      </c>
      <c r="AE45" s="248">
        <v>43.2</v>
      </c>
      <c r="AF45" s="248">
        <v>54</v>
      </c>
      <c r="AG45" s="248">
        <v>64.8</v>
      </c>
      <c r="AH45" s="248">
        <v>75.6</v>
      </c>
      <c r="AI45" s="247">
        <v>86.4</v>
      </c>
      <c r="AJ45" s="248">
        <v>97.2</v>
      </c>
      <c r="AK45" s="248">
        <v>108</v>
      </c>
      <c r="AL45" s="248">
        <v>118.8</v>
      </c>
      <c r="AM45" s="248">
        <v>129.6</v>
      </c>
      <c r="AO45" s="30"/>
      <c r="AP45" s="30"/>
      <c r="AQ45" s="30"/>
      <c r="AR45" s="30"/>
    </row>
    <row r="46" spans="1:44" ht="12.75">
      <c r="A46" s="31"/>
      <c r="C46" s="70" t="s">
        <v>108</v>
      </c>
      <c r="D46" s="74">
        <f>IF($D$12="Flat",$P$27,IF($D$12="Elliptical",$P$28,IF($D$12="Spherical",$P$29)))</f>
        <v>16.468328682939422</v>
      </c>
      <c r="E46" s="79" t="s">
        <v>14</v>
      </c>
      <c r="F46" s="42" t="str">
        <f>IF($D$12="Flat",$R$27,IF($D$12="Elliptical",$R$28,IF($D$12="Spherical",$R$29)))</f>
        <v>Ue = (62.4*Ve)/1000</v>
      </c>
      <c r="H46" s="42"/>
      <c r="I46" s="42"/>
      <c r="J46" s="40"/>
      <c r="K46" s="14"/>
      <c r="O46" s="147" t="s">
        <v>243</v>
      </c>
      <c r="P46" s="258">
        <f>VLOOKUP(MATCH($P$43,$Z$109:$Z$123,-1),$L$109:$M$123,2)</f>
        <v>0.1875</v>
      </c>
      <c r="Q46" s="145" t="s">
        <v>8</v>
      </c>
      <c r="R46" s="250"/>
      <c r="S46" s="250"/>
      <c r="AB46" s="249">
        <v>0.9375</v>
      </c>
      <c r="AC46" s="308">
        <v>20.3</v>
      </c>
      <c r="AD46" s="308">
        <v>30.4</v>
      </c>
      <c r="AE46" s="308">
        <v>40.5</v>
      </c>
      <c r="AF46" s="308">
        <v>50.6</v>
      </c>
      <c r="AG46" s="308">
        <v>60.8</v>
      </c>
      <c r="AH46" s="308">
        <v>70.9</v>
      </c>
      <c r="AI46" s="309">
        <v>81</v>
      </c>
      <c r="AJ46" s="308">
        <v>91.1</v>
      </c>
      <c r="AK46" s="308">
        <v>101.3</v>
      </c>
      <c r="AL46" s="308">
        <v>111.4</v>
      </c>
      <c r="AM46" s="308">
        <v>121.5</v>
      </c>
      <c r="AO46" s="30"/>
      <c r="AP46" s="30"/>
      <c r="AQ46" s="30"/>
      <c r="AR46" s="30"/>
    </row>
    <row r="47" spans="1:44" ht="12.75">
      <c r="A47" s="31"/>
      <c r="C47" s="70" t="s">
        <v>109</v>
      </c>
      <c r="D47" s="74">
        <f>$P$30</f>
        <v>83.11900179161731</v>
      </c>
      <c r="E47" s="79" t="s">
        <v>14</v>
      </c>
      <c r="F47" s="32" t="str">
        <f>$R$30</f>
        <v>Uc = (62.4*Vc)/1000</v>
      </c>
      <c r="H47" s="42"/>
      <c r="I47" s="42"/>
      <c r="J47" s="40"/>
      <c r="K47" s="14"/>
      <c r="O47" s="147" t="s">
        <v>239</v>
      </c>
      <c r="P47" s="223">
        <f>VLOOKUP(MATCH($P$43,$Z$109:$Z$123,-1),$Y$109:$Z$123,2)</f>
        <v>12.2</v>
      </c>
      <c r="Q47" s="145" t="s">
        <v>14</v>
      </c>
      <c r="R47" s="14" t="s">
        <v>246</v>
      </c>
      <c r="V47" s="44"/>
      <c r="AB47" s="249">
        <v>0.875</v>
      </c>
      <c r="AC47" s="308">
        <v>18.9</v>
      </c>
      <c r="AD47" s="308">
        <v>28.4</v>
      </c>
      <c r="AE47" s="308">
        <v>37.8</v>
      </c>
      <c r="AF47" s="308">
        <v>47.3</v>
      </c>
      <c r="AG47" s="308">
        <v>56.7</v>
      </c>
      <c r="AH47" s="308">
        <v>66.2</v>
      </c>
      <c r="AI47" s="309">
        <v>75.6</v>
      </c>
      <c r="AJ47" s="308">
        <v>85.1</v>
      </c>
      <c r="AK47" s="308">
        <v>94.5</v>
      </c>
      <c r="AL47" s="308">
        <v>104</v>
      </c>
      <c r="AM47" s="308">
        <v>113.4</v>
      </c>
      <c r="AO47" s="30"/>
      <c r="AP47" s="30"/>
      <c r="AQ47" s="30"/>
      <c r="AR47" s="30"/>
    </row>
    <row r="48" spans="1:44" ht="12.75">
      <c r="A48" s="31"/>
      <c r="C48" s="70" t="s">
        <v>110</v>
      </c>
      <c r="D48" s="74">
        <f>$P$31</f>
        <v>1.323238825692021</v>
      </c>
      <c r="E48" s="79" t="s">
        <v>14</v>
      </c>
      <c r="F48" s="32" t="str">
        <f>$R$31</f>
        <v>Ur = (62.4*Vr)/1000</v>
      </c>
      <c r="H48" s="42"/>
      <c r="I48" s="42"/>
      <c r="J48" s="40"/>
      <c r="K48" s="14"/>
      <c r="O48" s="139" t="s">
        <v>130</v>
      </c>
      <c r="AB48" s="249">
        <v>0.8125</v>
      </c>
      <c r="AC48" s="308">
        <v>17.6</v>
      </c>
      <c r="AD48" s="308">
        <v>26.3</v>
      </c>
      <c r="AE48" s="308">
        <v>35.1</v>
      </c>
      <c r="AF48" s="308">
        <v>43.9</v>
      </c>
      <c r="AG48" s="308">
        <v>52.7</v>
      </c>
      <c r="AH48" s="308">
        <v>61.4</v>
      </c>
      <c r="AI48" s="309">
        <v>70.2</v>
      </c>
      <c r="AJ48" s="308">
        <v>79</v>
      </c>
      <c r="AK48" s="308">
        <v>87.8</v>
      </c>
      <c r="AL48" s="308">
        <v>96.5</v>
      </c>
      <c r="AM48" s="308">
        <v>105.3</v>
      </c>
      <c r="AO48" s="30"/>
      <c r="AP48" s="30"/>
      <c r="AQ48" s="30"/>
      <c r="AR48" s="30"/>
    </row>
    <row r="49" spans="1:44" ht="12.75">
      <c r="A49" s="31"/>
      <c r="C49" s="7" t="s">
        <v>111</v>
      </c>
      <c r="D49" s="76">
        <f>$P$32</f>
        <v>100.91056930024874</v>
      </c>
      <c r="E49" s="79" t="s">
        <v>14</v>
      </c>
      <c r="F49" s="32" t="str">
        <f>$R$32</f>
        <v>U(total) = Uc+Ue+Ur</v>
      </c>
      <c r="J49" s="40"/>
      <c r="K49" s="14"/>
      <c r="O49" s="147" t="s">
        <v>119</v>
      </c>
      <c r="P49" s="134">
        <f>($P$32-$P$18)/(2*$D$27)</f>
        <v>12.032509215645037</v>
      </c>
      <c r="Q49" s="145" t="s">
        <v>14</v>
      </c>
      <c r="R49" s="145" t="s">
        <v>177</v>
      </c>
      <c r="S49" s="145"/>
      <c r="AB49" s="249">
        <v>0.75</v>
      </c>
      <c r="AC49" s="308">
        <v>16.2</v>
      </c>
      <c r="AD49" s="308">
        <v>24.3</v>
      </c>
      <c r="AE49" s="308">
        <v>32.4</v>
      </c>
      <c r="AF49" s="308">
        <v>40.5</v>
      </c>
      <c r="AG49" s="308">
        <v>48.6</v>
      </c>
      <c r="AH49" s="308">
        <v>56.7</v>
      </c>
      <c r="AI49" s="309">
        <v>64.8</v>
      </c>
      <c r="AJ49" s="308">
        <v>72.9</v>
      </c>
      <c r="AK49" s="308">
        <v>81</v>
      </c>
      <c r="AL49" s="308">
        <v>89.1</v>
      </c>
      <c r="AM49" s="308">
        <v>97.2</v>
      </c>
      <c r="AO49" s="30"/>
      <c r="AP49" s="30"/>
      <c r="AQ49" s="30"/>
      <c r="AR49" s="30"/>
    </row>
    <row r="50" spans="1:44" ht="12.75">
      <c r="A50" s="31"/>
      <c r="J50" s="40"/>
      <c r="K50" s="14"/>
      <c r="O50" s="147" t="s">
        <v>117</v>
      </c>
      <c r="P50" s="134">
        <f>19.1</f>
        <v>19.1</v>
      </c>
      <c r="Q50" s="145" t="s">
        <v>24</v>
      </c>
      <c r="R50" s="145" t="s">
        <v>182</v>
      </c>
      <c r="S50" s="145"/>
      <c r="AB50" s="249">
        <v>0.6875</v>
      </c>
      <c r="AC50" s="308">
        <v>14.9</v>
      </c>
      <c r="AD50" s="308">
        <v>22.3</v>
      </c>
      <c r="AE50" s="308">
        <v>29.7</v>
      </c>
      <c r="AF50" s="308">
        <v>37.1</v>
      </c>
      <c r="AG50" s="308">
        <v>44.6</v>
      </c>
      <c r="AH50" s="308">
        <v>52</v>
      </c>
      <c r="AI50" s="309">
        <v>59.4</v>
      </c>
      <c r="AJ50" s="308">
        <v>66.8</v>
      </c>
      <c r="AK50" s="308">
        <v>74.3</v>
      </c>
      <c r="AL50" s="308">
        <v>81.7</v>
      </c>
      <c r="AM50" s="308">
        <v>89.1</v>
      </c>
      <c r="AO50" s="30"/>
      <c r="AP50" s="30"/>
      <c r="AQ50" s="30"/>
      <c r="AR50" s="30"/>
    </row>
    <row r="51" spans="1:39" ht="12.75">
      <c r="A51" s="77" t="s">
        <v>183</v>
      </c>
      <c r="B51" s="42"/>
      <c r="H51" s="42"/>
      <c r="I51" s="42"/>
      <c r="J51" s="40"/>
      <c r="K51" s="44"/>
      <c r="O51" s="147" t="s">
        <v>120</v>
      </c>
      <c r="P51" s="144">
        <f>SQRT(4*$P$49/(PI()*$P$50))</f>
        <v>0.8956049333473445</v>
      </c>
      <c r="Q51" s="145" t="s">
        <v>8</v>
      </c>
      <c r="R51" s="145" t="s">
        <v>256</v>
      </c>
      <c r="S51" s="145"/>
      <c r="AB51" s="249">
        <v>0.625</v>
      </c>
      <c r="AC51" s="308">
        <v>13.5</v>
      </c>
      <c r="AD51" s="308">
        <v>20.3</v>
      </c>
      <c r="AE51" s="308">
        <v>27</v>
      </c>
      <c r="AF51" s="308">
        <v>33.8</v>
      </c>
      <c r="AG51" s="308">
        <v>40.5</v>
      </c>
      <c r="AH51" s="308">
        <v>47.3</v>
      </c>
      <c r="AI51" s="309">
        <v>54</v>
      </c>
      <c r="AJ51" s="308">
        <v>60.8</v>
      </c>
      <c r="AK51" s="308">
        <v>67.5</v>
      </c>
      <c r="AL51" s="308">
        <v>74.3</v>
      </c>
      <c r="AM51" s="308">
        <v>81</v>
      </c>
    </row>
    <row r="52" spans="1:39" ht="12.75">
      <c r="A52" s="62"/>
      <c r="B52" s="42"/>
      <c r="C52" s="70" t="s">
        <v>112</v>
      </c>
      <c r="D52" s="87">
        <f>$P$34</f>
        <v>2515.3320407011424</v>
      </c>
      <c r="E52" s="79" t="s">
        <v>10</v>
      </c>
      <c r="F52" s="32" t="str">
        <f>$R$34</f>
        <v>Vs = ((h+OD+1.0')*Lf*Bf)-V(total)</v>
      </c>
      <c r="G52" s="42"/>
      <c r="H52" s="43"/>
      <c r="I52" s="43"/>
      <c r="J52" s="40"/>
      <c r="K52" s="14"/>
      <c r="O52" s="147" t="s">
        <v>244</v>
      </c>
      <c r="P52" s="81">
        <f>VLOOKUP(MATCH($P$49,$N$78:$N$103,-1),$L$78:$N$103,2)</f>
        <v>1</v>
      </c>
      <c r="Q52" s="145" t="s">
        <v>8</v>
      </c>
      <c r="AB52" s="249">
        <v>0.5625</v>
      </c>
      <c r="AC52" s="308">
        <v>12.2</v>
      </c>
      <c r="AD52" s="308">
        <v>18.2</v>
      </c>
      <c r="AE52" s="308">
        <v>24.3</v>
      </c>
      <c r="AF52" s="308">
        <v>30.4</v>
      </c>
      <c r="AG52" s="308">
        <v>36.5</v>
      </c>
      <c r="AH52" s="308">
        <v>42.5</v>
      </c>
      <c r="AI52" s="309">
        <v>48.6</v>
      </c>
      <c r="AJ52" s="308">
        <v>54.7</v>
      </c>
      <c r="AK52" s="308">
        <v>60.8</v>
      </c>
      <c r="AL52" s="308">
        <v>66.8</v>
      </c>
      <c r="AM52" s="308">
        <v>72.9</v>
      </c>
    </row>
    <row r="53" spans="1:39" ht="12.75">
      <c r="A53" s="62"/>
      <c r="B53" s="42"/>
      <c r="C53" s="7" t="s">
        <v>113</v>
      </c>
      <c r="D53" s="75">
        <f>$P$35</f>
        <v>42.6</v>
      </c>
      <c r="E53" s="82" t="s">
        <v>9</v>
      </c>
      <c r="F53" s="32" t="str">
        <f>$R$35</f>
        <v>ws = we-62.4  (unit weight of water = 62.4 pcf)</v>
      </c>
      <c r="H53" s="43"/>
      <c r="I53" s="43"/>
      <c r="J53" s="40"/>
      <c r="K53" s="14"/>
      <c r="L53" s="42"/>
      <c r="O53" s="147" t="s">
        <v>121</v>
      </c>
      <c r="P53" s="195">
        <f>VLOOKUP(MATCH($P$49,$N$78:$N$103,-1),$L$78:$N$103,3)</f>
        <v>15</v>
      </c>
      <c r="Q53" s="145" t="s">
        <v>14</v>
      </c>
      <c r="R53" s="145" t="s">
        <v>247</v>
      </c>
      <c r="S53" s="145"/>
      <c r="AB53" s="249">
        <v>0.5</v>
      </c>
      <c r="AC53" s="308">
        <v>10.8</v>
      </c>
      <c r="AD53" s="308">
        <v>16.2</v>
      </c>
      <c r="AE53" s="308">
        <v>21.6</v>
      </c>
      <c r="AF53" s="308">
        <v>27</v>
      </c>
      <c r="AG53" s="308">
        <v>32.4</v>
      </c>
      <c r="AH53" s="308">
        <v>37.8</v>
      </c>
      <c r="AI53" s="309">
        <v>43.2</v>
      </c>
      <c r="AJ53" s="308">
        <v>48.6</v>
      </c>
      <c r="AK53" s="308">
        <v>54</v>
      </c>
      <c r="AL53" s="308">
        <v>59.4</v>
      </c>
      <c r="AM53" s="308">
        <v>64.8</v>
      </c>
    </row>
    <row r="54" spans="1:39" ht="12.75">
      <c r="A54" s="62"/>
      <c r="B54" s="42"/>
      <c r="C54" s="7" t="s">
        <v>114</v>
      </c>
      <c r="D54" s="76">
        <f>$P$36</f>
        <v>107.15314493386866</v>
      </c>
      <c r="E54" s="82" t="s">
        <v>14</v>
      </c>
      <c r="F54" s="32" t="str">
        <f>$R$36</f>
        <v>Ws = (Vs*ws)/1000</v>
      </c>
      <c r="H54" s="43"/>
      <c r="I54" s="42"/>
      <c r="J54" s="40"/>
      <c r="K54" s="14"/>
      <c r="M54" s="42"/>
      <c r="O54" s="139" t="s">
        <v>131</v>
      </c>
      <c r="Q54" s="14"/>
      <c r="R54" s="142" t="s">
        <v>267</v>
      </c>
      <c r="AB54" s="249">
        <v>0.4375</v>
      </c>
      <c r="AC54" s="308">
        <v>9.5</v>
      </c>
      <c r="AD54" s="308">
        <v>14.2</v>
      </c>
      <c r="AE54" s="308">
        <v>18.9</v>
      </c>
      <c r="AF54" s="308">
        <v>23.6</v>
      </c>
      <c r="AG54" s="308">
        <v>28.4</v>
      </c>
      <c r="AH54" s="308">
        <v>33.1</v>
      </c>
      <c r="AI54" s="309">
        <v>37.8</v>
      </c>
      <c r="AJ54" s="308">
        <v>42.5</v>
      </c>
      <c r="AK54" s="308">
        <v>47.3</v>
      </c>
      <c r="AL54" s="308">
        <v>52</v>
      </c>
      <c r="AM54" s="308">
        <v>56.7</v>
      </c>
    </row>
    <row r="55" spans="1:39" ht="12.75">
      <c r="A55" s="51"/>
      <c r="B55" s="52"/>
      <c r="C55" s="52"/>
      <c r="D55" s="52"/>
      <c r="E55" s="52"/>
      <c r="F55" s="52"/>
      <c r="G55" s="52"/>
      <c r="H55" s="52"/>
      <c r="I55" s="52"/>
      <c r="J55" s="46" t="s">
        <v>18</v>
      </c>
      <c r="K55" s="14"/>
      <c r="O55" s="147" t="s">
        <v>119</v>
      </c>
      <c r="P55" s="134">
        <f>($P$32-$P$18)/(2*$D$27)</f>
        <v>12.032509215645037</v>
      </c>
      <c r="Q55" s="145" t="s">
        <v>14</v>
      </c>
      <c r="R55" s="145" t="s">
        <v>277</v>
      </c>
      <c r="S55" s="145"/>
      <c r="AB55" s="249">
        <v>0.375</v>
      </c>
      <c r="AC55" s="308">
        <v>8.1</v>
      </c>
      <c r="AD55" s="308">
        <v>12.2</v>
      </c>
      <c r="AE55" s="308">
        <v>16.2</v>
      </c>
      <c r="AF55" s="308">
        <v>20.3</v>
      </c>
      <c r="AG55" s="308">
        <v>24.3</v>
      </c>
      <c r="AH55" s="308">
        <v>28.4</v>
      </c>
      <c r="AI55" s="309">
        <v>32.4</v>
      </c>
      <c r="AJ55" s="308">
        <v>36.5</v>
      </c>
      <c r="AK55" s="308">
        <v>40.5</v>
      </c>
      <c r="AL55" s="308">
        <v>44.6</v>
      </c>
      <c r="AM55" s="308">
        <v>48.6</v>
      </c>
    </row>
    <row r="56" spans="1:39" ht="12.75">
      <c r="A56" s="47"/>
      <c r="B56" s="48"/>
      <c r="C56" s="48"/>
      <c r="D56" s="48"/>
      <c r="E56" s="48"/>
      <c r="F56" s="48"/>
      <c r="G56" s="48"/>
      <c r="H56" s="48"/>
      <c r="I56" s="48"/>
      <c r="J56" s="49"/>
      <c r="K56" s="14"/>
      <c r="O56" s="147" t="s">
        <v>241</v>
      </c>
      <c r="P56" s="144">
        <f>VLOOKUP(MATCH($P$55,$Q$78:$Q$103,-1),$O$78:$Q$103,2)</f>
        <v>1.25</v>
      </c>
      <c r="Q56" s="145" t="s">
        <v>8</v>
      </c>
      <c r="R56" s="145" t="s">
        <v>245</v>
      </c>
      <c r="S56" s="145"/>
      <c r="AB56" s="249">
        <v>0.3125</v>
      </c>
      <c r="AC56" s="308">
        <v>6.8</v>
      </c>
      <c r="AD56" s="308">
        <v>10.1</v>
      </c>
      <c r="AE56" s="308">
        <v>13.5</v>
      </c>
      <c r="AF56" s="308">
        <v>16.9</v>
      </c>
      <c r="AG56" s="308">
        <v>20.3</v>
      </c>
      <c r="AH56" s="308">
        <v>23.6</v>
      </c>
      <c r="AI56" s="309">
        <v>27</v>
      </c>
      <c r="AJ56" s="308">
        <v>30.4</v>
      </c>
      <c r="AK56" s="308">
        <v>33.8</v>
      </c>
      <c r="AL56" s="308">
        <v>37.1</v>
      </c>
      <c r="AM56" s="308">
        <v>40.5</v>
      </c>
    </row>
    <row r="57" spans="1:39" ht="12.75">
      <c r="A57" s="58" t="s">
        <v>140</v>
      </c>
      <c r="I57" s="42"/>
      <c r="J57" s="40"/>
      <c r="K57" s="14"/>
      <c r="O57" s="147" t="s">
        <v>123</v>
      </c>
      <c r="P57" s="256">
        <f>VLOOKUP(MATCH($P$55,$Q$78:$Q$103,-1),$O$78:$Q$103,3)</f>
        <v>15.2</v>
      </c>
      <c r="Q57" s="145" t="s">
        <v>14</v>
      </c>
      <c r="R57" s="145" t="s">
        <v>240</v>
      </c>
      <c r="S57" s="145"/>
      <c r="AB57" s="249">
        <v>0.25</v>
      </c>
      <c r="AC57" s="308">
        <v>5.4</v>
      </c>
      <c r="AD57" s="308">
        <v>8.1</v>
      </c>
      <c r="AE57" s="308">
        <v>10.8</v>
      </c>
      <c r="AF57" s="308">
        <v>13.5</v>
      </c>
      <c r="AG57" s="308">
        <v>16.2</v>
      </c>
      <c r="AH57" s="308">
        <v>18.9</v>
      </c>
      <c r="AI57" s="309">
        <v>21.6</v>
      </c>
      <c r="AJ57" s="308">
        <v>24.3</v>
      </c>
      <c r="AK57" s="308">
        <v>27</v>
      </c>
      <c r="AL57" s="308">
        <v>29.7</v>
      </c>
      <c r="AM57" s="308">
        <v>32.4</v>
      </c>
    </row>
    <row r="58" spans="1:39" ht="12.75">
      <c r="A58" s="62"/>
      <c r="B58" s="43"/>
      <c r="C58" s="70" t="s">
        <v>148</v>
      </c>
      <c r="D58" s="78">
        <f>$P$38</f>
        <v>39.56221344141599</v>
      </c>
      <c r="E58" s="79" t="s">
        <v>14</v>
      </c>
      <c r="F58" s="42" t="str">
        <f>$R$38</f>
        <v>Wf = (U(total)*FS)-(W(total)+Ws) &gt;= 0</v>
      </c>
      <c r="G58" s="50"/>
      <c r="H58" s="42"/>
      <c r="I58" s="42"/>
      <c r="J58" s="40"/>
      <c r="K58" s="14"/>
      <c r="O58" s="41" t="s">
        <v>142</v>
      </c>
      <c r="Q58" s="14"/>
      <c r="R58" s="56" t="s">
        <v>35</v>
      </c>
      <c r="AB58" s="249">
        <v>0.1875</v>
      </c>
      <c r="AC58" s="308">
        <v>4.1</v>
      </c>
      <c r="AD58" s="308">
        <v>6.1</v>
      </c>
      <c r="AE58" s="308">
        <v>8.1</v>
      </c>
      <c r="AF58" s="308">
        <v>10.1</v>
      </c>
      <c r="AG58" s="308">
        <v>12.2</v>
      </c>
      <c r="AH58" s="308">
        <v>14.2</v>
      </c>
      <c r="AI58" s="309">
        <v>16.2</v>
      </c>
      <c r="AJ58" s="308">
        <v>18.2</v>
      </c>
      <c r="AK58" s="308">
        <v>20.3</v>
      </c>
      <c r="AL58" s="308">
        <v>22.3</v>
      </c>
      <c r="AM58" s="308">
        <v>24.3</v>
      </c>
    </row>
    <row r="59" spans="1:39" ht="12.75">
      <c r="A59" s="62"/>
      <c r="B59" s="43"/>
      <c r="C59" s="7" t="s">
        <v>115</v>
      </c>
      <c r="D59" s="74">
        <f>$P$39</f>
        <v>87.6</v>
      </c>
      <c r="E59" s="82" t="s">
        <v>9</v>
      </c>
      <c r="F59" s="32" t="str">
        <f>$R$39</f>
        <v>wc = 150-62.4  (assume concrete unit wt. = 150 pcf)</v>
      </c>
      <c r="G59" s="50"/>
      <c r="H59" s="42"/>
      <c r="I59" s="43"/>
      <c r="J59" s="40"/>
      <c r="K59" s="14"/>
      <c r="O59" s="147" t="s">
        <v>124</v>
      </c>
      <c r="P59" s="144">
        <f>$D$13/($D$27+1)</f>
        <v>5.3</v>
      </c>
      <c r="Q59" s="145" t="s">
        <v>2</v>
      </c>
      <c r="R59" s="14" t="s">
        <v>283</v>
      </c>
      <c r="S59" s="56"/>
      <c r="T59" s="144"/>
      <c r="X59" s="144"/>
      <c r="AB59" s="252">
        <v>0.125</v>
      </c>
      <c r="AC59" s="257">
        <v>2.7</v>
      </c>
      <c r="AD59" s="257">
        <v>4.1</v>
      </c>
      <c r="AE59" s="257">
        <v>5.4</v>
      </c>
      <c r="AF59" s="257">
        <v>6.8</v>
      </c>
      <c r="AG59" s="257">
        <v>8.1</v>
      </c>
      <c r="AH59" s="257">
        <v>9.5</v>
      </c>
      <c r="AI59" s="310">
        <v>10.8</v>
      </c>
      <c r="AJ59" s="257">
        <v>12.2</v>
      </c>
      <c r="AK59" s="257">
        <v>13.5</v>
      </c>
      <c r="AL59" s="257">
        <v>14.9</v>
      </c>
      <c r="AM59" s="257">
        <v>16.2</v>
      </c>
    </row>
    <row r="60" spans="1:20" ht="12.75">
      <c r="A60" s="62"/>
      <c r="B60" s="43"/>
      <c r="C60" s="70" t="s">
        <v>137</v>
      </c>
      <c r="D60" s="74">
        <f>$P$40</f>
        <v>451.6234411120547</v>
      </c>
      <c r="E60" s="79" t="s">
        <v>10</v>
      </c>
      <c r="F60" s="42" t="str">
        <f>$R$40</f>
        <v>Vf = Wf/(wc/1000)</v>
      </c>
      <c r="G60" s="50"/>
      <c r="H60" s="42"/>
      <c r="I60" s="42"/>
      <c r="J60" s="40"/>
      <c r="K60" s="14"/>
      <c r="O60" s="141" t="s">
        <v>132</v>
      </c>
      <c r="P60" s="152">
        <f>0.75*(0.85*IF($D$18&lt;=4,0.85,IF(0.85-0.05*($D$18-4)&lt;0.65,0.65,0.85-0.05*($D$18-4)))*$D$18/$D$19*(87/(87+$D$19)))</f>
        <v>0.021380102040816324</v>
      </c>
      <c r="Q60" s="56"/>
      <c r="R60" s="149" t="s">
        <v>133</v>
      </c>
      <c r="S60" s="56"/>
      <c r="T60" s="56"/>
    </row>
    <row r="61" spans="1:22" ht="12.75">
      <c r="A61" s="62"/>
      <c r="B61" s="43"/>
      <c r="C61" s="70" t="s">
        <v>195</v>
      </c>
      <c r="D61" s="80">
        <f>$P$41</f>
        <v>1.3</v>
      </c>
      <c r="E61" s="79" t="s">
        <v>2</v>
      </c>
      <c r="F61" s="42" t="str">
        <f>$R$41</f>
        <v>Tf(req'd) = Vf/(Lf*Bf)</v>
      </c>
      <c r="G61" s="43"/>
      <c r="H61" s="43"/>
      <c r="I61" s="42"/>
      <c r="J61" s="40"/>
      <c r="K61" s="14"/>
      <c r="O61" s="204" t="s">
        <v>156</v>
      </c>
      <c r="P61" s="134">
        <f>1.6*(2*$P$49/(8*$D$24)*(($P$4+6/12)^2-4*(($D$24-($P$4+6/12))/2)^2)/$P$59)</f>
        <v>4.691861291588802</v>
      </c>
      <c r="Q61" s="56" t="s">
        <v>32</v>
      </c>
      <c r="R61" s="205" t="s">
        <v>259</v>
      </c>
      <c r="S61" s="56"/>
      <c r="T61" s="56"/>
      <c r="U61" s="134"/>
      <c r="V61" s="202"/>
    </row>
    <row r="62" spans="1:30" ht="12.75">
      <c r="A62" s="31"/>
      <c r="F62" s="210">
        <f>IF($P$41&gt;=0.5,"","Use 0.5 ft. minimum foundation thickness")</f>
      </c>
      <c r="J62" s="40"/>
      <c r="K62" s="14"/>
      <c r="O62" s="56"/>
      <c r="P62" s="56"/>
      <c r="Q62" s="56"/>
      <c r="R62" s="150" t="s">
        <v>227</v>
      </c>
      <c r="S62" s="56"/>
      <c r="T62" s="56"/>
      <c r="AB62" s="198"/>
      <c r="AC62" s="199"/>
      <c r="AD62" s="199"/>
    </row>
    <row r="63" spans="1:30" ht="12.75">
      <c r="A63" s="77" t="s">
        <v>178</v>
      </c>
      <c r="B63" s="43"/>
      <c r="C63" s="43"/>
      <c r="D63" s="43"/>
      <c r="E63" s="43"/>
      <c r="F63" s="43"/>
      <c r="G63" s="43"/>
      <c r="H63" s="43"/>
      <c r="I63" s="43"/>
      <c r="J63" s="40"/>
      <c r="K63" s="14"/>
      <c r="O63" s="138" t="s">
        <v>164</v>
      </c>
      <c r="P63" s="144">
        <f>$D$25*12-4</f>
        <v>14</v>
      </c>
      <c r="Q63" s="56" t="s">
        <v>8</v>
      </c>
      <c r="R63" s="56" t="s">
        <v>229</v>
      </c>
      <c r="S63" s="56"/>
      <c r="T63" s="56"/>
      <c r="AB63" s="198"/>
      <c r="AC63" s="199"/>
      <c r="AD63" s="199"/>
    </row>
    <row r="64" spans="1:30" ht="12.75">
      <c r="A64" s="62"/>
      <c r="B64" s="43"/>
      <c r="C64" s="63" t="s">
        <v>116</v>
      </c>
      <c r="D64" s="87">
        <f>$P$43</f>
        <v>12.032509215645037</v>
      </c>
      <c r="E64" s="67" t="s">
        <v>14</v>
      </c>
      <c r="F64" s="42" t="str">
        <f>$R$43</f>
        <v>Ts = (U(total)-W(total))/(2*Na)</v>
      </c>
      <c r="G64" s="43"/>
      <c r="H64" s="43"/>
      <c r="I64" s="43"/>
      <c r="J64" s="40"/>
      <c r="K64" s="14"/>
      <c r="O64" s="141" t="s">
        <v>134</v>
      </c>
      <c r="P64" s="152">
        <f>IF((0.9*$D$19-((0.9*$D$19)^2-4*(0.9*0.59*$D$19^2/$D$18)*(12*$P$61/(12*$P$63^2)))^(1/2))/(2*(0.9*0.59*$D$19^2/$D$18))&lt;=$P$60,(0.9*$D$19-((0.9*$D$19)^2-4*(0.9*0.59*$D$19^2/$D$18)*(12*$P$61/(12*$P$63^2)))^(1/2))/(2*(0.9*0.59*$D$19^2/$D$18)),"Incr. Tf")</f>
        <v>0.0004450504709221038</v>
      </c>
      <c r="Q64" s="56"/>
      <c r="R64" s="149" t="s">
        <v>154</v>
      </c>
      <c r="S64" s="56"/>
      <c r="T64" s="145"/>
      <c r="AB64" s="198"/>
      <c r="AC64" s="199"/>
      <c r="AD64" s="199"/>
    </row>
    <row r="65" spans="1:30" ht="12.75">
      <c r="A65" s="62"/>
      <c r="B65" s="43"/>
      <c r="C65" s="63" t="s">
        <v>117</v>
      </c>
      <c r="D65" s="75">
        <f>$P$44</f>
        <v>21.599999999999998</v>
      </c>
      <c r="E65" s="67" t="s">
        <v>24</v>
      </c>
      <c r="F65" s="42" t="str">
        <f>$R$44</f>
        <v>Ft = 0.60*Fy  (Fy assumed = 36.0 ksi for strap)</v>
      </c>
      <c r="G65" s="43"/>
      <c r="H65" s="43"/>
      <c r="I65" s="86"/>
      <c r="J65" s="40"/>
      <c r="K65" s="14"/>
      <c r="O65" s="56"/>
      <c r="P65" s="56"/>
      <c r="Q65" s="56"/>
      <c r="R65" s="150" t="s">
        <v>158</v>
      </c>
      <c r="S65" s="56"/>
      <c r="T65" s="145"/>
      <c r="AB65" s="198"/>
      <c r="AC65" s="199"/>
      <c r="AD65" s="199"/>
    </row>
    <row r="66" spans="1:20" ht="12.75">
      <c r="A66" s="62"/>
      <c r="B66" s="42"/>
      <c r="C66" s="63" t="s">
        <v>118</v>
      </c>
      <c r="D66" s="254">
        <f>$P$45</f>
        <v>0.18568687061180614</v>
      </c>
      <c r="E66" s="67" t="s">
        <v>8</v>
      </c>
      <c r="F66" s="42" t="str">
        <f>$R$45</f>
        <v>ts = Ts/(bs*Ft)</v>
      </c>
      <c r="G66" s="42"/>
      <c r="H66" s="43"/>
      <c r="I66" s="43"/>
      <c r="J66" s="40"/>
      <c r="K66" s="14"/>
      <c r="O66" s="147" t="s">
        <v>160</v>
      </c>
      <c r="P66" s="144">
        <f>IF($P$64="Incr. Tf","Incr. Tf",$P$64*12*$P$63)</f>
        <v>0.07476847911491344</v>
      </c>
      <c r="Q66" s="145" t="s">
        <v>31</v>
      </c>
      <c r="R66" s="151" t="s">
        <v>161</v>
      </c>
      <c r="S66" s="56"/>
      <c r="T66" s="145"/>
    </row>
    <row r="67" spans="1:20" ht="12.75">
      <c r="A67" s="62"/>
      <c r="B67" s="43"/>
      <c r="C67" s="63" t="s">
        <v>243</v>
      </c>
      <c r="D67" s="254">
        <f>$P$46</f>
        <v>0.1875</v>
      </c>
      <c r="E67" s="67" t="s">
        <v>8</v>
      </c>
      <c r="F67" s="42"/>
      <c r="G67" s="43"/>
      <c r="H67" s="43"/>
      <c r="I67" s="43"/>
      <c r="J67" s="40"/>
      <c r="K67" s="14"/>
      <c r="O67" s="204" t="s">
        <v>157</v>
      </c>
      <c r="P67" s="134">
        <f>1.6*(2*$P$49/$D$24*(($D$24-($P$4+6/12))/2)^2/$P$59)</f>
        <v>1.7668625663632764</v>
      </c>
      <c r="Q67" s="56" t="s">
        <v>32</v>
      </c>
      <c r="R67" s="205" t="s">
        <v>228</v>
      </c>
      <c r="S67" s="145"/>
      <c r="T67" s="145"/>
    </row>
    <row r="68" spans="1:20" ht="12.75">
      <c r="A68" s="31"/>
      <c r="C68" s="63" t="s">
        <v>239</v>
      </c>
      <c r="D68" s="255">
        <f>$P$47</f>
        <v>12.2</v>
      </c>
      <c r="E68" s="67" t="s">
        <v>14</v>
      </c>
      <c r="F68" s="42" t="str">
        <f>$R$47</f>
        <v>Ta = (ts(used)*bs)*Ft</v>
      </c>
      <c r="J68" s="40"/>
      <c r="K68" s="14"/>
      <c r="O68" s="138" t="s">
        <v>165</v>
      </c>
      <c r="P68" s="144">
        <f>$D$25*12-3</f>
        <v>15</v>
      </c>
      <c r="Q68" s="56" t="s">
        <v>8</v>
      </c>
      <c r="R68" s="56" t="s">
        <v>230</v>
      </c>
      <c r="S68" s="56"/>
      <c r="T68" s="145"/>
    </row>
    <row r="69" spans="1:20" ht="12.75">
      <c r="A69" s="31"/>
      <c r="J69" s="40"/>
      <c r="K69" s="14"/>
      <c r="O69" s="141" t="s">
        <v>135</v>
      </c>
      <c r="P69" s="152">
        <f>IF((0.9*$D$19-((0.9*$D$19)^2-4*(0.9*0.59*$D$19^2/$D$18)*(12*$P$67/(12*$P$68^2)))^(1/2))/(2*(0.9*0.59*$D$19^2/$D$18))&lt;=$P$60,(0.9*$D$19-((0.9*$D$19)^2-4*(0.9*0.59*$D$19^2/$D$18)*(12*$P$67/(12*$P$68^2)))^(1/2))/(2*(0.9*0.59*$D$19^2/$D$18)),"Incr. Tf")</f>
        <v>0.00014560842339973948</v>
      </c>
      <c r="Q69" s="56"/>
      <c r="R69" s="149" t="s">
        <v>155</v>
      </c>
      <c r="S69" s="145"/>
      <c r="T69" s="145"/>
    </row>
    <row r="70" spans="1:20" ht="12.75">
      <c r="A70" s="77" t="s">
        <v>27</v>
      </c>
      <c r="B70" s="43"/>
      <c r="C70" s="43"/>
      <c r="D70" s="43"/>
      <c r="E70" s="43"/>
      <c r="F70" s="43"/>
      <c r="G70" s="43"/>
      <c r="H70" s="43"/>
      <c r="I70" s="43"/>
      <c r="J70" s="40"/>
      <c r="K70" s="14"/>
      <c r="O70" s="56"/>
      <c r="P70" s="56"/>
      <c r="Q70" s="56"/>
      <c r="R70" s="150" t="s">
        <v>159</v>
      </c>
      <c r="S70" s="56"/>
      <c r="T70" s="145"/>
    </row>
    <row r="71" spans="1:20" ht="12.75">
      <c r="A71" s="85"/>
      <c r="B71" s="43"/>
      <c r="C71" s="63" t="s">
        <v>119</v>
      </c>
      <c r="D71" s="87">
        <f>$P$49</f>
        <v>12.032509215645037</v>
      </c>
      <c r="E71" s="67" t="s">
        <v>14</v>
      </c>
      <c r="F71" s="42" t="str">
        <f>$R$49</f>
        <v>Tr = (U(total)-W(total))/(2*Na)</v>
      </c>
      <c r="G71" s="43"/>
      <c r="H71" s="43"/>
      <c r="I71" s="43"/>
      <c r="J71" s="40"/>
      <c r="K71" s="14"/>
      <c r="O71" s="147" t="s">
        <v>128</v>
      </c>
      <c r="P71" s="144">
        <f>IF($P$69="Incr. Tf","Incr. Tf",$P$69*12*$P$68)</f>
        <v>0.026209516211953107</v>
      </c>
      <c r="Q71" s="145" t="s">
        <v>31</v>
      </c>
      <c r="R71" s="151" t="s">
        <v>136</v>
      </c>
      <c r="S71" s="145"/>
      <c r="T71" s="145"/>
    </row>
    <row r="72" spans="1:20" ht="12.75">
      <c r="A72" s="62"/>
      <c r="B72" s="43"/>
      <c r="C72" s="63" t="s">
        <v>117</v>
      </c>
      <c r="D72" s="75">
        <f>$P$50</f>
        <v>19.1</v>
      </c>
      <c r="E72" s="67" t="s">
        <v>24</v>
      </c>
      <c r="F72" s="42" t="str">
        <f>$R$50</f>
        <v>Ft = 0.33*Fu = 19.1 for A-36 threaded rod (assumed)</v>
      </c>
      <c r="G72" s="43"/>
      <c r="H72" s="43"/>
      <c r="I72" s="43"/>
      <c r="J72" s="40"/>
      <c r="K72" s="14"/>
      <c r="O72" s="147" t="s">
        <v>129</v>
      </c>
      <c r="P72" s="144">
        <f>(IF($D$19&lt;=50,0.002,IF($D$19=60,0.0018,IF($D$19&gt;60,0.0018*60/$D$19)))/2)*12*($D$25*12)</f>
        <v>0.19440000000000002</v>
      </c>
      <c r="Q72" s="145" t="s">
        <v>31</v>
      </c>
      <c r="R72" s="145" t="str">
        <f>"As(temp) = ("&amp;IF($D$19&lt;=50,"0.002",IF($D$19=60,"0.0018",IF($D$19&gt;60,"0.0018*60/fy")))&amp;"/2)*b*(Tf*12)  (b = 12'')"</f>
        <v>As(temp) = (0.0018/2)*b*(Tf*12)  (b = 12'')</v>
      </c>
      <c r="S72" s="145"/>
      <c r="T72" s="145"/>
    </row>
    <row r="73" spans="1:16" ht="12.75">
      <c r="A73" s="62"/>
      <c r="B73" s="43"/>
      <c r="C73" s="63" t="s">
        <v>120</v>
      </c>
      <c r="D73" s="65">
        <f>$P$51</f>
        <v>0.8956049333473445</v>
      </c>
      <c r="E73" s="67" t="s">
        <v>8</v>
      </c>
      <c r="F73" s="42" t="str">
        <f>$R$51</f>
        <v>D = SQRT(4*Tr/(pi*Ft)</v>
      </c>
      <c r="G73" s="43"/>
      <c r="H73" s="43"/>
      <c r="I73" s="43"/>
      <c r="J73" s="40"/>
      <c r="K73" s="14"/>
      <c r="P73" s="259"/>
    </row>
    <row r="74" spans="1:11" ht="12.75">
      <c r="A74" s="62"/>
      <c r="B74" s="43"/>
      <c r="C74" s="63" t="s">
        <v>244</v>
      </c>
      <c r="D74" s="65">
        <f>$P$52</f>
        <v>1</v>
      </c>
      <c r="E74" s="67" t="s">
        <v>8</v>
      </c>
      <c r="I74" s="43"/>
      <c r="J74" s="40"/>
      <c r="K74" s="14"/>
    </row>
    <row r="75" spans="1:17" ht="12.75">
      <c r="A75" s="62"/>
      <c r="B75" s="43"/>
      <c r="C75" s="63" t="s">
        <v>121</v>
      </c>
      <c r="D75" s="257">
        <f>$P$53</f>
        <v>15</v>
      </c>
      <c r="E75" s="67" t="s">
        <v>14</v>
      </c>
      <c r="F75" s="42" t="str">
        <f>$R$53</f>
        <v>Ta = Ft*(pi*D(used)^2/4) &gt;= Tr</v>
      </c>
      <c r="G75" s="43"/>
      <c r="H75" s="43"/>
      <c r="I75" s="43"/>
      <c r="J75" s="40"/>
      <c r="K75" s="14"/>
      <c r="L75" s="55"/>
      <c r="M75" s="190" t="s">
        <v>29</v>
      </c>
      <c r="N75" s="191"/>
      <c r="O75" s="146"/>
      <c r="P75" s="190" t="s">
        <v>25</v>
      </c>
      <c r="Q75" s="191"/>
    </row>
    <row r="76" spans="1:17" ht="12.75">
      <c r="A76" s="31"/>
      <c r="J76" s="40"/>
      <c r="K76" s="14"/>
      <c r="L76" s="55"/>
      <c r="M76" s="179" t="s">
        <v>22</v>
      </c>
      <c r="N76" s="179" t="s">
        <v>28</v>
      </c>
      <c r="O76" s="146"/>
      <c r="P76" s="179" t="s">
        <v>22</v>
      </c>
      <c r="Q76" s="179" t="s">
        <v>19</v>
      </c>
    </row>
    <row r="77" spans="1:17" ht="12.75">
      <c r="A77" s="77" t="s">
        <v>30</v>
      </c>
      <c r="B77" s="42"/>
      <c r="C77" s="43"/>
      <c r="D77" s="43"/>
      <c r="E77" s="43"/>
      <c r="F77" s="88" t="str">
        <f>$R$54</f>
        <v>Note: if used, turnbuckles will control rod size.</v>
      </c>
      <c r="G77" s="43"/>
      <c r="H77" s="43"/>
      <c r="I77" s="43"/>
      <c r="J77" s="40"/>
      <c r="K77" s="14"/>
      <c r="L77" s="57" t="s">
        <v>23</v>
      </c>
      <c r="M77" s="180" t="s">
        <v>21</v>
      </c>
      <c r="N77" s="180" t="s">
        <v>20</v>
      </c>
      <c r="O77" s="181" t="s">
        <v>23</v>
      </c>
      <c r="P77" s="180" t="s">
        <v>21</v>
      </c>
      <c r="Q77" s="180" t="s">
        <v>20</v>
      </c>
    </row>
    <row r="78" spans="1:17" ht="12.75">
      <c r="A78" s="62"/>
      <c r="B78" s="43"/>
      <c r="C78" s="63" t="s">
        <v>119</v>
      </c>
      <c r="D78" s="87">
        <f>$P$55</f>
        <v>12.032509215645037</v>
      </c>
      <c r="E78" s="67" t="s">
        <v>14</v>
      </c>
      <c r="F78" s="42" t="str">
        <f>$R$55</f>
        <v>Tr = (U-W)/(2*Na)</v>
      </c>
      <c r="G78" s="43"/>
      <c r="H78" s="43"/>
      <c r="I78" s="43"/>
      <c r="J78" s="40"/>
      <c r="K78" s="14"/>
      <c r="L78" s="61">
        <v>1</v>
      </c>
      <c r="M78" s="183">
        <v>5</v>
      </c>
      <c r="N78" s="184">
        <f aca="true" t="shared" si="0" ref="N78:N103">ROUND(PI()*$M78^2/4*19.1,1)</f>
        <v>375</v>
      </c>
      <c r="O78" s="182">
        <v>1</v>
      </c>
      <c r="P78" s="183">
        <v>5</v>
      </c>
      <c r="Q78" s="184">
        <v>294.7</v>
      </c>
    </row>
    <row r="79" spans="1:17" ht="12.75">
      <c r="A79" s="62"/>
      <c r="B79" s="43"/>
      <c r="C79" s="63" t="s">
        <v>122</v>
      </c>
      <c r="D79" s="65">
        <f>$P$56</f>
        <v>1.25</v>
      </c>
      <c r="E79" s="67" t="s">
        <v>8</v>
      </c>
      <c r="F79" s="43"/>
      <c r="G79" s="43"/>
      <c r="H79" s="43"/>
      <c r="I79" s="43"/>
      <c r="J79" s="40"/>
      <c r="K79" s="14"/>
      <c r="L79" s="61">
        <v>2</v>
      </c>
      <c r="M79" s="185">
        <v>4.75</v>
      </c>
      <c r="N79" s="186">
        <f t="shared" si="0"/>
        <v>338.5</v>
      </c>
      <c r="O79" s="182">
        <v>2</v>
      </c>
      <c r="P79" s="185">
        <v>4.75</v>
      </c>
      <c r="Q79" s="186">
        <v>233.8</v>
      </c>
    </row>
    <row r="80" spans="1:17" ht="12.75">
      <c r="A80" s="62"/>
      <c r="B80" s="43"/>
      <c r="C80" s="63" t="s">
        <v>123</v>
      </c>
      <c r="D80" s="257">
        <f>$P$57</f>
        <v>15.2</v>
      </c>
      <c r="E80" s="67" t="s">
        <v>14</v>
      </c>
      <c r="F80" s="42" t="str">
        <f>$R$57</f>
        <v>Ta &gt;= Tr  (from AISC 9th Edition Manual, page 4-149)</v>
      </c>
      <c r="G80" s="43"/>
      <c r="H80" s="43"/>
      <c r="I80" s="43"/>
      <c r="J80" s="40"/>
      <c r="K80" s="14"/>
      <c r="L80" s="61">
        <v>3</v>
      </c>
      <c r="M80" s="185">
        <v>4.5</v>
      </c>
      <c r="N80" s="186">
        <f t="shared" si="0"/>
        <v>303.8</v>
      </c>
      <c r="O80" s="182">
        <v>3</v>
      </c>
      <c r="P80" s="185">
        <v>4.5</v>
      </c>
      <c r="Q80" s="186">
        <v>233.8</v>
      </c>
    </row>
    <row r="81" spans="1:37" ht="12.75">
      <c r="A81" s="31"/>
      <c r="I81" s="43"/>
      <c r="J81" s="40"/>
      <c r="K81" s="14"/>
      <c r="L81" s="61">
        <v>4</v>
      </c>
      <c r="M81" s="185">
        <v>4.25</v>
      </c>
      <c r="N81" s="186">
        <f t="shared" si="0"/>
        <v>271</v>
      </c>
      <c r="O81" s="182">
        <v>4</v>
      </c>
      <c r="P81" s="185">
        <v>4.25</v>
      </c>
      <c r="Q81" s="186">
        <v>233.8</v>
      </c>
      <c r="AB81" s="214" t="s">
        <v>217</v>
      </c>
      <c r="AC81" s="215"/>
      <c r="AD81" s="215"/>
      <c r="AE81" s="215"/>
      <c r="AF81" s="215"/>
      <c r="AG81" s="215"/>
      <c r="AH81" s="215"/>
      <c r="AI81" s="215"/>
      <c r="AJ81" s="215"/>
      <c r="AK81" s="216"/>
    </row>
    <row r="82" spans="1:37" ht="12.75">
      <c r="A82" s="58" t="s">
        <v>143</v>
      </c>
      <c r="F82" s="32" t="str">
        <f>$R$58</f>
        <v>(for short direction)</v>
      </c>
      <c r="I82" s="43"/>
      <c r="J82" s="40"/>
      <c r="K82" s="14"/>
      <c r="L82" s="61">
        <v>5</v>
      </c>
      <c r="M82" s="185">
        <v>4</v>
      </c>
      <c r="N82" s="186">
        <f t="shared" si="0"/>
        <v>240</v>
      </c>
      <c r="O82" s="182">
        <v>5</v>
      </c>
      <c r="P82" s="185">
        <v>4</v>
      </c>
      <c r="Q82" s="186">
        <v>167.8</v>
      </c>
      <c r="AB82" s="311" t="s">
        <v>197</v>
      </c>
      <c r="AC82" s="217" t="s">
        <v>198</v>
      </c>
      <c r="AD82" s="215"/>
      <c r="AE82" s="215"/>
      <c r="AF82" s="215"/>
      <c r="AG82" s="215"/>
      <c r="AH82" s="215"/>
      <c r="AI82" s="215"/>
      <c r="AJ82" s="215"/>
      <c r="AK82" s="216"/>
    </row>
    <row r="83" spans="1:37" ht="12.75">
      <c r="A83" s="31"/>
      <c r="C83" s="63" t="s">
        <v>124</v>
      </c>
      <c r="D83" s="83">
        <f>$P$59</f>
        <v>5.3</v>
      </c>
      <c r="E83" s="67" t="s">
        <v>2</v>
      </c>
      <c r="F83" s="32" t="str">
        <f>$R$59</f>
        <v>be = Lc/(Na+1)</v>
      </c>
      <c r="I83" s="43"/>
      <c r="J83" s="40"/>
      <c r="K83" s="14"/>
      <c r="L83" s="61">
        <v>6</v>
      </c>
      <c r="M83" s="185">
        <v>3.75</v>
      </c>
      <c r="N83" s="186">
        <f t="shared" si="0"/>
        <v>211</v>
      </c>
      <c r="O83" s="182">
        <v>6</v>
      </c>
      <c r="P83" s="185">
        <v>3.75</v>
      </c>
      <c r="Q83" s="186">
        <v>167.8</v>
      </c>
      <c r="AB83" s="312" t="s">
        <v>21</v>
      </c>
      <c r="AC83" s="274" t="s">
        <v>199</v>
      </c>
      <c r="AD83" s="274" t="s">
        <v>200</v>
      </c>
      <c r="AE83" s="275" t="s">
        <v>201</v>
      </c>
      <c r="AF83" s="274" t="s">
        <v>202</v>
      </c>
      <c r="AG83" s="275" t="s">
        <v>203</v>
      </c>
      <c r="AH83" s="274" t="s">
        <v>204</v>
      </c>
      <c r="AI83" s="275" t="s">
        <v>205</v>
      </c>
      <c r="AJ83" s="274" t="s">
        <v>206</v>
      </c>
      <c r="AK83" s="274" t="s">
        <v>207</v>
      </c>
    </row>
    <row r="84" spans="1:37" ht="12.75">
      <c r="A84" s="31"/>
      <c r="C84" s="6" t="s">
        <v>125</v>
      </c>
      <c r="D84" s="89">
        <f>$P$60</f>
        <v>0.021380102040816324</v>
      </c>
      <c r="E84" s="64"/>
      <c r="F84" s="173" t="s">
        <v>151</v>
      </c>
      <c r="I84" s="43"/>
      <c r="J84" s="40"/>
      <c r="K84" s="14"/>
      <c r="L84" s="61">
        <v>7</v>
      </c>
      <c r="M84" s="185">
        <v>3.5</v>
      </c>
      <c r="N84" s="186">
        <f t="shared" si="0"/>
        <v>183.8</v>
      </c>
      <c r="O84" s="182">
        <v>7</v>
      </c>
      <c r="P84" s="185">
        <v>3.5</v>
      </c>
      <c r="Q84" s="186">
        <v>122.2</v>
      </c>
      <c r="AB84" s="276">
        <v>3</v>
      </c>
      <c r="AC84" s="277">
        <v>0.44</v>
      </c>
      <c r="AD84" s="278">
        <v>0.8</v>
      </c>
      <c r="AE84" s="279">
        <v>1.24</v>
      </c>
      <c r="AF84" s="278">
        <v>1.76</v>
      </c>
      <c r="AG84" s="279">
        <v>2.4</v>
      </c>
      <c r="AH84" s="278">
        <v>3.16</v>
      </c>
      <c r="AI84" s="279">
        <v>4</v>
      </c>
      <c r="AJ84" s="278">
        <v>5.08</v>
      </c>
      <c r="AK84" s="280">
        <v>6.24</v>
      </c>
    </row>
    <row r="85" spans="1:37" ht="12.75">
      <c r="A85" s="31"/>
      <c r="C85" s="203" t="s">
        <v>156</v>
      </c>
      <c r="D85" s="75">
        <f>$P$61</f>
        <v>4.691861291588802</v>
      </c>
      <c r="E85" s="64" t="s">
        <v>32</v>
      </c>
      <c r="F85" s="32" t="str">
        <f>$R$61</f>
        <v>+Mu = 1.6*(2*Tr/(8*Bf)*((OD+6"/12)^2….</v>
      </c>
      <c r="I85" s="43"/>
      <c r="J85" s="40"/>
      <c r="K85" s="14"/>
      <c r="L85" s="61">
        <v>8</v>
      </c>
      <c r="M85" s="185">
        <v>3.25</v>
      </c>
      <c r="N85" s="186">
        <f t="shared" si="0"/>
        <v>158.4</v>
      </c>
      <c r="O85" s="182">
        <v>8</v>
      </c>
      <c r="P85" s="185">
        <v>3.25</v>
      </c>
      <c r="Q85" s="186">
        <v>122.2</v>
      </c>
      <c r="AB85" s="281" t="s">
        <v>208</v>
      </c>
      <c r="AC85" s="282">
        <v>0.37714285714285717</v>
      </c>
      <c r="AD85" s="283">
        <v>0.6857142857142858</v>
      </c>
      <c r="AE85" s="284">
        <v>1.0628571428571427</v>
      </c>
      <c r="AF85" s="283">
        <v>1.5085714285714287</v>
      </c>
      <c r="AG85" s="284">
        <v>2.057142857142857</v>
      </c>
      <c r="AH85" s="283">
        <v>2.7085714285714286</v>
      </c>
      <c r="AI85" s="284">
        <v>3.4285714285714284</v>
      </c>
      <c r="AJ85" s="283">
        <v>4.354285714285714</v>
      </c>
      <c r="AK85" s="285">
        <v>5.348571428571428</v>
      </c>
    </row>
    <row r="86" spans="1:37" ht="12.75">
      <c r="A86" s="31"/>
      <c r="D86" s="90"/>
      <c r="F86" s="32" t="str">
        <f>$R$62</f>
        <v>….-4*((Bf-(OD+6"/12))/2)^2)/be)   (Average L.F. = 1.6)</v>
      </c>
      <c r="I86" s="43"/>
      <c r="J86" s="40"/>
      <c r="K86" s="14"/>
      <c r="L86" s="61">
        <v>9</v>
      </c>
      <c r="M86" s="185">
        <v>3</v>
      </c>
      <c r="N86" s="186">
        <f t="shared" si="0"/>
        <v>135</v>
      </c>
      <c r="O86" s="182">
        <v>9</v>
      </c>
      <c r="P86" s="185">
        <v>3</v>
      </c>
      <c r="Q86" s="186">
        <v>96.7</v>
      </c>
      <c r="AB86" s="286">
        <v>4</v>
      </c>
      <c r="AC86" s="282">
        <v>0.33</v>
      </c>
      <c r="AD86" s="283">
        <v>0.6</v>
      </c>
      <c r="AE86" s="284">
        <v>0.93</v>
      </c>
      <c r="AF86" s="283">
        <v>1.32</v>
      </c>
      <c r="AG86" s="284">
        <v>1.8</v>
      </c>
      <c r="AH86" s="283">
        <v>2.37</v>
      </c>
      <c r="AI86" s="284">
        <v>3</v>
      </c>
      <c r="AJ86" s="283">
        <v>3.81</v>
      </c>
      <c r="AK86" s="285">
        <v>4.68</v>
      </c>
    </row>
    <row r="87" spans="1:37" ht="12.75">
      <c r="A87" s="31"/>
      <c r="C87" s="7" t="s">
        <v>164</v>
      </c>
      <c r="D87" s="84">
        <f>$P$63</f>
        <v>14</v>
      </c>
      <c r="E87" s="64" t="s">
        <v>8</v>
      </c>
      <c r="F87" s="32" t="str">
        <f>$R$63</f>
        <v>d1 = Tf*12 - 4"</v>
      </c>
      <c r="I87" s="43"/>
      <c r="J87" s="40"/>
      <c r="K87" s="14"/>
      <c r="L87" s="61">
        <v>10</v>
      </c>
      <c r="M87" s="185">
        <v>2.75</v>
      </c>
      <c r="N87" s="186">
        <f t="shared" si="0"/>
        <v>113.4</v>
      </c>
      <c r="O87" s="182">
        <v>10</v>
      </c>
      <c r="P87" s="185">
        <v>2.75</v>
      </c>
      <c r="Q87" s="186">
        <v>75</v>
      </c>
      <c r="AB87" s="281" t="s">
        <v>209</v>
      </c>
      <c r="AC87" s="282">
        <v>0.29333333333333333</v>
      </c>
      <c r="AD87" s="283">
        <v>0.5333333333333334</v>
      </c>
      <c r="AE87" s="284">
        <v>0.8266666666666667</v>
      </c>
      <c r="AF87" s="283">
        <v>1.1733333333333333</v>
      </c>
      <c r="AG87" s="284">
        <v>1.6</v>
      </c>
      <c r="AH87" s="283">
        <v>2.106666666666667</v>
      </c>
      <c r="AI87" s="284">
        <v>2.6666666666666665</v>
      </c>
      <c r="AJ87" s="283">
        <v>3.3866666666666667</v>
      </c>
      <c r="AK87" s="285">
        <v>4.16</v>
      </c>
    </row>
    <row r="88" spans="1:37" ht="12.75">
      <c r="A88" s="62"/>
      <c r="B88" s="43"/>
      <c r="C88" s="6" t="s">
        <v>126</v>
      </c>
      <c r="D88" s="89">
        <f>$P$64</f>
        <v>0.0004450504709221038</v>
      </c>
      <c r="E88" s="64"/>
      <c r="F88" s="173" t="s">
        <v>163</v>
      </c>
      <c r="H88" s="43"/>
      <c r="I88" s="43"/>
      <c r="J88" s="40"/>
      <c r="K88" s="14"/>
      <c r="L88" s="61">
        <v>11</v>
      </c>
      <c r="M88" s="185">
        <v>2.5</v>
      </c>
      <c r="N88" s="186">
        <f t="shared" si="0"/>
        <v>93.8</v>
      </c>
      <c r="O88" s="182">
        <v>11</v>
      </c>
      <c r="P88" s="185">
        <v>2.5</v>
      </c>
      <c r="Q88" s="186">
        <v>60</v>
      </c>
      <c r="AB88" s="286">
        <v>5</v>
      </c>
      <c r="AC88" s="282">
        <v>0.264</v>
      </c>
      <c r="AD88" s="283">
        <v>0.48</v>
      </c>
      <c r="AE88" s="284">
        <v>0.744</v>
      </c>
      <c r="AF88" s="283">
        <v>1.056</v>
      </c>
      <c r="AG88" s="284">
        <v>1.44</v>
      </c>
      <c r="AH88" s="283">
        <v>1.8960000000000001</v>
      </c>
      <c r="AI88" s="284">
        <v>2.4</v>
      </c>
      <c r="AJ88" s="283">
        <v>3.048</v>
      </c>
      <c r="AK88" s="285">
        <v>3.7439999999999998</v>
      </c>
    </row>
    <row r="89" spans="1:37" ht="12.75">
      <c r="A89" s="62"/>
      <c r="B89" s="43"/>
      <c r="D89" s="90"/>
      <c r="F89" s="174" t="s">
        <v>158</v>
      </c>
      <c r="H89" s="43"/>
      <c r="I89" s="43"/>
      <c r="J89" s="40"/>
      <c r="K89" s="14"/>
      <c r="L89" s="61">
        <v>12</v>
      </c>
      <c r="M89" s="185">
        <v>2.25</v>
      </c>
      <c r="N89" s="186">
        <f t="shared" si="0"/>
        <v>75.9</v>
      </c>
      <c r="O89" s="182">
        <v>12</v>
      </c>
      <c r="P89" s="185">
        <v>2.25</v>
      </c>
      <c r="Q89" s="186">
        <v>48</v>
      </c>
      <c r="AB89" s="281" t="s">
        <v>210</v>
      </c>
      <c r="AC89" s="282">
        <v>0.24</v>
      </c>
      <c r="AD89" s="283">
        <v>0.43636363636363645</v>
      </c>
      <c r="AE89" s="284">
        <v>0.6763636363636363</v>
      </c>
      <c r="AF89" s="283">
        <v>0.96</v>
      </c>
      <c r="AG89" s="284">
        <v>1.3090909090909089</v>
      </c>
      <c r="AH89" s="283">
        <v>1.7236363636363636</v>
      </c>
      <c r="AI89" s="284">
        <v>2.1818181818181817</v>
      </c>
      <c r="AJ89" s="283">
        <v>2.770909090909091</v>
      </c>
      <c r="AK89" s="285">
        <v>3.4036363636363633</v>
      </c>
    </row>
    <row r="90" spans="1:37" ht="12.75">
      <c r="A90" s="62"/>
      <c r="B90" s="43"/>
      <c r="C90" s="63" t="s">
        <v>160</v>
      </c>
      <c r="D90" s="84">
        <f>$P$66</f>
        <v>0.07476847911491344</v>
      </c>
      <c r="E90" s="67" t="s">
        <v>31</v>
      </c>
      <c r="F90" s="43" t="s">
        <v>34</v>
      </c>
      <c r="H90" s="43"/>
      <c r="I90" s="43"/>
      <c r="J90" s="40"/>
      <c r="K90" s="14"/>
      <c r="L90" s="61">
        <v>13</v>
      </c>
      <c r="M90" s="185">
        <v>2</v>
      </c>
      <c r="N90" s="186">
        <f t="shared" si="0"/>
        <v>60</v>
      </c>
      <c r="O90" s="182">
        <v>13</v>
      </c>
      <c r="P90" s="185">
        <v>2</v>
      </c>
      <c r="Q90" s="186">
        <v>37.2</v>
      </c>
      <c r="AB90" s="286">
        <v>6</v>
      </c>
      <c r="AC90" s="282">
        <v>0.22</v>
      </c>
      <c r="AD90" s="283">
        <v>0.4</v>
      </c>
      <c r="AE90" s="284">
        <v>0.62</v>
      </c>
      <c r="AF90" s="283">
        <v>0.88</v>
      </c>
      <c r="AG90" s="284">
        <v>1.2</v>
      </c>
      <c r="AH90" s="283">
        <v>1.58</v>
      </c>
      <c r="AI90" s="284">
        <v>2</v>
      </c>
      <c r="AJ90" s="283">
        <v>2.54</v>
      </c>
      <c r="AK90" s="285">
        <v>3.12</v>
      </c>
    </row>
    <row r="91" spans="1:37" ht="12.75">
      <c r="A91" s="62"/>
      <c r="B91" s="43"/>
      <c r="C91" s="203" t="s">
        <v>157</v>
      </c>
      <c r="D91" s="75">
        <f>$P$67</f>
        <v>1.7668625663632764</v>
      </c>
      <c r="E91" s="64" t="s">
        <v>32</v>
      </c>
      <c r="F91" s="175" t="str">
        <f>$R$67</f>
        <v>-Mu = 1.6*(2*Tr/Bf*((Bf-(OD+6"/12))/2)^2/be)</v>
      </c>
      <c r="G91" s="43"/>
      <c r="H91" s="43"/>
      <c r="I91" s="43"/>
      <c r="J91" s="40"/>
      <c r="K91" s="14"/>
      <c r="L91" s="61">
        <v>14</v>
      </c>
      <c r="M91" s="187">
        <v>1.875</v>
      </c>
      <c r="N91" s="186">
        <f t="shared" si="0"/>
        <v>52.7</v>
      </c>
      <c r="O91" s="182">
        <v>14</v>
      </c>
      <c r="P91" s="187">
        <v>1.875</v>
      </c>
      <c r="Q91" s="186">
        <v>37.2</v>
      </c>
      <c r="AB91" s="281" t="s">
        <v>211</v>
      </c>
      <c r="AC91" s="282">
        <v>0.2030769230769231</v>
      </c>
      <c r="AD91" s="283">
        <v>0.3692307692307693</v>
      </c>
      <c r="AE91" s="284">
        <v>0.5723076923076923</v>
      </c>
      <c r="AF91" s="283">
        <v>0.8123076923076924</v>
      </c>
      <c r="AG91" s="284">
        <v>1.1076923076923075</v>
      </c>
      <c r="AH91" s="283">
        <v>1.4584615384615385</v>
      </c>
      <c r="AI91" s="284">
        <v>1.8461538461538463</v>
      </c>
      <c r="AJ91" s="283">
        <v>2.3446153846153845</v>
      </c>
      <c r="AK91" s="285">
        <v>2.88</v>
      </c>
    </row>
    <row r="92" spans="1:37" ht="12.75">
      <c r="A92" s="62"/>
      <c r="B92" s="43"/>
      <c r="C92" s="7" t="s">
        <v>165</v>
      </c>
      <c r="D92" s="84">
        <f>$P$68</f>
        <v>15</v>
      </c>
      <c r="E92" s="64" t="s">
        <v>8</v>
      </c>
      <c r="F92" s="175" t="str">
        <f>$R$68</f>
        <v>d2 = Tf*12 - 3"</v>
      </c>
      <c r="H92" s="43"/>
      <c r="I92" s="43"/>
      <c r="J92" s="40"/>
      <c r="K92" s="14"/>
      <c r="L92" s="61">
        <v>15</v>
      </c>
      <c r="M92" s="185">
        <v>1.75</v>
      </c>
      <c r="N92" s="186">
        <f t="shared" si="0"/>
        <v>45.9</v>
      </c>
      <c r="O92" s="182">
        <v>15</v>
      </c>
      <c r="P92" s="185">
        <v>1.75</v>
      </c>
      <c r="Q92" s="186">
        <v>28.3</v>
      </c>
      <c r="AB92" s="286">
        <v>7</v>
      </c>
      <c r="AC92" s="282">
        <v>0.18857142857142858</v>
      </c>
      <c r="AD92" s="283">
        <v>0.3428571428571429</v>
      </c>
      <c r="AE92" s="284">
        <v>0.5314285714285714</v>
      </c>
      <c r="AF92" s="283">
        <v>0.7542857142857143</v>
      </c>
      <c r="AG92" s="284">
        <v>1.0285714285714285</v>
      </c>
      <c r="AH92" s="283">
        <v>1.3542857142857143</v>
      </c>
      <c r="AI92" s="284">
        <v>1.7142857142857142</v>
      </c>
      <c r="AJ92" s="283">
        <v>2.177142857142857</v>
      </c>
      <c r="AK92" s="285">
        <v>2.674285714285714</v>
      </c>
    </row>
    <row r="93" spans="1:37" ht="12.75">
      <c r="A93" s="62"/>
      <c r="B93" s="43"/>
      <c r="C93" s="6" t="s">
        <v>127</v>
      </c>
      <c r="D93" s="89">
        <f>$P$69</f>
        <v>0.00014560842339973948</v>
      </c>
      <c r="E93" s="64"/>
      <c r="F93" s="173" t="s">
        <v>162</v>
      </c>
      <c r="G93" s="43"/>
      <c r="H93" s="43"/>
      <c r="I93" s="43"/>
      <c r="J93" s="40"/>
      <c r="K93" s="14"/>
      <c r="L93" s="61">
        <v>16</v>
      </c>
      <c r="M93" s="185">
        <v>1.625</v>
      </c>
      <c r="N93" s="186">
        <f t="shared" si="0"/>
        <v>39.6</v>
      </c>
      <c r="O93" s="182">
        <v>16</v>
      </c>
      <c r="P93" s="185">
        <v>1.625</v>
      </c>
      <c r="Q93" s="186">
        <v>24.5</v>
      </c>
      <c r="AB93" s="281" t="s">
        <v>212</v>
      </c>
      <c r="AC93" s="282">
        <v>0.17600000000000002</v>
      </c>
      <c r="AD93" s="283">
        <v>0.32</v>
      </c>
      <c r="AE93" s="284">
        <v>0.49599999999999994</v>
      </c>
      <c r="AF93" s="283">
        <v>0.7040000000000001</v>
      </c>
      <c r="AG93" s="284">
        <v>0.96</v>
      </c>
      <c r="AH93" s="283">
        <v>1.264</v>
      </c>
      <c r="AI93" s="284">
        <v>1.6</v>
      </c>
      <c r="AJ93" s="283">
        <v>2.032</v>
      </c>
      <c r="AK93" s="285">
        <v>2.496</v>
      </c>
    </row>
    <row r="94" spans="1:37" ht="12.75">
      <c r="A94" s="62"/>
      <c r="B94" s="43"/>
      <c r="D94" s="90"/>
      <c r="F94" s="174" t="s">
        <v>159</v>
      </c>
      <c r="H94" s="43"/>
      <c r="I94" s="43"/>
      <c r="J94" s="40"/>
      <c r="K94" s="14"/>
      <c r="L94" s="61">
        <v>17</v>
      </c>
      <c r="M94" s="185">
        <v>1.5</v>
      </c>
      <c r="N94" s="186">
        <f t="shared" si="0"/>
        <v>33.8</v>
      </c>
      <c r="O94" s="182">
        <v>17</v>
      </c>
      <c r="P94" s="185">
        <v>1.5</v>
      </c>
      <c r="Q94" s="186">
        <v>21</v>
      </c>
      <c r="AB94" s="286">
        <v>8</v>
      </c>
      <c r="AC94" s="282">
        <v>0.165</v>
      </c>
      <c r="AD94" s="283">
        <v>0.3</v>
      </c>
      <c r="AE94" s="284">
        <v>0.465</v>
      </c>
      <c r="AF94" s="283">
        <v>0.66</v>
      </c>
      <c r="AG94" s="284">
        <v>0.9</v>
      </c>
      <c r="AH94" s="283">
        <v>1.185</v>
      </c>
      <c r="AI94" s="284">
        <v>1.5</v>
      </c>
      <c r="AJ94" s="283">
        <v>1.905</v>
      </c>
      <c r="AK94" s="285">
        <v>2.34</v>
      </c>
    </row>
    <row r="95" spans="1:37" ht="12.75">
      <c r="A95" s="62"/>
      <c r="B95" s="43"/>
      <c r="C95" s="63" t="s">
        <v>128</v>
      </c>
      <c r="D95" s="84">
        <f>$P$71</f>
        <v>0.026209516211953107</v>
      </c>
      <c r="E95" s="67" t="s">
        <v>31</v>
      </c>
      <c r="F95" s="91" t="s">
        <v>33</v>
      </c>
      <c r="G95" s="43"/>
      <c r="H95" s="43"/>
      <c r="I95" s="43"/>
      <c r="J95" s="40"/>
      <c r="K95" s="14"/>
      <c r="L95" s="61">
        <v>18</v>
      </c>
      <c r="M95" s="185">
        <v>1.375</v>
      </c>
      <c r="N95" s="186">
        <f t="shared" si="0"/>
        <v>28.4</v>
      </c>
      <c r="O95" s="182">
        <v>18</v>
      </c>
      <c r="P95" s="185">
        <v>1.375</v>
      </c>
      <c r="Q95" s="186">
        <v>17.4</v>
      </c>
      <c r="AB95" s="281" t="s">
        <v>213</v>
      </c>
      <c r="AC95" s="282">
        <v>0.15529411764705883</v>
      </c>
      <c r="AD95" s="283">
        <v>0.28235294117647064</v>
      </c>
      <c r="AE95" s="284">
        <v>0.4376470588235294</v>
      </c>
      <c r="AF95" s="283">
        <v>0.6211764705882353</v>
      </c>
      <c r="AG95" s="284">
        <v>0.8470588235294116</v>
      </c>
      <c r="AH95" s="283">
        <v>1.1152941176470588</v>
      </c>
      <c r="AI95" s="284">
        <v>1.411764705882353</v>
      </c>
      <c r="AJ95" s="283">
        <v>1.7929411764705883</v>
      </c>
      <c r="AK95" s="285">
        <v>2.2023529411764704</v>
      </c>
    </row>
    <row r="96" spans="1:37" ht="12.75">
      <c r="A96" s="62"/>
      <c r="B96" s="43"/>
      <c r="C96" s="63" t="s">
        <v>129</v>
      </c>
      <c r="D96" s="92">
        <f>$P$72</f>
        <v>0.19440000000000002</v>
      </c>
      <c r="E96" s="67" t="s">
        <v>31</v>
      </c>
      <c r="F96" s="32" t="str">
        <f>$R$72</f>
        <v>As(temp) = (0.0018/2)*b*(Tf*12)  (b = 12'')</v>
      </c>
      <c r="G96" s="43"/>
      <c r="H96" s="43"/>
      <c r="I96" s="43"/>
      <c r="J96" s="40"/>
      <c r="K96" s="14"/>
      <c r="L96" s="61">
        <v>19</v>
      </c>
      <c r="M96" s="185">
        <v>1.25</v>
      </c>
      <c r="N96" s="186">
        <f t="shared" si="0"/>
        <v>23.4</v>
      </c>
      <c r="O96" s="182">
        <v>19</v>
      </c>
      <c r="P96" s="185">
        <v>1.25</v>
      </c>
      <c r="Q96" s="186">
        <v>15.2</v>
      </c>
      <c r="AB96" s="286">
        <v>9</v>
      </c>
      <c r="AC96" s="282">
        <v>0.14666666666666667</v>
      </c>
      <c r="AD96" s="283">
        <v>0.2666666666666667</v>
      </c>
      <c r="AE96" s="284">
        <v>0.41333333333333333</v>
      </c>
      <c r="AF96" s="283">
        <v>0.5866666666666667</v>
      </c>
      <c r="AG96" s="284">
        <v>0.8</v>
      </c>
      <c r="AH96" s="283">
        <v>1.0533333333333335</v>
      </c>
      <c r="AI96" s="284">
        <v>1.3333333333333333</v>
      </c>
      <c r="AJ96" s="283">
        <v>1.6933333333333334</v>
      </c>
      <c r="AK96" s="285">
        <v>2.08</v>
      </c>
    </row>
    <row r="97" spans="1:37" ht="12.75">
      <c r="A97" s="260"/>
      <c r="B97" s="175"/>
      <c r="C97" s="175"/>
      <c r="D97" s="175"/>
      <c r="E97" s="175"/>
      <c r="F97" s="175"/>
      <c r="G97" s="175"/>
      <c r="H97" s="175"/>
      <c r="I97" s="175"/>
      <c r="J97" s="261"/>
      <c r="K97" s="14"/>
      <c r="L97" s="61">
        <v>20</v>
      </c>
      <c r="M97" s="185">
        <v>1.125</v>
      </c>
      <c r="N97" s="186">
        <f t="shared" si="0"/>
        <v>19</v>
      </c>
      <c r="O97" s="182">
        <v>20</v>
      </c>
      <c r="P97" s="185">
        <v>1.125</v>
      </c>
      <c r="Q97" s="186">
        <v>11.6</v>
      </c>
      <c r="AB97" s="281" t="s">
        <v>214</v>
      </c>
      <c r="AC97" s="282">
        <v>0.13894736842105262</v>
      </c>
      <c r="AD97" s="283">
        <v>0.2526315789473685</v>
      </c>
      <c r="AE97" s="284">
        <v>0.391578947368421</v>
      </c>
      <c r="AF97" s="283">
        <v>0.5557894736842105</v>
      </c>
      <c r="AG97" s="284">
        <v>0.7578947368421052</v>
      </c>
      <c r="AH97" s="283">
        <v>0.9978947368421053</v>
      </c>
      <c r="AI97" s="284">
        <v>1.263157894736842</v>
      </c>
      <c r="AJ97" s="283">
        <v>1.6042105263157895</v>
      </c>
      <c r="AK97" s="285">
        <v>1.9705263157894735</v>
      </c>
    </row>
    <row r="98" spans="1:37" ht="12.75">
      <c r="A98" s="260"/>
      <c r="B98" s="175"/>
      <c r="C98" s="175"/>
      <c r="D98" s="175"/>
      <c r="E98" s="175"/>
      <c r="F98" s="175"/>
      <c r="G98" s="175"/>
      <c r="H98" s="175"/>
      <c r="I98" s="175"/>
      <c r="J98" s="261"/>
      <c r="K98" s="14"/>
      <c r="L98" s="61">
        <v>21</v>
      </c>
      <c r="M98" s="185">
        <v>1</v>
      </c>
      <c r="N98" s="186">
        <f t="shared" si="0"/>
        <v>15</v>
      </c>
      <c r="O98" s="182">
        <v>21</v>
      </c>
      <c r="P98" s="185">
        <v>1</v>
      </c>
      <c r="Q98" s="186">
        <v>9.3</v>
      </c>
      <c r="AB98" s="286">
        <v>10</v>
      </c>
      <c r="AC98" s="282">
        <v>0.132</v>
      </c>
      <c r="AD98" s="283">
        <v>0.24</v>
      </c>
      <c r="AE98" s="284">
        <v>0.372</v>
      </c>
      <c r="AF98" s="283">
        <v>0.528</v>
      </c>
      <c r="AG98" s="284">
        <v>0.72</v>
      </c>
      <c r="AH98" s="283">
        <v>0.9480000000000001</v>
      </c>
      <c r="AI98" s="284">
        <v>1.2</v>
      </c>
      <c r="AJ98" s="283">
        <v>1.524</v>
      </c>
      <c r="AK98" s="285">
        <v>1.8719999999999999</v>
      </c>
    </row>
    <row r="99" spans="1:37" ht="12.75">
      <c r="A99" s="77" t="s">
        <v>54</v>
      </c>
      <c r="B99" s="38"/>
      <c r="C99" s="38"/>
      <c r="D99" s="38"/>
      <c r="E99" s="38"/>
      <c r="F99" s="38"/>
      <c r="G99" s="38"/>
      <c r="H99" s="38"/>
      <c r="I99" s="38"/>
      <c r="J99" s="39"/>
      <c r="K99" s="14"/>
      <c r="L99" s="61">
        <v>22</v>
      </c>
      <c r="M99" s="187">
        <v>0.875</v>
      </c>
      <c r="N99" s="186">
        <f t="shared" si="0"/>
        <v>11.5</v>
      </c>
      <c r="O99" s="182">
        <v>22</v>
      </c>
      <c r="P99" s="187">
        <v>0.875</v>
      </c>
      <c r="Q99" s="186">
        <v>7.2</v>
      </c>
      <c r="AB99" s="281" t="s">
        <v>215</v>
      </c>
      <c r="AC99" s="282">
        <v>0.12571428571428572</v>
      </c>
      <c r="AD99" s="283">
        <v>0.2285714285714286</v>
      </c>
      <c r="AE99" s="284">
        <v>0.35428571428571426</v>
      </c>
      <c r="AF99" s="283">
        <v>0.5028571428571429</v>
      </c>
      <c r="AG99" s="284">
        <v>0.6857142857142856</v>
      </c>
      <c r="AH99" s="283">
        <v>0.9028571428571429</v>
      </c>
      <c r="AI99" s="284">
        <v>1.1428571428571428</v>
      </c>
      <c r="AJ99" s="283">
        <v>1.4514285714285715</v>
      </c>
      <c r="AK99" s="285">
        <v>1.7828571428571427</v>
      </c>
    </row>
    <row r="100" spans="1:37" ht="12.75">
      <c r="A100" s="117"/>
      <c r="B100" s="10"/>
      <c r="C100" s="10"/>
      <c r="D100" s="10"/>
      <c r="E100" s="10"/>
      <c r="F100" s="10"/>
      <c r="G100" s="10"/>
      <c r="H100" s="10"/>
      <c r="I100" s="10"/>
      <c r="J100" s="39"/>
      <c r="K100" s="14"/>
      <c r="L100" s="61">
        <v>23</v>
      </c>
      <c r="M100" s="185">
        <v>0.75</v>
      </c>
      <c r="N100" s="186">
        <f t="shared" si="0"/>
        <v>8.4</v>
      </c>
      <c r="O100" s="182">
        <v>23</v>
      </c>
      <c r="P100" s="185">
        <v>0.75</v>
      </c>
      <c r="Q100" s="186">
        <v>5.2</v>
      </c>
      <c r="AB100" s="286">
        <v>11</v>
      </c>
      <c r="AC100" s="282">
        <v>0.12</v>
      </c>
      <c r="AD100" s="283">
        <v>0.21818181818181823</v>
      </c>
      <c r="AE100" s="284">
        <v>0.33818181818181814</v>
      </c>
      <c r="AF100" s="283">
        <v>0.48</v>
      </c>
      <c r="AG100" s="284">
        <v>0.6545454545454544</v>
      </c>
      <c r="AH100" s="283">
        <v>0.8618181818181818</v>
      </c>
      <c r="AI100" s="284">
        <v>1.0909090909090908</v>
      </c>
      <c r="AJ100" s="283">
        <v>1.3854545454545455</v>
      </c>
      <c r="AK100" s="285">
        <v>1.7018181818181817</v>
      </c>
    </row>
    <row r="101" spans="1:37" ht="12.75">
      <c r="A101" s="117"/>
      <c r="B101" s="10"/>
      <c r="C101" s="10"/>
      <c r="D101" s="10"/>
      <c r="E101" s="10"/>
      <c r="F101" s="10"/>
      <c r="G101" s="10"/>
      <c r="H101" s="10"/>
      <c r="I101" s="10"/>
      <c r="J101" s="39"/>
      <c r="K101" s="14"/>
      <c r="L101" s="61">
        <v>24</v>
      </c>
      <c r="M101" s="185">
        <v>0.625</v>
      </c>
      <c r="N101" s="186">
        <f t="shared" si="0"/>
        <v>5.9</v>
      </c>
      <c r="O101" s="182">
        <v>24</v>
      </c>
      <c r="P101" s="185">
        <v>0.625</v>
      </c>
      <c r="Q101" s="186">
        <v>3.5</v>
      </c>
      <c r="AB101" s="281" t="s">
        <v>216</v>
      </c>
      <c r="AC101" s="287">
        <v>0.11478260869565218</v>
      </c>
      <c r="AD101" s="283">
        <v>0.2086956521739131</v>
      </c>
      <c r="AE101" s="284">
        <v>0.3234782608695652</v>
      </c>
      <c r="AF101" s="283">
        <v>0.45913043478260873</v>
      </c>
      <c r="AG101" s="284">
        <v>0.6260869565217391</v>
      </c>
      <c r="AH101" s="283">
        <v>0.8243478260869566</v>
      </c>
      <c r="AI101" s="284">
        <v>1.0434782608695652</v>
      </c>
      <c r="AJ101" s="283">
        <v>1.325217391304348</v>
      </c>
      <c r="AK101" s="285">
        <v>1.6278260869565215</v>
      </c>
    </row>
    <row r="102" spans="1:37" ht="12.75">
      <c r="A102" s="119"/>
      <c r="B102" s="121"/>
      <c r="C102" s="124"/>
      <c r="D102" s="123"/>
      <c r="E102" s="10"/>
      <c r="F102" s="10"/>
      <c r="G102" s="128"/>
      <c r="H102" s="127"/>
      <c r="I102" s="127"/>
      <c r="J102" s="39"/>
      <c r="K102" s="14"/>
      <c r="L102" s="61">
        <v>25</v>
      </c>
      <c r="M102" s="185">
        <v>0.5</v>
      </c>
      <c r="N102" s="186">
        <f t="shared" si="0"/>
        <v>3.8</v>
      </c>
      <c r="O102" s="182">
        <v>25</v>
      </c>
      <c r="P102" s="185">
        <v>0.5</v>
      </c>
      <c r="Q102" s="186">
        <v>2.2</v>
      </c>
      <c r="AB102" s="288">
        <v>12</v>
      </c>
      <c r="AC102" s="289">
        <v>0.11</v>
      </c>
      <c r="AD102" s="290">
        <v>0.2</v>
      </c>
      <c r="AE102" s="291">
        <v>0.31</v>
      </c>
      <c r="AF102" s="290">
        <v>0.44</v>
      </c>
      <c r="AG102" s="291">
        <v>0.6</v>
      </c>
      <c r="AH102" s="290">
        <v>0.79</v>
      </c>
      <c r="AI102" s="291">
        <v>1</v>
      </c>
      <c r="AJ102" s="290">
        <v>1.27</v>
      </c>
      <c r="AK102" s="292">
        <v>1.56</v>
      </c>
    </row>
    <row r="103" spans="1:17" ht="12.75">
      <c r="A103" s="116"/>
      <c r="B103" s="126"/>
      <c r="C103" s="123"/>
      <c r="D103" s="122"/>
      <c r="E103" s="127"/>
      <c r="F103" s="38"/>
      <c r="G103" s="128"/>
      <c r="H103" s="127"/>
      <c r="I103" s="127"/>
      <c r="J103" s="39"/>
      <c r="K103" s="14"/>
      <c r="L103" s="61">
        <v>26</v>
      </c>
      <c r="M103" s="188">
        <v>0.375</v>
      </c>
      <c r="N103" s="189">
        <f t="shared" si="0"/>
        <v>2.1</v>
      </c>
      <c r="O103" s="182">
        <v>26</v>
      </c>
      <c r="P103" s="188">
        <v>0.375</v>
      </c>
      <c r="Q103" s="189">
        <v>1.2</v>
      </c>
    </row>
    <row r="104" spans="1:11" ht="12.75">
      <c r="A104" s="118"/>
      <c r="B104" s="126"/>
      <c r="C104" s="123"/>
      <c r="D104" s="123"/>
      <c r="E104" s="10"/>
      <c r="F104" s="10"/>
      <c r="G104" s="128"/>
      <c r="H104" s="10"/>
      <c r="I104" s="125"/>
      <c r="J104" s="39"/>
      <c r="K104" s="14"/>
    </row>
    <row r="105" spans="1:11" ht="12.75">
      <c r="A105" s="117"/>
      <c r="B105" s="10"/>
      <c r="C105" s="10"/>
      <c r="D105" s="10"/>
      <c r="E105" s="10"/>
      <c r="F105" s="10"/>
      <c r="G105" s="10"/>
      <c r="H105" s="10"/>
      <c r="I105" s="10"/>
      <c r="J105" s="39"/>
      <c r="K105" s="14"/>
    </row>
    <row r="106" spans="1:24" ht="12.75">
      <c r="A106" s="117"/>
      <c r="B106" s="10"/>
      <c r="C106" s="10"/>
      <c r="D106" s="10"/>
      <c r="E106" s="10"/>
      <c r="F106" s="10"/>
      <c r="G106" s="10"/>
      <c r="H106" s="10"/>
      <c r="I106" s="10"/>
      <c r="J106" s="39"/>
      <c r="K106" s="14"/>
      <c r="M106" s="190" t="s">
        <v>236</v>
      </c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191"/>
    </row>
    <row r="107" spans="1:24" ht="12.75">
      <c r="A107" s="117"/>
      <c r="B107" s="10"/>
      <c r="C107" s="10"/>
      <c r="D107" s="10"/>
      <c r="E107" s="10"/>
      <c r="F107" s="10"/>
      <c r="G107" s="10"/>
      <c r="H107" s="10"/>
      <c r="I107" s="10"/>
      <c r="J107" s="39"/>
      <c r="K107" s="14"/>
      <c r="M107" s="237" t="s">
        <v>231</v>
      </c>
      <c r="N107" s="190" t="s">
        <v>237</v>
      </c>
      <c r="O107" s="225"/>
      <c r="P107" s="225"/>
      <c r="Q107" s="225"/>
      <c r="R107" s="225"/>
      <c r="S107" s="225"/>
      <c r="T107" s="225"/>
      <c r="U107" s="226"/>
      <c r="V107" s="227"/>
      <c r="W107" s="227"/>
      <c r="X107" s="228"/>
    </row>
    <row r="108" spans="1:26" ht="12.75">
      <c r="A108" s="117"/>
      <c r="B108" s="10"/>
      <c r="C108" s="10"/>
      <c r="D108" s="10"/>
      <c r="E108" s="10"/>
      <c r="F108" s="10"/>
      <c r="G108" s="10"/>
      <c r="H108" s="10"/>
      <c r="I108" s="10"/>
      <c r="J108" s="39"/>
      <c r="K108" s="14"/>
      <c r="L108" s="57" t="s">
        <v>23</v>
      </c>
      <c r="M108" s="180" t="s">
        <v>238</v>
      </c>
      <c r="N108" s="245">
        <v>1</v>
      </c>
      <c r="O108" s="246">
        <v>1.5</v>
      </c>
      <c r="P108" s="246">
        <v>2</v>
      </c>
      <c r="Q108" s="246">
        <v>2.5</v>
      </c>
      <c r="R108" s="246">
        <v>3</v>
      </c>
      <c r="S108" s="246">
        <v>3.5</v>
      </c>
      <c r="T108" s="246">
        <v>4</v>
      </c>
      <c r="U108" s="246">
        <v>4.5</v>
      </c>
      <c r="V108" s="246">
        <v>5</v>
      </c>
      <c r="W108" s="246">
        <v>5.5</v>
      </c>
      <c r="X108" s="246">
        <v>6</v>
      </c>
      <c r="Y108" s="57" t="s">
        <v>23</v>
      </c>
      <c r="Z108" s="251">
        <f>LOOKUP($D$26,$N$108:$X$108)</f>
        <v>3</v>
      </c>
    </row>
    <row r="109" spans="1:26" ht="12.75">
      <c r="A109" s="117"/>
      <c r="B109" s="10"/>
      <c r="C109" s="10"/>
      <c r="D109" s="10"/>
      <c r="E109" s="10"/>
      <c r="F109" s="10"/>
      <c r="G109" s="10"/>
      <c r="H109" s="10"/>
      <c r="I109" s="10"/>
      <c r="J109" s="39"/>
      <c r="L109" s="61">
        <v>1</v>
      </c>
      <c r="M109" s="239">
        <v>1</v>
      </c>
      <c r="N109" s="242">
        <f aca="true" t="shared" si="1" ref="N109:X123">ROUND(0.6*36*$M109*N$108,1)</f>
        <v>21.6</v>
      </c>
      <c r="O109" s="241">
        <f t="shared" si="1"/>
        <v>32.4</v>
      </c>
      <c r="P109" s="241">
        <f t="shared" si="1"/>
        <v>43.2</v>
      </c>
      <c r="Q109" s="241">
        <f t="shared" si="1"/>
        <v>54</v>
      </c>
      <c r="R109" s="241">
        <f t="shared" si="1"/>
        <v>64.8</v>
      </c>
      <c r="S109" s="241">
        <f t="shared" si="1"/>
        <v>75.6</v>
      </c>
      <c r="T109" s="241">
        <f t="shared" si="1"/>
        <v>86.4</v>
      </c>
      <c r="U109" s="241">
        <f t="shared" si="1"/>
        <v>97.2</v>
      </c>
      <c r="V109" s="241">
        <f t="shared" si="1"/>
        <v>108</v>
      </c>
      <c r="W109" s="241">
        <f t="shared" si="1"/>
        <v>118.8</v>
      </c>
      <c r="X109" s="241">
        <f t="shared" si="1"/>
        <v>129.6</v>
      </c>
      <c r="Y109" s="61">
        <v>1</v>
      </c>
      <c r="Z109" s="251">
        <f aca="true" t="shared" si="2" ref="Z109:Z123">LOOKUP($D$26,$N$108:$X$108,$N109:$X109)</f>
        <v>64.8</v>
      </c>
    </row>
    <row r="110" spans="1:26" ht="12.75">
      <c r="A110" s="120"/>
      <c r="B110" s="129"/>
      <c r="C110" s="129"/>
      <c r="D110" s="129"/>
      <c r="E110" s="129"/>
      <c r="F110" s="129"/>
      <c r="G110" s="129"/>
      <c r="H110" s="129"/>
      <c r="I110" s="129"/>
      <c r="J110" s="130"/>
      <c r="L110" s="61">
        <v>2</v>
      </c>
      <c r="M110" s="240">
        <v>0.9375</v>
      </c>
      <c r="N110" s="242">
        <f t="shared" si="1"/>
        <v>20.3</v>
      </c>
      <c r="O110" s="242">
        <f t="shared" si="1"/>
        <v>30.4</v>
      </c>
      <c r="P110" s="242">
        <f t="shared" si="1"/>
        <v>40.5</v>
      </c>
      <c r="Q110" s="242">
        <f t="shared" si="1"/>
        <v>50.6</v>
      </c>
      <c r="R110" s="242">
        <f t="shared" si="1"/>
        <v>60.8</v>
      </c>
      <c r="S110" s="242">
        <f t="shared" si="1"/>
        <v>70.9</v>
      </c>
      <c r="T110" s="242">
        <f t="shared" si="1"/>
        <v>81</v>
      </c>
      <c r="U110" s="242">
        <f t="shared" si="1"/>
        <v>91.1</v>
      </c>
      <c r="V110" s="242">
        <f t="shared" si="1"/>
        <v>101.3</v>
      </c>
      <c r="W110" s="242">
        <f t="shared" si="1"/>
        <v>111.4</v>
      </c>
      <c r="X110" s="242">
        <f t="shared" si="1"/>
        <v>121.5</v>
      </c>
      <c r="Y110" s="61">
        <v>2</v>
      </c>
      <c r="Z110" s="251">
        <f t="shared" si="2"/>
        <v>60.8</v>
      </c>
    </row>
    <row r="111" spans="12:26" ht="12.75">
      <c r="L111" s="61">
        <v>3</v>
      </c>
      <c r="M111" s="240">
        <v>0.875</v>
      </c>
      <c r="N111" s="242">
        <f t="shared" si="1"/>
        <v>18.9</v>
      </c>
      <c r="O111" s="242">
        <f t="shared" si="1"/>
        <v>28.4</v>
      </c>
      <c r="P111" s="242">
        <f t="shared" si="1"/>
        <v>37.8</v>
      </c>
      <c r="Q111" s="242">
        <f t="shared" si="1"/>
        <v>47.3</v>
      </c>
      <c r="R111" s="242">
        <f t="shared" si="1"/>
        <v>56.7</v>
      </c>
      <c r="S111" s="242">
        <f t="shared" si="1"/>
        <v>66.2</v>
      </c>
      <c r="T111" s="242">
        <f t="shared" si="1"/>
        <v>75.6</v>
      </c>
      <c r="U111" s="242">
        <f t="shared" si="1"/>
        <v>85.1</v>
      </c>
      <c r="V111" s="242">
        <f t="shared" si="1"/>
        <v>94.5</v>
      </c>
      <c r="W111" s="242">
        <f t="shared" si="1"/>
        <v>104</v>
      </c>
      <c r="X111" s="242">
        <f t="shared" si="1"/>
        <v>113.4</v>
      </c>
      <c r="Y111" s="61">
        <v>3</v>
      </c>
      <c r="Z111" s="251">
        <f t="shared" si="2"/>
        <v>56.7</v>
      </c>
    </row>
    <row r="112" spans="12:26" ht="12.75">
      <c r="L112" s="61">
        <v>4</v>
      </c>
      <c r="M112" s="240">
        <v>0.8125</v>
      </c>
      <c r="N112" s="242">
        <f t="shared" si="1"/>
        <v>17.6</v>
      </c>
      <c r="O112" s="242">
        <f t="shared" si="1"/>
        <v>26.3</v>
      </c>
      <c r="P112" s="242">
        <f t="shared" si="1"/>
        <v>35.1</v>
      </c>
      <c r="Q112" s="242">
        <f t="shared" si="1"/>
        <v>43.9</v>
      </c>
      <c r="R112" s="242">
        <f t="shared" si="1"/>
        <v>52.7</v>
      </c>
      <c r="S112" s="242">
        <f t="shared" si="1"/>
        <v>61.4</v>
      </c>
      <c r="T112" s="242">
        <f t="shared" si="1"/>
        <v>70.2</v>
      </c>
      <c r="U112" s="242">
        <f t="shared" si="1"/>
        <v>79</v>
      </c>
      <c r="V112" s="242">
        <f t="shared" si="1"/>
        <v>87.8</v>
      </c>
      <c r="W112" s="242">
        <f t="shared" si="1"/>
        <v>96.5</v>
      </c>
      <c r="X112" s="242">
        <f t="shared" si="1"/>
        <v>105.3</v>
      </c>
      <c r="Y112" s="61">
        <v>4</v>
      </c>
      <c r="Z112" s="251">
        <f t="shared" si="2"/>
        <v>52.7</v>
      </c>
    </row>
    <row r="113" spans="12:26" ht="12.75">
      <c r="L113" s="61">
        <v>5</v>
      </c>
      <c r="M113" s="240">
        <v>0.75</v>
      </c>
      <c r="N113" s="242">
        <f t="shared" si="1"/>
        <v>16.2</v>
      </c>
      <c r="O113" s="242">
        <f t="shared" si="1"/>
        <v>24.3</v>
      </c>
      <c r="P113" s="242">
        <f t="shared" si="1"/>
        <v>32.4</v>
      </c>
      <c r="Q113" s="242">
        <f t="shared" si="1"/>
        <v>40.5</v>
      </c>
      <c r="R113" s="242">
        <f t="shared" si="1"/>
        <v>48.6</v>
      </c>
      <c r="S113" s="242">
        <f t="shared" si="1"/>
        <v>56.7</v>
      </c>
      <c r="T113" s="242">
        <f t="shared" si="1"/>
        <v>64.8</v>
      </c>
      <c r="U113" s="242">
        <f t="shared" si="1"/>
        <v>72.9</v>
      </c>
      <c r="V113" s="242">
        <f t="shared" si="1"/>
        <v>81</v>
      </c>
      <c r="W113" s="242">
        <f t="shared" si="1"/>
        <v>89.1</v>
      </c>
      <c r="X113" s="242">
        <f t="shared" si="1"/>
        <v>97.2</v>
      </c>
      <c r="Y113" s="61">
        <v>5</v>
      </c>
      <c r="Z113" s="251">
        <f t="shared" si="2"/>
        <v>48.6</v>
      </c>
    </row>
    <row r="114" spans="12:26" ht="12.75">
      <c r="L114" s="61">
        <v>6</v>
      </c>
      <c r="M114" s="240">
        <v>0.6875</v>
      </c>
      <c r="N114" s="242">
        <f t="shared" si="1"/>
        <v>14.9</v>
      </c>
      <c r="O114" s="242">
        <f t="shared" si="1"/>
        <v>22.3</v>
      </c>
      <c r="P114" s="242">
        <f t="shared" si="1"/>
        <v>29.7</v>
      </c>
      <c r="Q114" s="242">
        <f t="shared" si="1"/>
        <v>37.1</v>
      </c>
      <c r="R114" s="242">
        <f t="shared" si="1"/>
        <v>44.6</v>
      </c>
      <c r="S114" s="242">
        <f t="shared" si="1"/>
        <v>52</v>
      </c>
      <c r="T114" s="242">
        <f t="shared" si="1"/>
        <v>59.4</v>
      </c>
      <c r="U114" s="242">
        <f t="shared" si="1"/>
        <v>66.8</v>
      </c>
      <c r="V114" s="242">
        <f t="shared" si="1"/>
        <v>74.3</v>
      </c>
      <c r="W114" s="242">
        <f t="shared" si="1"/>
        <v>81.7</v>
      </c>
      <c r="X114" s="242">
        <f t="shared" si="1"/>
        <v>89.1</v>
      </c>
      <c r="Y114" s="61">
        <v>6</v>
      </c>
      <c r="Z114" s="251">
        <f t="shared" si="2"/>
        <v>44.6</v>
      </c>
    </row>
    <row r="115" spans="12:26" ht="12.75">
      <c r="L115" s="61">
        <v>7</v>
      </c>
      <c r="M115" s="240">
        <v>0.625</v>
      </c>
      <c r="N115" s="242">
        <f t="shared" si="1"/>
        <v>13.5</v>
      </c>
      <c r="O115" s="242">
        <f t="shared" si="1"/>
        <v>20.3</v>
      </c>
      <c r="P115" s="242">
        <f t="shared" si="1"/>
        <v>27</v>
      </c>
      <c r="Q115" s="242">
        <f t="shared" si="1"/>
        <v>33.8</v>
      </c>
      <c r="R115" s="242">
        <f t="shared" si="1"/>
        <v>40.5</v>
      </c>
      <c r="S115" s="242">
        <f t="shared" si="1"/>
        <v>47.3</v>
      </c>
      <c r="T115" s="242">
        <f t="shared" si="1"/>
        <v>54</v>
      </c>
      <c r="U115" s="242">
        <f t="shared" si="1"/>
        <v>60.8</v>
      </c>
      <c r="V115" s="242">
        <f t="shared" si="1"/>
        <v>67.5</v>
      </c>
      <c r="W115" s="242">
        <f t="shared" si="1"/>
        <v>74.3</v>
      </c>
      <c r="X115" s="242">
        <f t="shared" si="1"/>
        <v>81</v>
      </c>
      <c r="Y115" s="61">
        <v>7</v>
      </c>
      <c r="Z115" s="251">
        <f t="shared" si="2"/>
        <v>40.5</v>
      </c>
    </row>
    <row r="116" spans="12:26" ht="12.75">
      <c r="L116" s="61">
        <v>8</v>
      </c>
      <c r="M116" s="240">
        <v>0.5625</v>
      </c>
      <c r="N116" s="242">
        <f t="shared" si="1"/>
        <v>12.2</v>
      </c>
      <c r="O116" s="242">
        <f t="shared" si="1"/>
        <v>18.2</v>
      </c>
      <c r="P116" s="242">
        <f t="shared" si="1"/>
        <v>24.3</v>
      </c>
      <c r="Q116" s="242">
        <f t="shared" si="1"/>
        <v>30.4</v>
      </c>
      <c r="R116" s="242">
        <f t="shared" si="1"/>
        <v>36.5</v>
      </c>
      <c r="S116" s="242">
        <f t="shared" si="1"/>
        <v>42.5</v>
      </c>
      <c r="T116" s="242">
        <f t="shared" si="1"/>
        <v>48.6</v>
      </c>
      <c r="U116" s="242">
        <f t="shared" si="1"/>
        <v>54.7</v>
      </c>
      <c r="V116" s="242">
        <f t="shared" si="1"/>
        <v>60.8</v>
      </c>
      <c r="W116" s="242">
        <f t="shared" si="1"/>
        <v>66.8</v>
      </c>
      <c r="X116" s="242">
        <f t="shared" si="1"/>
        <v>72.9</v>
      </c>
      <c r="Y116" s="61">
        <v>8</v>
      </c>
      <c r="Z116" s="251">
        <f t="shared" si="2"/>
        <v>36.5</v>
      </c>
    </row>
    <row r="117" spans="12:26" ht="12.75">
      <c r="L117" s="61">
        <v>9</v>
      </c>
      <c r="M117" s="240">
        <v>0.5</v>
      </c>
      <c r="N117" s="242">
        <f t="shared" si="1"/>
        <v>10.8</v>
      </c>
      <c r="O117" s="242">
        <f t="shared" si="1"/>
        <v>16.2</v>
      </c>
      <c r="P117" s="242">
        <f t="shared" si="1"/>
        <v>21.6</v>
      </c>
      <c r="Q117" s="242">
        <f t="shared" si="1"/>
        <v>27</v>
      </c>
      <c r="R117" s="242">
        <f t="shared" si="1"/>
        <v>32.4</v>
      </c>
      <c r="S117" s="242">
        <f t="shared" si="1"/>
        <v>37.8</v>
      </c>
      <c r="T117" s="242">
        <f t="shared" si="1"/>
        <v>43.2</v>
      </c>
      <c r="U117" s="242">
        <f t="shared" si="1"/>
        <v>48.6</v>
      </c>
      <c r="V117" s="242">
        <f t="shared" si="1"/>
        <v>54</v>
      </c>
      <c r="W117" s="242">
        <f t="shared" si="1"/>
        <v>59.4</v>
      </c>
      <c r="X117" s="242">
        <f t="shared" si="1"/>
        <v>64.8</v>
      </c>
      <c r="Y117" s="61">
        <v>9</v>
      </c>
      <c r="Z117" s="251">
        <f t="shared" si="2"/>
        <v>32.4</v>
      </c>
    </row>
    <row r="118" spans="12:26" ht="12.75">
      <c r="L118" s="61">
        <v>10</v>
      </c>
      <c r="M118" s="240">
        <v>0.4375</v>
      </c>
      <c r="N118" s="242">
        <f t="shared" si="1"/>
        <v>9.5</v>
      </c>
      <c r="O118" s="242">
        <f t="shared" si="1"/>
        <v>14.2</v>
      </c>
      <c r="P118" s="242">
        <f t="shared" si="1"/>
        <v>18.9</v>
      </c>
      <c r="Q118" s="242">
        <f t="shared" si="1"/>
        <v>23.6</v>
      </c>
      <c r="R118" s="242">
        <f t="shared" si="1"/>
        <v>28.4</v>
      </c>
      <c r="S118" s="242">
        <f t="shared" si="1"/>
        <v>33.1</v>
      </c>
      <c r="T118" s="242">
        <f t="shared" si="1"/>
        <v>37.8</v>
      </c>
      <c r="U118" s="242">
        <f t="shared" si="1"/>
        <v>42.5</v>
      </c>
      <c r="V118" s="242">
        <f t="shared" si="1"/>
        <v>47.3</v>
      </c>
      <c r="W118" s="242">
        <f t="shared" si="1"/>
        <v>52</v>
      </c>
      <c r="X118" s="242">
        <f t="shared" si="1"/>
        <v>56.7</v>
      </c>
      <c r="Y118" s="61">
        <v>10</v>
      </c>
      <c r="Z118" s="251">
        <f t="shared" si="2"/>
        <v>28.4</v>
      </c>
    </row>
    <row r="119" spans="12:26" ht="12.75">
      <c r="L119" s="238">
        <v>11</v>
      </c>
      <c r="M119" s="240">
        <v>0.375</v>
      </c>
      <c r="N119" s="242">
        <f t="shared" si="1"/>
        <v>8.1</v>
      </c>
      <c r="O119" s="242">
        <f t="shared" si="1"/>
        <v>12.2</v>
      </c>
      <c r="P119" s="242">
        <f t="shared" si="1"/>
        <v>16.2</v>
      </c>
      <c r="Q119" s="242">
        <f t="shared" si="1"/>
        <v>20.3</v>
      </c>
      <c r="R119" s="242">
        <f t="shared" si="1"/>
        <v>24.3</v>
      </c>
      <c r="S119" s="242">
        <f t="shared" si="1"/>
        <v>28.4</v>
      </c>
      <c r="T119" s="242">
        <f t="shared" si="1"/>
        <v>32.4</v>
      </c>
      <c r="U119" s="242">
        <f t="shared" si="1"/>
        <v>36.5</v>
      </c>
      <c r="V119" s="242">
        <f t="shared" si="1"/>
        <v>40.5</v>
      </c>
      <c r="W119" s="242">
        <f t="shared" si="1"/>
        <v>44.6</v>
      </c>
      <c r="X119" s="242">
        <f t="shared" si="1"/>
        <v>48.6</v>
      </c>
      <c r="Y119" s="238">
        <v>11</v>
      </c>
      <c r="Z119" s="251">
        <f t="shared" si="2"/>
        <v>24.3</v>
      </c>
    </row>
    <row r="120" spans="12:26" ht="12.75">
      <c r="L120" s="238">
        <v>12</v>
      </c>
      <c r="M120" s="240">
        <v>0.3125</v>
      </c>
      <c r="N120" s="242">
        <f t="shared" si="1"/>
        <v>6.8</v>
      </c>
      <c r="O120" s="242">
        <f t="shared" si="1"/>
        <v>10.1</v>
      </c>
      <c r="P120" s="242">
        <f t="shared" si="1"/>
        <v>13.5</v>
      </c>
      <c r="Q120" s="242">
        <f t="shared" si="1"/>
        <v>16.9</v>
      </c>
      <c r="R120" s="242">
        <f t="shared" si="1"/>
        <v>20.3</v>
      </c>
      <c r="S120" s="242">
        <f t="shared" si="1"/>
        <v>23.6</v>
      </c>
      <c r="T120" s="242">
        <f t="shared" si="1"/>
        <v>27</v>
      </c>
      <c r="U120" s="242">
        <f t="shared" si="1"/>
        <v>30.4</v>
      </c>
      <c r="V120" s="242">
        <f t="shared" si="1"/>
        <v>33.8</v>
      </c>
      <c r="W120" s="242">
        <f t="shared" si="1"/>
        <v>37.1</v>
      </c>
      <c r="X120" s="242">
        <f t="shared" si="1"/>
        <v>40.5</v>
      </c>
      <c r="Y120" s="238">
        <v>12</v>
      </c>
      <c r="Z120" s="251">
        <f t="shared" si="2"/>
        <v>20.3</v>
      </c>
    </row>
    <row r="121" spans="12:26" ht="12.75">
      <c r="L121" s="238">
        <v>13</v>
      </c>
      <c r="M121" s="240">
        <v>0.25</v>
      </c>
      <c r="N121" s="242">
        <f t="shared" si="1"/>
        <v>5.4</v>
      </c>
      <c r="O121" s="242">
        <f t="shared" si="1"/>
        <v>8.1</v>
      </c>
      <c r="P121" s="242">
        <f t="shared" si="1"/>
        <v>10.8</v>
      </c>
      <c r="Q121" s="242">
        <f t="shared" si="1"/>
        <v>13.5</v>
      </c>
      <c r="R121" s="242">
        <f t="shared" si="1"/>
        <v>16.2</v>
      </c>
      <c r="S121" s="242">
        <f t="shared" si="1"/>
        <v>18.9</v>
      </c>
      <c r="T121" s="242">
        <f t="shared" si="1"/>
        <v>21.6</v>
      </c>
      <c r="U121" s="242">
        <f t="shared" si="1"/>
        <v>24.3</v>
      </c>
      <c r="V121" s="242">
        <f t="shared" si="1"/>
        <v>27</v>
      </c>
      <c r="W121" s="242">
        <f t="shared" si="1"/>
        <v>29.7</v>
      </c>
      <c r="X121" s="242">
        <f t="shared" si="1"/>
        <v>32.4</v>
      </c>
      <c r="Y121" s="238">
        <v>13</v>
      </c>
      <c r="Z121" s="251">
        <f t="shared" si="2"/>
        <v>16.2</v>
      </c>
    </row>
    <row r="122" spans="12:26" ht="12.75">
      <c r="L122" s="238">
        <v>14</v>
      </c>
      <c r="M122" s="240">
        <v>0.1875</v>
      </c>
      <c r="N122" s="242">
        <f t="shared" si="1"/>
        <v>4.1</v>
      </c>
      <c r="O122" s="242">
        <f t="shared" si="1"/>
        <v>6.1</v>
      </c>
      <c r="P122" s="242">
        <f t="shared" si="1"/>
        <v>8.1</v>
      </c>
      <c r="Q122" s="242">
        <f t="shared" si="1"/>
        <v>10.1</v>
      </c>
      <c r="R122" s="242">
        <f t="shared" si="1"/>
        <v>12.2</v>
      </c>
      <c r="S122" s="242">
        <f t="shared" si="1"/>
        <v>14.2</v>
      </c>
      <c r="T122" s="242">
        <f t="shared" si="1"/>
        <v>16.2</v>
      </c>
      <c r="U122" s="242">
        <f t="shared" si="1"/>
        <v>18.2</v>
      </c>
      <c r="V122" s="242">
        <f t="shared" si="1"/>
        <v>20.3</v>
      </c>
      <c r="W122" s="242">
        <f t="shared" si="1"/>
        <v>22.3</v>
      </c>
      <c r="X122" s="242">
        <f t="shared" si="1"/>
        <v>24.3</v>
      </c>
      <c r="Y122" s="238">
        <v>14</v>
      </c>
      <c r="Z122" s="251">
        <f t="shared" si="2"/>
        <v>12.2</v>
      </c>
    </row>
    <row r="123" spans="12:28" ht="12.75">
      <c r="L123" s="238">
        <v>15</v>
      </c>
      <c r="M123" s="243">
        <v>0.125</v>
      </c>
      <c r="N123" s="244">
        <f t="shared" si="1"/>
        <v>2.7</v>
      </c>
      <c r="O123" s="244">
        <f t="shared" si="1"/>
        <v>4.1</v>
      </c>
      <c r="P123" s="244">
        <f t="shared" si="1"/>
        <v>5.4</v>
      </c>
      <c r="Q123" s="244">
        <f t="shared" si="1"/>
        <v>6.8</v>
      </c>
      <c r="R123" s="244">
        <f t="shared" si="1"/>
        <v>8.1</v>
      </c>
      <c r="S123" s="244">
        <f t="shared" si="1"/>
        <v>9.5</v>
      </c>
      <c r="T123" s="244">
        <f t="shared" si="1"/>
        <v>10.8</v>
      </c>
      <c r="U123" s="244">
        <f t="shared" si="1"/>
        <v>12.2</v>
      </c>
      <c r="V123" s="244">
        <f t="shared" si="1"/>
        <v>13.5</v>
      </c>
      <c r="W123" s="244">
        <f t="shared" si="1"/>
        <v>14.9</v>
      </c>
      <c r="X123" s="244">
        <f t="shared" si="1"/>
        <v>16.2</v>
      </c>
      <c r="Y123" s="238">
        <v>15</v>
      </c>
      <c r="Z123" s="251">
        <f t="shared" si="2"/>
        <v>8.1</v>
      </c>
      <c r="AB123" s="251"/>
    </row>
    <row r="124" spans="14:17" ht="12.75">
      <c r="N124" s="14"/>
      <c r="P124" s="146"/>
      <c r="Q124" s="14"/>
    </row>
    <row r="125" spans="14:17" ht="12.75">
      <c r="N125" s="14"/>
      <c r="P125" s="146"/>
      <c r="Q125" s="14"/>
    </row>
  </sheetData>
  <sheetProtection sheet="1" objects="1" scenarios="1"/>
  <dataValidations count="12">
    <dataValidation type="decimal" operator="greaterThanOrEqual" allowBlank="1" showInputMessage="1" showErrorMessage="1" prompt="Misc. weight, Wm, should include weight of risers including flanges, etc." sqref="D22">
      <formula1>0</formula1>
    </dataValidation>
    <dataValidation type="list" operator="greaterThanOrEqual" allowBlank="1" showInputMessage="1" showErrorMessage="1" prompt="3&quot; is typically assumed for a minimum strap width.&#10;Note: input 0 if straps are not to be used." sqref="D26">
      <formula1>$L$7:$L$18</formula1>
    </dataValidation>
    <dataValidation type="list" allowBlank="1" showInputMessage="1" showErrorMessage="1" prompt="Ends of tank may be configured as flat, elliptical (half of an oblate, &quot;flying saucer&quot;), or spherical segments." sqref="D12">
      <formula1>$L$4:$L$6</formula1>
    </dataValidation>
    <dataValidation type="decimal" operator="greaterThanOrEqual" allowBlank="1" showInputMessage="1" showErrorMessage="1" prompt="Typical values for tank end lengths range from 1/4*(ID) for elliptical ends to 1/2*(ID) for spherical ends." sqref="D14">
      <formula1>0</formula1>
    </dataValidation>
    <dataValidation type="decimal" operator="greaterThan" allowBlank="1" showInputMessage="1" showErrorMessage="1" prompt="Typical tank shell material densities are: steel = 490 pcf, aluminum = 165 psf, FRP (fiberglass) = 90 to 125 pcf." sqref="D15">
      <formula1>0</formula1>
    </dataValidation>
    <dataValidation type="decimal" operator="greaterThanOrEqual" allowBlank="1" showInputMessage="1" showErrorMessage="1" prompt="Actual thickness used must be &gt;= required thickness.&#10;(See Cell 61.)  Minimum value input must be &gt;= 0.50'." sqref="D25">
      <formula1>0.5</formula1>
    </dataValidation>
    <dataValidation type="decimal" allowBlank="1" showInputMessage="1" showErrorMessage="1" prompt="The value for the Factor of Safety for Uplift should vary between a min. of 1.0 and a max. of 1.5.  &#10;Note: no need for a value greater than 1.5 due to the conservative nature of the assumptions used in the calculations." error="1.0 &lt;= FS Uplift &lt;1.5" sqref="D9">
      <formula1>1</formula1>
      <formula2>1.5</formula2>
    </dataValidation>
    <dataValidation type="decimal" operator="greaterThanOrEqual" allowBlank="1" showInputMessage="1" showErrorMessage="1" prompt="The foundation length, Lf, is typically equal to the tank cylinder length plus a couple of feet." sqref="D23">
      <formula1>$D$13</formula1>
    </dataValidation>
    <dataValidation type="decimal" operator="greaterThan" allowBlank="1" showInputMessage="1" showErrorMessage="1" prompt="The foundation width, Bf, is typically equal to the tank O.D. plus a couple of feet." error="Fdn. Width should be &gt;= Tank OD + 2'" sqref="D24">
      <formula1>$D$32</formula1>
    </dataValidation>
    <dataValidation type="decimal" operator="greaterThan" allowBlank="1" showInputMessage="1" showErrorMessage="1" sqref="D10:D11 D13 D18:D21">
      <formula1>0</formula1>
    </dataValidation>
    <dataValidation type="decimal" operator="greaterThanOrEqual" allowBlank="1" showInputMessage="1" showErrorMessage="1" prompt="Typically the maximum soil cover depth for buried tanks with standard wall thicknesses is 5 feet." sqref="D17">
      <formula1>0</formula1>
    </dataValidation>
    <dataValidation type="decimal" operator="greaterThan" allowBlank="1" showInputMessage="1" showErrorMessage="1" prompt="The soil dry unit weight = total wet unit weight / (1 + % water content)." sqref="D16">
      <formula1>0</formula1>
    </dataValidation>
  </dataValidations>
  <printOptions/>
  <pageMargins left="1" right="0.5" top="1" bottom="1" header="0.5" footer="0.5"/>
  <pageSetup horizontalDpi="600" verticalDpi="600" orientation="portrait" scale="92" r:id="rId4"/>
  <headerFooter alignWithMargins="0">
    <oddHeader>&amp;R"UGTANK.xls" Program
Version 1.0</oddHeader>
    <oddFooter>&amp;C&amp;P of &amp;N&amp;R&amp;D  &amp;T</oddFooter>
  </headerFooter>
  <rowBreaks count="2" manualBreakCount="2">
    <brk id="55" max="9" man="1"/>
    <brk id="162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"UGTANK" Program</dc:title>
  <dc:subject/>
  <dc:creator>Alex Tomanovich, P.E. - 151 Shadow Lane, Lyman SC 29365 - Home: 864-968-2699 - Email: ATomanovich@bellsouth.net</dc:creator>
  <cp:keywords/>
  <dc:description>Underground Storage Tank Anchorage Design</dc:description>
  <cp:lastModifiedBy> </cp:lastModifiedBy>
  <cp:lastPrinted>2007-11-30T14:54:40Z</cp:lastPrinted>
  <dcterms:created xsi:type="dcterms:W3CDTF">2000-10-29T04:55:39Z</dcterms:created>
  <dcterms:modified xsi:type="dcterms:W3CDTF">2010-02-19T14:47:13Z</dcterms:modified>
  <cp:category>Structural Engineering Analysis/Design</cp:category>
  <cp:version/>
  <cp:contentType/>
  <cp:contentStatus/>
</cp:coreProperties>
</file>