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181" activeTab="1"/>
  </bookViews>
  <sheets>
    <sheet name="Doc" sheetId="1" r:id="rId1"/>
    <sheet name="Beam Bearing Plate" sheetId="2" r:id="rId2"/>
  </sheets>
  <definedNames>
    <definedName name="IND1">#REF!</definedName>
    <definedName name="_xlnm.Print_Area" localSheetId="1">'Beam Bearing Plate'!$A$1:$I$67</definedName>
    <definedName name="_xlnm.Print_Area" localSheetId="0">'Doc'!$A$1:$J$50</definedName>
    <definedName name="Shape">#REF!</definedName>
  </definedNames>
  <calcPr fullCalcOnLoad="1"/>
</workbook>
</file>

<file path=xl/comments2.xml><?xml version="1.0" encoding="utf-8"?>
<comments xmlns="http://schemas.openxmlformats.org/spreadsheetml/2006/main">
  <authors>
    <author>Bob Dalpiaz</author>
    <author>O'Neal, Inc.</author>
    <author>O'Neal User</author>
    <author> </author>
  </authors>
  <commentList>
    <comment ref="AF1" authorId="0">
      <text>
        <r>
          <rPr>
            <sz val="8"/>
            <rFont val="Tahoma"/>
            <family val="0"/>
          </rPr>
          <t xml:space="preserve">                      "</t>
        </r>
        <r>
          <rPr>
            <b/>
            <sz val="8"/>
            <rFont val="Tahoma"/>
            <family val="2"/>
          </rPr>
          <t>BRGPLT13.xls</t>
        </r>
        <r>
          <rPr>
            <sz val="8"/>
            <rFont val="Tahoma"/>
            <family val="0"/>
          </rPr>
          <t>"
written by:  Joel Berg, P.E.
based on a program by:  Alex Tomanovich, P.E.</t>
        </r>
      </text>
    </comment>
    <comment ref="B21" authorId="1">
      <text>
        <r>
          <rPr>
            <sz val="10"/>
            <rFont val="Arial"/>
            <family val="2"/>
          </rPr>
          <t>Member section properties are based on AISC Version 13.0 CD Database (2005) and AISC 13th Edition Manual (2005).</t>
        </r>
      </text>
    </comment>
    <comment ref="D19" authorId="2">
      <text>
        <r>
          <rPr>
            <sz val="10"/>
            <rFont val="Arial"/>
            <family val="2"/>
          </rPr>
          <t>The total bearing area of the concrete support, 'A2', MUST have a minimum value of A2 = N*B for bearing plate design or A2 = N*bf for checking the minimum beam flange thickness without using a bearing plate.</t>
        </r>
      </text>
    </comment>
    <comment ref="I33" authorId="3">
      <text>
        <r>
          <rPr>
            <sz val="10"/>
            <rFont val="Arial"/>
            <family val="2"/>
          </rPr>
          <t>If R &gt; Rv, then either increase beam size (for web thickness increase) or add web-doubler plates to increase web shear capacity.</t>
        </r>
      </text>
    </comment>
    <comment ref="I48" authorId="3">
      <text>
        <r>
          <rPr>
            <sz val="10"/>
            <rFont val="Arial"/>
            <family val="2"/>
          </rPr>
          <t>If R &gt; Rp, then add beam web stiffeners to increase the beam end bearing capacity.</t>
        </r>
      </text>
    </comment>
    <comment ref="I57" authorId="3">
      <text>
        <r>
          <rPr>
            <sz val="10"/>
            <rFont val="Arial"/>
            <family val="2"/>
          </rPr>
          <t>If fp &gt; Fp, then increase the bearing area by increasing the beam bearing plate plan dimensions, N and/or B.</t>
        </r>
      </text>
    </comment>
  </commentList>
</comments>
</file>

<file path=xl/sharedStrings.xml><?xml version="1.0" encoding="utf-8"?>
<sst xmlns="http://schemas.openxmlformats.org/spreadsheetml/2006/main" count="564" uniqueCount="485">
  <si>
    <t>Max. Allowable End Reaction:</t>
  </si>
  <si>
    <t>k =</t>
  </si>
  <si>
    <t>d</t>
  </si>
  <si>
    <t>tw</t>
  </si>
  <si>
    <t>bf</t>
  </si>
  <si>
    <t>tf</t>
  </si>
  <si>
    <t>k</t>
  </si>
  <si>
    <t>Rwy =</t>
  </si>
  <si>
    <t>kips</t>
  </si>
  <si>
    <t>Shape</t>
  </si>
  <si>
    <t>ksi</t>
  </si>
  <si>
    <t>W18x258</t>
  </si>
  <si>
    <t>W18x283</t>
  </si>
  <si>
    <t>Fv =</t>
  </si>
  <si>
    <t>in.</t>
  </si>
  <si>
    <t>Results:</t>
  </si>
  <si>
    <t>Beam Size =</t>
  </si>
  <si>
    <t>W18x192</t>
  </si>
  <si>
    <t>W18x211</t>
  </si>
  <si>
    <t>W18x234</t>
  </si>
  <si>
    <t>Beam Yield Stress, Fy =</t>
  </si>
  <si>
    <t>bf =</t>
  </si>
  <si>
    <t>W18x311</t>
  </si>
  <si>
    <t>CALCULATIONS:</t>
  </si>
  <si>
    <t>Allowable End Reaction Based on End Bearing Criteria for Beam:</t>
  </si>
  <si>
    <t>Input Data:</t>
  </si>
  <si>
    <t>tf =</t>
  </si>
  <si>
    <t>tw =</t>
  </si>
  <si>
    <t>Rv =</t>
  </si>
  <si>
    <t>Rwc =</t>
  </si>
  <si>
    <t>Member Properties:</t>
  </si>
  <si>
    <t>Beam:</t>
  </si>
  <si>
    <t>d =</t>
  </si>
  <si>
    <t>Database (2001) and AISC 9th Edition Manual (1989)</t>
  </si>
  <si>
    <t>Beam Size:</t>
  </si>
  <si>
    <t>Design Parameters:</t>
  </si>
  <si>
    <t xml:space="preserve">              N+2.5*k</t>
  </si>
  <si>
    <t>Program Description:</t>
  </si>
  <si>
    <t>This program is a workbook consisting of two (2) worksheets, described as follows:</t>
  </si>
  <si>
    <t>Worksheet Name</t>
  </si>
  <si>
    <t>Description</t>
  </si>
  <si>
    <t>Doc</t>
  </si>
  <si>
    <t>This documentation sheet</t>
  </si>
  <si>
    <t>Program Assumptions and Limitations:</t>
  </si>
  <si>
    <t xml:space="preserve">      of input or output items, equations used, data tables, etc.  (Note:  presence of a “comment box” is denoted </t>
  </si>
  <si>
    <t xml:space="preserve">      by a “red triangle” in the upper right-hand corner of a cell.  Merely move the mouse pointer to the desired </t>
  </si>
  <si>
    <t xml:space="preserve">      cell to view the contents of that particular "comment box".)</t>
  </si>
  <si>
    <t>W, S, M, C and MC Section Properties from AISC Version 3.0 CD</t>
  </si>
  <si>
    <t xml:space="preserve">1.   This program uses the database of member dimensions and section properties from the "AISC Shapes </t>
  </si>
  <si>
    <r>
      <t>R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</si>
  <si>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r>
      <t>R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</t>
    </r>
  </si>
  <si>
    <t>ksi.</t>
  </si>
  <si>
    <t>Maximum Allowable End Reaction:</t>
  </si>
  <si>
    <t>Fp =</t>
  </si>
  <si>
    <t>in.^2</t>
  </si>
  <si>
    <t>n =</t>
  </si>
  <si>
    <t>Concrete Strength, f 'c =</t>
  </si>
  <si>
    <t>S.R. =</t>
  </si>
  <si>
    <r>
      <t>Bearing Area, A</t>
    </r>
    <r>
      <rPr>
        <sz val="8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=</t>
    </r>
  </si>
  <si>
    <t>Allowable End Reaction Based on Web Shear:</t>
  </si>
  <si>
    <t>Rv = Fv*Aw = Fv*(d*tw)  (Allowable web shear)</t>
  </si>
  <si>
    <t>Check End Reaction Based on End Bearing Criteria for Beam:</t>
  </si>
  <si>
    <t>Check End Reaction Based on Beam Web Shear:</t>
  </si>
  <si>
    <t>Bearing Plate Yield Stress, Fyp =</t>
  </si>
  <si>
    <t>Bearing Plate Length, N =</t>
  </si>
  <si>
    <t>Bearing Plate Width, B =</t>
  </si>
  <si>
    <t>Beam End Reaction, R =</t>
  </si>
  <si>
    <t>Bearing Plate Thickness:</t>
  </si>
  <si>
    <t>fp =</t>
  </si>
  <si>
    <t>fp = R/(N*B)</t>
  </si>
  <si>
    <t>tp =</t>
  </si>
  <si>
    <t>Rp =</t>
  </si>
  <si>
    <r>
      <t>R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Minimum of:  Rv  or  Rp</t>
    </r>
  </si>
  <si>
    <t>n = (B-2*k)/2</t>
  </si>
  <si>
    <t>Required Bearing Plate Thickness:</t>
  </si>
  <si>
    <t>Beam Bearing Plate</t>
  </si>
  <si>
    <t>2.   The user may select from W, S, and M shapes.</t>
  </si>
  <si>
    <t>for W, S, and M Shape Beams</t>
  </si>
  <si>
    <t>Nomenclature</t>
  </si>
  <si>
    <t>tf(min) =</t>
  </si>
  <si>
    <t>Determine Required Bearing Plate Thickness:</t>
  </si>
  <si>
    <t>Fpf =</t>
  </si>
  <si>
    <t>fpf =</t>
  </si>
  <si>
    <t>fpf = R/(N*bf)</t>
  </si>
  <si>
    <t>nf =</t>
  </si>
  <si>
    <t>nf = (bf-2*k)/2</t>
  </si>
  <si>
    <t>tf(min) = SQRT(3*fpf*nf^2/Fbf)</t>
  </si>
  <si>
    <t>Rp = Minimum of:  Rwy  or  Rwc</t>
  </si>
  <si>
    <t>Min. Beam Flange Thickness without Bearing Plate:</t>
  </si>
  <si>
    <r>
      <t>N</t>
    </r>
    <r>
      <rPr>
        <sz val="8"/>
        <color indexed="8"/>
        <rFont val="Arial"/>
        <family val="2"/>
      </rPr>
      <t>(min)</t>
    </r>
    <r>
      <rPr>
        <sz val="10"/>
        <color indexed="8"/>
        <rFont val="Arial"/>
        <family val="2"/>
      </rPr>
      <t xml:space="preserve"> =</t>
    </r>
  </si>
  <si>
    <r>
      <t>tf</t>
    </r>
    <r>
      <rPr>
        <sz val="8"/>
        <color indexed="8"/>
        <rFont val="Arial"/>
        <family val="2"/>
      </rPr>
      <t>(min)</t>
    </r>
    <r>
      <rPr>
        <sz val="10"/>
        <color indexed="8"/>
        <rFont val="Arial"/>
        <family val="2"/>
      </rPr>
      <t xml:space="preserve"> =</t>
    </r>
  </si>
  <si>
    <r>
      <t>N</t>
    </r>
    <r>
      <rPr>
        <sz val="8"/>
        <color indexed="8"/>
        <rFont val="Arial"/>
        <family val="2"/>
      </rPr>
      <t>(min)</t>
    </r>
    <r>
      <rPr>
        <sz val="10"/>
        <color indexed="8"/>
        <rFont val="Arial"/>
        <family val="2"/>
      </rPr>
      <t xml:space="preserve"> = R/(bf*0.35*f'c)</t>
    </r>
  </si>
  <si>
    <t>Minimum Beam Flange Thickness without Bearing Plate:</t>
  </si>
  <si>
    <r>
      <t>tf</t>
    </r>
    <r>
      <rPr>
        <sz val="8"/>
        <color indexed="8"/>
        <rFont val="Arial"/>
        <family val="2"/>
      </rPr>
      <t>(min)</t>
    </r>
    <r>
      <rPr>
        <sz val="10"/>
        <color indexed="8"/>
        <rFont val="Arial"/>
        <family val="0"/>
      </rPr>
      <t xml:space="preserve"> =</t>
    </r>
  </si>
  <si>
    <t xml:space="preserve">5.  This program contains “comment boxes” which contain a wide variety of information including explanations </t>
  </si>
  <si>
    <t xml:space="preserve">      also determine the minimum beam flange thickness to sustain the reaction without using a bearing plate.</t>
  </si>
  <si>
    <t xml:space="preserve">4.  This program will determine the required beam bearing plate thickness based upon the given input, and will </t>
  </si>
  <si>
    <t>BEAM BEARING PLATE DESIGN</t>
  </si>
  <si>
    <t>Beam bearing plate design</t>
  </si>
  <si>
    <t>bearing plates.  This program is applicable to beams supported on concrete walls, pilasters, and piers in an</t>
  </si>
  <si>
    <t xml:space="preserve">attempt to distribute the beam reaction over an area sufficient to keep the average bearing pressure within </t>
  </si>
  <si>
    <t xml:space="preserve">acceptable limits.  Specifically the program will check both the beam web shear and beam end bearing  </t>
  </si>
  <si>
    <t xml:space="preserve">capacity, determine the required bearing plate thickness, and determine the minimum beam flange </t>
  </si>
  <si>
    <t>thickness required without a bearing plate.</t>
  </si>
  <si>
    <t>Project Name:</t>
  </si>
  <si>
    <t>Client:</t>
  </si>
  <si>
    <t>Project No.:</t>
  </si>
  <si>
    <t>Prep. By:</t>
  </si>
  <si>
    <t>Date:</t>
  </si>
  <si>
    <t>"BRGPLT13" --- BEAM BEARING PLATE DESIGN</t>
  </si>
  <si>
    <t>"BRGPLT13" is a spreadsheet program written in MS-Excel for the purpose of the analysis and design of beam</t>
  </si>
  <si>
    <t xml:space="preserve">      Database", Version 0.13.0 (2005) as well as the AISC 13th Edition (ASD) Manual (2005).</t>
  </si>
  <si>
    <t xml:space="preserve">3.   This program utilizes the procedure for the design of beam bearing plates from the AISC 13th Edition (ASD) </t>
  </si>
  <si>
    <t xml:space="preserve">      Manual (2005), pages 14-3 through 14-4.</t>
  </si>
  <si>
    <t>per AISC 13th Edition Manual (ASD) - Pages 14-3 to 14-4</t>
  </si>
  <si>
    <r>
      <t>Fv = 0.6*Fy*Cv/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, where Cv = 1.0 &amp;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 1.5</t>
    </r>
    <r>
      <rPr>
        <sz val="10"/>
        <rFont val="Arial"/>
        <family val="0"/>
      </rPr>
      <t xml:space="preserve"> for h/tw &lt;= sqrt(E/Fy)</t>
    </r>
  </si>
  <si>
    <r>
      <t>Fv = 0.6*Fy*Cv/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, where Cv = 1.0 &amp;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 1.5</t>
    </r>
    <r>
      <rPr>
        <sz val="10"/>
        <color indexed="12"/>
        <rFont val="Arial"/>
        <family val="0"/>
      </rPr>
      <t xml:space="preserve"> for h/tw &lt;= sqrt(E/Fy)</t>
    </r>
  </si>
  <si>
    <t>Beam Constants (see pg 9-18):</t>
  </si>
  <si>
    <r>
      <t xml:space="preserve">R1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</si>
  <si>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>W</t>
    </r>
    <r>
      <rPr>
        <sz val="8"/>
        <rFont val="Arial"/>
        <family val="0"/>
      </rPr>
      <t xml:space="preserve"> = 1.5</t>
    </r>
  </si>
  <si>
    <r>
      <t>W</t>
    </r>
    <r>
      <rPr>
        <sz val="8"/>
        <rFont val="Arial"/>
        <family val="0"/>
      </rPr>
      <t xml:space="preserve"> = 2.0</t>
    </r>
  </si>
  <si>
    <r>
      <t xml:space="preserve">R2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</si>
  <si>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 xml:space="preserve">R3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</si>
  <si>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 xml:space="preserve">R4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</si>
  <si>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 xml:space="preserve">R5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</si>
  <si>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 xml:space="preserve">R6 / 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=</t>
    </r>
  </si>
  <si>
    <r>
      <t xml:space="preserve">R1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</si>
  <si>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R2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</si>
  <si>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R3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</si>
  <si>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R4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</si>
  <si>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R5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</si>
  <si>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R6 /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</si>
  <si>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t>Constants (see pg. 9-18 &amp; 9-38)</t>
  </si>
  <si>
    <t>W44X335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</si>
  <si>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</si>
  <si>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</si>
  <si>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</si>
  <si>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</si>
  <si>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</si>
  <si>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</si>
  <si>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</si>
  <si>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</si>
  <si>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</si>
  <si>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</si>
  <si>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</si>
  <si>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</si>
  <si>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</si>
  <si>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</si>
  <si>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</si>
  <si>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</si>
  <si>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</si>
  <si>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</si>
  <si>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W40X294</t>
  </si>
  <si>
    <t>W40X278</t>
  </si>
  <si>
    <t>W40X264</t>
  </si>
  <si>
    <t>W40X235</t>
  </si>
  <si>
    <t>W40X211</t>
  </si>
  <si>
    <t>W40X183</t>
  </si>
  <si>
    <t>W40X167</t>
  </si>
  <si>
    <t>W40X149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</si>
  <si>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</si>
  <si>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</si>
  <si>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</si>
  <si>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</si>
  <si>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</si>
  <si>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</si>
  <si>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</si>
  <si>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</si>
  <si>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</si>
  <si>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</si>
  <si>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</si>
  <si>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</si>
  <si>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</si>
  <si>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</si>
  <si>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</si>
  <si>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</si>
  <si>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</si>
  <si>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</si>
  <si>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</si>
  <si>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</si>
  <si>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</si>
  <si>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</si>
  <si>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</si>
  <si>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</si>
  <si>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</si>
  <si>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</si>
  <si>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</si>
  <si>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</si>
  <si>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</si>
  <si>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</si>
  <si>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</si>
  <si>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</si>
  <si>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</si>
  <si>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</si>
  <si>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</si>
  <si>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</si>
  <si>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</si>
  <si>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</si>
  <si>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</si>
  <si>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</si>
  <si>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</si>
  <si>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</si>
  <si>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</si>
  <si>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</si>
  <si>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</si>
  <si>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</si>
  <si>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</si>
  <si>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</si>
  <si>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</si>
  <si>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</si>
  <si>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</si>
  <si>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</si>
  <si>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</si>
  <si>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</si>
  <si>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</si>
  <si>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</si>
  <si>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</si>
  <si>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</si>
  <si>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</si>
  <si>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</si>
  <si>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</si>
  <si>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</si>
  <si>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</si>
  <si>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</si>
  <si>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</si>
  <si>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</si>
  <si>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</si>
  <si>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</si>
  <si>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</si>
  <si>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</si>
  <si>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</si>
  <si>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</si>
  <si>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</si>
  <si>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</si>
  <si>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</si>
  <si>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</si>
  <si>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</si>
  <si>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</si>
  <si>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</si>
  <si>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</si>
  <si>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</si>
  <si>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</si>
  <si>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</si>
  <si>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</si>
  <si>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</si>
  <si>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</si>
  <si>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</si>
  <si>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</si>
  <si>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</si>
  <si>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</si>
  <si>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</si>
  <si>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</si>
  <si>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</si>
  <si>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</si>
  <si>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</si>
  <si>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</si>
  <si>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</si>
  <si>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</si>
  <si>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</si>
  <si>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</si>
  <si>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</si>
  <si>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</si>
  <si>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</si>
  <si>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</si>
  <si>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</si>
  <si>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</si>
  <si>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</si>
  <si>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</si>
  <si>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</si>
  <si>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</si>
  <si>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</si>
  <si>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</si>
  <si>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</si>
  <si>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</si>
  <si>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</si>
  <si>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</si>
  <si>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</si>
  <si>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</si>
  <si>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</si>
  <si>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</si>
  <si>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</si>
  <si>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</si>
  <si>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</si>
  <si>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</si>
  <si>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</si>
  <si>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</si>
  <si>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</si>
  <si>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</si>
  <si>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</si>
  <si>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</si>
  <si>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</si>
  <si>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</si>
  <si>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</si>
  <si>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</si>
  <si>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</si>
  <si>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</si>
  <si>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</si>
  <si>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</si>
  <si>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</si>
  <si>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</si>
  <si>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</si>
  <si>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</si>
  <si>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</si>
  <si>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</si>
  <si>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</si>
  <si>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</si>
  <si>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</si>
  <si>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</si>
  <si>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</si>
  <si>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</si>
  <si>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</si>
  <si>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</si>
  <si>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</si>
  <si>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</si>
  <si>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</si>
  <si>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</si>
  <si>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</si>
  <si>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</si>
  <si>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</si>
  <si>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</si>
  <si>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</si>
  <si>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</si>
  <si>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</si>
  <si>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</si>
  <si>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</si>
  <si>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</si>
  <si>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</si>
  <si>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</si>
  <si>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</si>
  <si>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</si>
  <si>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</si>
  <si>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</si>
  <si>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</si>
  <si>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</si>
  <si>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</si>
  <si>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</si>
  <si>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</si>
  <si>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</si>
  <si>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</si>
  <si>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</si>
  <si>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</si>
  <si>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</si>
  <si>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</si>
  <si>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</si>
  <si>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</si>
  <si>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</si>
  <si>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</si>
  <si>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</si>
  <si>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</si>
  <si>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</si>
  <si>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</si>
  <si>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</si>
  <si>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</si>
  <si>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</si>
  <si>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</si>
  <si>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</si>
  <si>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</si>
  <si>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</si>
  <si>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</si>
  <si>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</si>
  <si>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</si>
  <si>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</si>
  <si>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</si>
  <si>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</si>
  <si>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</si>
  <si>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</si>
  <si>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</si>
  <si>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</si>
  <si>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</si>
  <si>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</si>
  <si>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</si>
  <si>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</si>
  <si>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</si>
  <si>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</si>
  <si>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</si>
  <si>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</si>
  <si>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</si>
  <si>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</si>
  <si>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</si>
  <si>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</si>
  <si>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</si>
  <si>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</si>
  <si>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</si>
  <si>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</si>
  <si>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</si>
  <si>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</si>
  <si>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</si>
  <si>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</si>
  <si>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</si>
  <si>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</si>
  <si>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</si>
  <si>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</si>
  <si>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</si>
  <si>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</si>
  <si>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</si>
  <si>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</si>
  <si>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</si>
  <si>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</si>
  <si>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</si>
  <si>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</si>
  <si>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</si>
  <si>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M12.5X12.4</t>
  </si>
  <si>
    <t>M12.5X11.6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</si>
  <si>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</si>
  <si>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</si>
  <si>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</si>
  <si>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</si>
  <si>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</si>
  <si>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</si>
  <si>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</si>
  <si>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</si>
  <si>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</si>
  <si>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</si>
  <si>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</si>
  <si>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</si>
  <si>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M4X4.08</t>
  </si>
  <si>
    <t>M4X3.45</t>
  </si>
  <si>
    <t>M4X3.2</t>
  </si>
  <si>
    <t>M3X2.9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</si>
  <si>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</si>
  <si>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</si>
  <si>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</si>
  <si>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</si>
  <si>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</si>
  <si>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</si>
  <si>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</si>
  <si>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</si>
  <si>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</si>
  <si>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</si>
  <si>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</si>
  <si>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</si>
  <si>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</si>
  <si>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</si>
  <si>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</si>
  <si>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</si>
  <si>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</si>
  <si>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</si>
  <si>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</si>
  <si>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</si>
  <si>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</si>
  <si>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S6X17.2</t>
  </si>
  <si>
    <t>S6X12.5</t>
  </si>
  <si>
    <t>S5X10</t>
  </si>
  <si>
    <t>S4X9.5</t>
  </si>
  <si>
    <t>S4X7.7</t>
  </si>
  <si>
    <t>S3X7.5</t>
  </si>
  <si>
    <t>S3X5.7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</si>
  <si>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</si>
  <si>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</si>
  <si>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</si>
  <si>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</si>
  <si>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</si>
  <si>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</si>
  <si>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</si>
  <si>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</si>
  <si>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</si>
  <si>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</si>
  <si>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</si>
  <si>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r>
      <t>Rwy = R1/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+ N*(R2/</t>
    </r>
    <r>
      <rPr>
        <sz val="10"/>
        <rFont val="Symbol"/>
        <family val="1"/>
      </rPr>
      <t>W</t>
    </r>
    <r>
      <rPr>
        <sz val="10"/>
        <rFont val="Arial"/>
        <family val="2"/>
      </rPr>
      <t>)  (AISC pg. 9-19) (only appl. if x &lt; d)</t>
    </r>
  </si>
  <si>
    <t xml:space="preserve">Dist. from Beam Brg to Load, x = </t>
  </si>
  <si>
    <t>Rwy1 =</t>
  </si>
  <si>
    <t>Rwy2 =</t>
  </si>
  <si>
    <t>Rwc1 =</t>
  </si>
  <si>
    <t>Rwc2 =</t>
  </si>
  <si>
    <t>Rwc3 =</t>
  </si>
  <si>
    <r>
      <t>Rwy2 = 2*R1/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0"/>
      </rPr>
      <t xml:space="preserve"> + N*(R2/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0"/>
      </rPr>
      <t>)  (AISC pg. 9-19)</t>
    </r>
  </si>
  <si>
    <r>
      <t>Rwy1 = R1/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+ N*(R2/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  (AISC pg. 9-19)</t>
    </r>
  </si>
  <si>
    <t>Rwy = Minimum of:  Rwy1 or Rwy2</t>
  </si>
  <si>
    <t>Rwc = Minimum of:  Rwc1, Rwc2 or Rwc3</t>
  </si>
  <si>
    <r>
      <t>Rwc1 = R3/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+ N*(R4/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  (AISC pg. 9-19)</t>
    </r>
  </si>
  <si>
    <r>
      <t>Rwc2 = R5/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+ N*(R6/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  (AISC pg. 9-19)</t>
    </r>
  </si>
  <si>
    <t>Web Crippling:</t>
  </si>
  <si>
    <t>Web Yielding:</t>
  </si>
  <si>
    <r>
      <t>R</t>
    </r>
    <r>
      <rPr>
        <sz val="8"/>
        <rFont val="Arial"/>
        <family val="2"/>
      </rPr>
      <t>(max)</t>
    </r>
    <r>
      <rPr>
        <sz val="10"/>
        <rFont val="Arial"/>
        <family val="2"/>
      </rPr>
      <t xml:space="preserve"> =</t>
    </r>
  </si>
  <si>
    <t>tp = SQRT(3*fp*n^2)/(0.6*Fy*1.5))</t>
  </si>
  <si>
    <t>Fp = Min. of: 0.34*f'c*SQRT(A2/(N*B)) and 0.68*f'c</t>
  </si>
  <si>
    <t>(continued)</t>
  </si>
  <si>
    <r>
      <t>Rwc1 = R3/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+ N*(R4/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)  (AISC pg. 9-19) (appl. if x &lt; d/2 &amp; N/d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0.2)</t>
    </r>
  </si>
  <si>
    <r>
      <t>Rwy = 2*R1/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+ N*(R2/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)  (AISC pg. 9-19) (only appl. if x </t>
    </r>
    <r>
      <rPr>
        <sz val="10"/>
        <rFont val="Arial"/>
        <family val="0"/>
      </rPr>
      <t>≥</t>
    </r>
    <r>
      <rPr>
        <sz val="10"/>
        <rFont val="Arial"/>
        <family val="0"/>
      </rPr>
      <t xml:space="preserve"> d)</t>
    </r>
  </si>
  <si>
    <t>Fpf = Min. of: 0.34*SQRT(A2/(N*bf))*f'c and 0.68*f'c</t>
  </si>
  <si>
    <r>
      <t>Rwc3 = 2*(R3/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 xml:space="preserve"> + N*(R4/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))  (AISC pg. 9-19)</t>
    </r>
  </si>
  <si>
    <r>
      <t>Rwc3 = 2*(R3/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+ N*(R4/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))  (AISC pg. 9-19) (appl. if x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d/2)</t>
    </r>
  </si>
  <si>
    <r>
      <t>Rwc2 = R5/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+ N*(R6/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)  (AISC pg. 9-19) (appl. if x &lt; d/2 &amp; N/d </t>
    </r>
    <r>
      <rPr>
        <sz val="10"/>
        <rFont val="Arial"/>
        <family val="0"/>
      </rPr>
      <t>&gt;</t>
    </r>
    <r>
      <rPr>
        <sz val="10"/>
        <rFont val="Arial"/>
        <family val="2"/>
      </rPr>
      <t xml:space="preserve"> 0.2)</t>
    </r>
  </si>
  <si>
    <t>w16x26</t>
  </si>
  <si>
    <t>Version 1.1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</si>
</sst>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&quot;$&quot;#,##0\ ;\(&quot;$&quot;#,##0\)"/>
    <numFmt numFmtId="169" formatCode="mm/dd/yyyy"/>
    <numFmt numFmtId="170" formatCode="m/d/yy\ h:mm\ AM/PM"/>
    <numFmt numFmtId="171" formatCode="#\ ?/16\ &quot;in.&quot;"/>
    <numFmt numFmtId="172" formatCode="0.00000"/>
    <numFmt numFmtId="173" formatCode="0.000_)"/>
    <numFmt numFmtId="174" formatCode=".00"/>
    <numFmt numFmtId="175" formatCode="[$-409]dddd\,\ mmmm\ dd\,\ yyyy"/>
    <numFmt numFmtId="176" formatCode="0.0000000"/>
    <numFmt numFmtId="177" formatCode="0.000000"/>
    <numFmt numFmtId="178" formatCode="0.00000000"/>
    <numFmt numFmtId="179" formatCode="0.000000000"/>
    <numFmt numFmtId="180" formatCode="00000"/>
    <numFmt numFmtId="181" formatCode="0.0000000000"/>
    <numFmt numFmtId="182" formatCode="0.000000000000"/>
    <numFmt numFmtId="183" formatCode="0.00000000000000000"/>
    <numFmt numFmtId="184" formatCode="0.0000000000000000"/>
    <numFmt numFmtId="185" formatCode="0.000000000000000000"/>
    <numFmt numFmtId="186" formatCode="0.0000000000000000000"/>
    <numFmt numFmtId="187" formatCode="0.000000000000000"/>
    <numFmt numFmtId="188" formatCode="0.00000000000000"/>
    <numFmt numFmtId="189" formatCode="0.0000000000000"/>
    <numFmt numFmtId="190" formatCode="0.00000000000"/>
    <numFmt numFmtId="191" formatCode="&quot;$&quot;#,##0\ ;[Red]\(&quot;$&quot;#,##0\)"/>
    <numFmt numFmtId="192" formatCode="&quot;$&quot;#,##0.00\ ;\(&quot;$&quot;#,##0.00\)"/>
    <numFmt numFmtId="193" formatCode="&quot;$&quot;#,##0.00\ ;[Red]\(&quot;$&quot;#,##0.00\)"/>
    <numFmt numFmtId="194" formatCode="m/d"/>
    <numFmt numFmtId="195" formatCode="mm/dd/yy"/>
    <numFmt numFmtId="196" formatCode="dd\-mmm\-yy"/>
    <numFmt numFmtId="197" formatCode="dd\-mmm"/>
    <numFmt numFmtId="198" formatCode="mm/dd/yy\ h:mm"/>
    <numFmt numFmtId="199" formatCode="0.0000E+00"/>
    <numFmt numFmtId="200" formatCode="0.00_)"/>
    <numFmt numFmtId="201" formatCode="0;[Red]0"/>
    <numFmt numFmtId="202" formatCode="#\ ?/4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* #,##0_-;\-* #,##0_-;_-* &quot;-&quot;_-;_-@_-"/>
    <numFmt numFmtId="209" formatCode="_-&quot;£&quot;* #,##0.00_-;\-&quot;£&quot;* #,##0.00_-;_-&quot;£&quot;* &quot;-&quot;??_-;_-@_-"/>
    <numFmt numFmtId="210" formatCode="_-* #,##0.00_-;\-* #,##0.00_-;_-* &quot;-&quot;??_-;_-@_-"/>
    <numFmt numFmtId="211" formatCode="0\ &quot;ksi&quot;"/>
    <numFmt numFmtId="212" formatCode="#\ ?/8"/>
    <numFmt numFmtId="213" formatCode="#\ ?/8\ &quot;in.&quot;"/>
    <numFmt numFmtId="214" formatCode="#\ ?/2\ &quot;in.&quot;"/>
    <numFmt numFmtId="215" formatCode="#\ ?/4\ &quot;in.&quot;"/>
    <numFmt numFmtId="216" formatCode="0\ &quot;in.&quot;"/>
    <numFmt numFmtId="217" formatCode="_(* #,##0.000_);_(* \(#,##0.000\);_(* &quot;-&quot;??_);_(@_)"/>
    <numFmt numFmtId="218" formatCode="0.0%"/>
    <numFmt numFmtId="219" formatCode="mmmm\ d\,\ yyyy"/>
    <numFmt numFmtId="220" formatCode="0.000%"/>
    <numFmt numFmtId="221" formatCode="0.00000000000000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ymbol"/>
      <family val="1"/>
    </font>
    <font>
      <sz val="8"/>
      <name val="Tahoma"/>
      <family val="0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43"/>
      <name val="Arial"/>
      <family val="2"/>
    </font>
    <font>
      <i/>
      <sz val="10"/>
      <color indexed="8"/>
      <name val="Arial"/>
      <family val="0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9"/>
      <color indexed="12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Symbol"/>
      <family val="1"/>
    </font>
    <font>
      <sz val="8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1" applyNumberFormat="0" applyFont="0" applyFill="0" applyAlignment="0" applyProtection="0"/>
  </cellStyleXfs>
  <cellXfs count="292">
    <xf numFmtId="0" fontId="0" fillId="0" borderId="0" xfId="0" applyAlignment="1">
      <alignment/>
    </xf>
    <xf numFmtId="0" fontId="18" fillId="2" borderId="0" xfId="0" applyFont="1" applyFill="1" applyBorder="1" applyAlignment="1" applyProtection="1">
      <alignment horizontal="center"/>
      <protection hidden="1" locked="0"/>
    </xf>
    <xf numFmtId="166" fontId="6" fillId="2" borderId="0" xfId="0" applyNumberFormat="1" applyFont="1" applyFill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/>
      <protection hidden="1"/>
    </xf>
    <xf numFmtId="166" fontId="3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165" fontId="6" fillId="2" borderId="0" xfId="0" applyNumberFormat="1" applyFont="1" applyFill="1" applyBorder="1" applyAlignment="1" applyProtection="1">
      <alignment horizontal="center"/>
      <protection hidden="1"/>
    </xf>
    <xf numFmtId="166" fontId="3" fillId="2" borderId="0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16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166" fontId="3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166" fontId="6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5" fontId="6" fillId="2" borderId="0" xfId="0" applyNumberFormat="1" applyFont="1" applyFill="1" applyBorder="1" applyAlignment="1" applyProtection="1">
      <alignment horizontal="right"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15" fillId="2" borderId="0" xfId="0" applyNumberFormat="1" applyFont="1" applyFill="1" applyAlignment="1" applyProtection="1">
      <alignment horizontal="center"/>
      <protection hidden="1"/>
    </xf>
    <xf numFmtId="166" fontId="1" fillId="2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2" xfId="0" applyFont="1" applyFill="1" applyBorder="1" applyAlignment="1" applyProtection="1">
      <alignment/>
      <protection hidden="1"/>
    </xf>
    <xf numFmtId="166" fontId="6" fillId="2" borderId="0" xfId="0" applyNumberFormat="1" applyFont="1" applyFill="1" applyBorder="1" applyAlignment="1" applyProtection="1">
      <alignment horizontal="left"/>
      <protection hidden="1"/>
    </xf>
    <xf numFmtId="166" fontId="8" fillId="2" borderId="0" xfId="0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>
      <alignment horizontal="centerContinuous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165" fontId="6" fillId="2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166" fontId="6" fillId="2" borderId="0" xfId="0" applyNumberFormat="1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66" fontId="3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6" fontId="6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165" fontId="3" fillId="2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/>
      <protection locked="0"/>
    </xf>
    <xf numFmtId="166" fontId="3" fillId="2" borderId="0" xfId="0" applyNumberFormat="1" applyFont="1" applyFill="1" applyBorder="1" applyAlignment="1" applyProtection="1">
      <alignment horizontal="right"/>
      <protection hidden="1"/>
    </xf>
    <xf numFmtId="2" fontId="6" fillId="2" borderId="0" xfId="0" applyNumberFormat="1" applyFont="1" applyFill="1" applyBorder="1" applyAlignment="1" applyProtection="1">
      <alignment horizontal="right"/>
      <protection hidden="1"/>
    </xf>
    <xf numFmtId="14" fontId="6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Continuous"/>
      <protection hidden="1"/>
    </xf>
    <xf numFmtId="0" fontId="7" fillId="2" borderId="0" xfId="0" applyFont="1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Border="1" applyAlignment="1" applyProtection="1" quotePrefix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left"/>
      <protection hidden="1"/>
    </xf>
    <xf numFmtId="13" fontId="3" fillId="2" borderId="0" xfId="0" applyNumberFormat="1" applyFont="1" applyFill="1" applyAlignment="1" applyProtection="1">
      <alignment horizontal="center"/>
      <protection hidden="1"/>
    </xf>
    <xf numFmtId="0" fontId="6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/>
    </xf>
    <xf numFmtId="1" fontId="17" fillId="2" borderId="0" xfId="0" applyNumberFormat="1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 quotePrefix="1">
      <alignment horizontal="center"/>
      <protection hidden="1"/>
    </xf>
    <xf numFmtId="18" fontId="6" fillId="2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/>
      <protection hidden="1"/>
    </xf>
    <xf numFmtId="14" fontId="6" fillId="2" borderId="0" xfId="0" applyNumberFormat="1" applyFont="1" applyFill="1" applyBorder="1" applyAlignment="1" applyProtection="1">
      <alignment/>
      <protection hidden="1"/>
    </xf>
    <xf numFmtId="166" fontId="16" fillId="2" borderId="0" xfId="0" applyNumberFormat="1" applyFont="1" applyFill="1" applyBorder="1" applyAlignment="1" applyProtection="1">
      <alignment/>
      <protection hidden="1"/>
    </xf>
    <xf numFmtId="18" fontId="6" fillId="2" borderId="0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5" fontId="6" fillId="2" borderId="0" xfId="0" applyNumberFormat="1" applyFont="1" applyFill="1" applyBorder="1" applyAlignment="1" applyProtection="1">
      <alignment/>
      <protection hidden="1"/>
    </xf>
    <xf numFmtId="165" fontId="6" fillId="2" borderId="0" xfId="0" applyNumberFormat="1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/>
      <protection hidden="1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hidden="1"/>
    </xf>
    <xf numFmtId="2" fontId="3" fillId="2" borderId="7" xfId="0" applyNumberFormat="1" applyFont="1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166" fontId="3" fillId="2" borderId="6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centerContinuous"/>
      <protection hidden="1"/>
    </xf>
    <xf numFmtId="0" fontId="3" fillId="2" borderId="9" xfId="0" applyFont="1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Continuous"/>
      <protection hidden="1"/>
    </xf>
    <xf numFmtId="0" fontId="3" fillId="2" borderId="12" xfId="0" applyFont="1" applyFill="1" applyBorder="1" applyAlignment="1" applyProtection="1">
      <alignment horizontal="centerContinuous"/>
      <protection hidden="1"/>
    </xf>
    <xf numFmtId="0" fontId="17" fillId="2" borderId="4" xfId="0" applyFont="1" applyFill="1" applyBorder="1" applyAlignment="1">
      <alignment horizontal="center"/>
    </xf>
    <xf numFmtId="0" fontId="17" fillId="2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 quotePrefix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17" fillId="2" borderId="2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locked="0"/>
    </xf>
    <xf numFmtId="18" fontId="3" fillId="2" borderId="2" xfId="0" applyNumberFormat="1" applyFont="1" applyFill="1" applyBorder="1" applyAlignment="1" applyProtection="1">
      <alignment/>
      <protection locked="0"/>
    </xf>
    <xf numFmtId="14" fontId="3" fillId="2" borderId="13" xfId="0" applyNumberFormat="1" applyFont="1" applyFill="1" applyBorder="1" applyAlignment="1" applyProtection="1">
      <alignment/>
      <protection locked="0"/>
    </xf>
    <xf numFmtId="0" fontId="27" fillId="2" borderId="0" xfId="0" applyFont="1" applyFill="1" applyAlignment="1">
      <alignment horizontal="centerContinuous"/>
    </xf>
    <xf numFmtId="0" fontId="28" fillId="2" borderId="0" xfId="0" applyFont="1" applyFill="1" applyAlignment="1">
      <alignment horizontal="centerContinuous"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  <xf numFmtId="0" fontId="29" fillId="2" borderId="0" xfId="0" applyFont="1" applyFill="1" applyAlignment="1">
      <alignment/>
    </xf>
    <xf numFmtId="0" fontId="30" fillId="2" borderId="14" xfId="0" applyFont="1" applyFill="1" applyBorder="1" applyAlignment="1">
      <alignment horizontal="centerContinuous"/>
    </xf>
    <xf numFmtId="0" fontId="31" fillId="2" borderId="15" xfId="0" applyFont="1" applyFill="1" applyBorder="1" applyAlignment="1">
      <alignment horizontal="centerContinuous"/>
    </xf>
    <xf numFmtId="0" fontId="31" fillId="2" borderId="16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28" fillId="0" borderId="5" xfId="0" applyFont="1" applyFill="1" applyBorder="1" applyAlignment="1">
      <alignment horizontal="centerContinuous"/>
    </xf>
    <xf numFmtId="0" fontId="28" fillId="0" borderId="9" xfId="0" applyFont="1" applyFill="1" applyBorder="1" applyAlignment="1">
      <alignment horizontal="centerContinuous"/>
    </xf>
    <xf numFmtId="0" fontId="28" fillId="0" borderId="13" xfId="0" applyFont="1" applyFill="1" applyBorder="1" applyAlignment="1">
      <alignment horizontal="centerContinuous"/>
    </xf>
    <xf numFmtId="0" fontId="28" fillId="0" borderId="11" xfId="0" applyFont="1" applyFill="1" applyBorder="1" applyAlignment="1">
      <alignment horizontal="centerContinuous"/>
    </xf>
    <xf numFmtId="0" fontId="28" fillId="0" borderId="12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 horizontal="centerContinuous"/>
    </xf>
    <xf numFmtId="0" fontId="28" fillId="2" borderId="0" xfId="0" applyFont="1" applyFill="1" applyBorder="1" applyAlignment="1">
      <alignment horizontal="centerContinuous"/>
    </xf>
    <xf numFmtId="0" fontId="28" fillId="2" borderId="0" xfId="0" applyFont="1" applyFill="1" applyBorder="1" applyAlignment="1">
      <alignment/>
    </xf>
    <xf numFmtId="0" fontId="32" fillId="2" borderId="0" xfId="0" applyFont="1" applyFill="1" applyAlignment="1">
      <alignment/>
    </xf>
    <xf numFmtId="165" fontId="6" fillId="2" borderId="3" xfId="0" applyNumberFormat="1" applyFont="1" applyFill="1" applyBorder="1" applyAlignment="1" applyProtection="1">
      <alignment horizontal="right"/>
      <protection hidden="1"/>
    </xf>
    <xf numFmtId="2" fontId="3" fillId="2" borderId="0" xfId="0" applyNumberFormat="1" applyFont="1" applyFill="1" applyAlignment="1" applyProtection="1">
      <alignment/>
      <protection hidden="1"/>
    </xf>
    <xf numFmtId="166" fontId="17" fillId="2" borderId="0" xfId="0" applyNumberFormat="1" applyFont="1" applyFill="1" applyBorder="1" applyAlignment="1" applyProtection="1">
      <alignment horizontal="right" vertical="top"/>
      <protection hidden="1"/>
    </xf>
    <xf numFmtId="0" fontId="8" fillId="2" borderId="0" xfId="0" applyFont="1" applyFill="1" applyAlignment="1" applyProtection="1">
      <alignment horizontal="left"/>
      <protection hidden="1"/>
    </xf>
    <xf numFmtId="166" fontId="3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/>
      <protection hidden="1"/>
    </xf>
    <xf numFmtId="166" fontId="3" fillId="2" borderId="8" xfId="0" applyNumberFormat="1" applyFont="1" applyFill="1" applyBorder="1" applyAlignment="1" applyProtection="1">
      <alignment horizontal="center"/>
      <protection hidden="1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166" fontId="3" fillId="2" borderId="7" xfId="0" applyNumberFormat="1" applyFont="1" applyFill="1" applyBorder="1" applyAlignment="1" applyProtection="1">
      <alignment horizontal="center"/>
      <protection hidden="1"/>
    </xf>
    <xf numFmtId="166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166" fontId="6" fillId="2" borderId="0" xfId="0" applyNumberFormat="1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166" fontId="4" fillId="2" borderId="4" xfId="0" applyNumberFormat="1" applyFont="1" applyFill="1" applyBorder="1" applyAlignment="1" applyProtection="1">
      <alignment horizontal="center"/>
      <protection hidden="1"/>
    </xf>
    <xf numFmtId="0" fontId="17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26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Continuous"/>
      <protection hidden="1"/>
    </xf>
    <xf numFmtId="0" fontId="3" fillId="2" borderId="13" xfId="0" applyFont="1" applyFill="1" applyBorder="1" applyAlignment="1" applyProtection="1">
      <alignment horizontal="centerContinuous"/>
      <protection hidden="1"/>
    </xf>
    <xf numFmtId="0" fontId="3" fillId="2" borderId="17" xfId="0" applyFont="1" applyFill="1" applyBorder="1" applyAlignment="1" applyProtection="1">
      <alignment horizontal="centerContinuous"/>
      <protection hidden="1"/>
    </xf>
    <xf numFmtId="166" fontId="3" fillId="2" borderId="6" xfId="0" applyNumberFormat="1" applyFont="1" applyFill="1" applyBorder="1" applyAlignment="1" applyProtection="1">
      <alignment horizontal="center"/>
      <protection hidden="1"/>
    </xf>
    <xf numFmtId="166" fontId="3" fillId="2" borderId="8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166" fontId="6" fillId="2" borderId="0" xfId="0" applyNumberFormat="1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/>
      <protection locked="0"/>
    </xf>
    <xf numFmtId="166" fontId="4" fillId="2" borderId="7" xfId="0" applyNumberFormat="1" applyFont="1" applyFill="1" applyBorder="1" applyAlignment="1" applyProtection="1">
      <alignment horizontal="center"/>
      <protection hidden="1"/>
    </xf>
    <xf numFmtId="166" fontId="4" fillId="2" borderId="8" xfId="0" applyNumberFormat="1" applyFont="1" applyFill="1" applyBorder="1" applyAlignment="1" applyProtection="1">
      <alignment horizontal="center"/>
      <protection hidden="1"/>
    </xf>
    <xf numFmtId="166" fontId="3" fillId="2" borderId="18" xfId="0" applyNumberFormat="1" applyFont="1" applyFill="1" applyBorder="1" applyAlignment="1" applyProtection="1">
      <alignment horizontal="center"/>
      <protection hidden="1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6" fontId="17" fillId="2" borderId="0" xfId="0" applyNumberFormat="1" applyFont="1" applyFill="1" applyBorder="1" applyAlignment="1" applyProtection="1">
      <alignment horizontal="right"/>
      <protection hidden="1"/>
    </xf>
    <xf numFmtId="0" fontId="22" fillId="2" borderId="5" xfId="0" applyFont="1" applyFill="1" applyBorder="1" applyAlignment="1" applyProtection="1">
      <alignment horizontal="centerContinuous"/>
      <protection hidden="1"/>
    </xf>
    <xf numFmtId="0" fontId="6" fillId="2" borderId="9" xfId="0" applyFont="1" applyFill="1" applyBorder="1" applyAlignment="1" applyProtection="1">
      <alignment horizontal="centerContinuous"/>
      <protection hidden="1"/>
    </xf>
    <xf numFmtId="0" fontId="7" fillId="2" borderId="9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7" fillId="2" borderId="2" xfId="0" applyFont="1" applyFill="1" applyBorder="1" applyAlignment="1" applyProtection="1">
      <alignment horizontal="centerContinuous"/>
      <protection hidden="1"/>
    </xf>
    <xf numFmtId="0" fontId="2" fillId="2" borderId="12" xfId="0" applyFont="1" applyFill="1" applyBorder="1" applyAlignment="1" applyProtection="1">
      <alignment horizontal="centerContinuous"/>
      <protection hidden="1"/>
    </xf>
    <xf numFmtId="0" fontId="7" fillId="2" borderId="17" xfId="0" applyFont="1" applyFill="1" applyBorder="1" applyAlignment="1" applyProtection="1">
      <alignment horizontal="centerContinuous"/>
      <protection hidden="1"/>
    </xf>
    <xf numFmtId="0" fontId="33" fillId="2" borderId="3" xfId="0" applyFont="1" applyFill="1" applyBorder="1" applyAlignment="1" applyProtection="1">
      <alignment horizontal="centerContinuous"/>
      <protection hidden="1"/>
    </xf>
    <xf numFmtId="0" fontId="33" fillId="2" borderId="11" xfId="0" applyFont="1" applyFill="1" applyBorder="1" applyAlignment="1" applyProtection="1">
      <alignment horizontal="centerContinuous"/>
      <protection hidden="1"/>
    </xf>
    <xf numFmtId="0" fontId="34" fillId="2" borderId="2" xfId="0" applyFont="1" applyFill="1" applyBorder="1" applyAlignment="1" applyProtection="1">
      <alignment horizontal="right"/>
      <protection hidden="1"/>
    </xf>
    <xf numFmtId="0" fontId="34" fillId="2" borderId="0" xfId="0" applyFont="1" applyFill="1" applyAlignment="1" applyProtection="1">
      <alignment/>
      <protection hidden="1"/>
    </xf>
    <xf numFmtId="0" fontId="34" fillId="2" borderId="0" xfId="0" applyFont="1" applyFill="1" applyBorder="1" applyAlignment="1" applyProtection="1">
      <alignment horizontal="left"/>
      <protection hidden="1"/>
    </xf>
    <xf numFmtId="0" fontId="34" fillId="2" borderId="0" xfId="0" applyFont="1" applyFill="1" applyBorder="1" applyAlignment="1" applyProtection="1">
      <alignment/>
      <protection hidden="1"/>
    </xf>
    <xf numFmtId="166" fontId="34" fillId="2" borderId="0" xfId="0" applyNumberFormat="1" applyFont="1" applyFill="1" applyAlignment="1" applyProtection="1">
      <alignment horizontal="left"/>
      <protection hidden="1"/>
    </xf>
    <xf numFmtId="49" fontId="3" fillId="3" borderId="12" xfId="0" applyNumberFormat="1" applyFont="1" applyFill="1" applyBorder="1" applyAlignment="1" applyProtection="1">
      <alignment/>
      <protection locked="0"/>
    </xf>
    <xf numFmtId="49" fontId="3" fillId="3" borderId="12" xfId="0" applyNumberFormat="1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/>
      <protection locked="0"/>
    </xf>
    <xf numFmtId="0" fontId="6" fillId="3" borderId="17" xfId="0" applyFont="1" applyFill="1" applyBorder="1" applyAlignment="1" applyProtection="1">
      <alignment horizontal="centerContinuous"/>
      <protection locked="0"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hidden="1"/>
    </xf>
    <xf numFmtId="166" fontId="17" fillId="2" borderId="2" xfId="0" applyNumberFormat="1" applyFont="1" applyFill="1" applyBorder="1" applyAlignment="1" applyProtection="1">
      <alignment/>
      <protection hidden="1"/>
    </xf>
    <xf numFmtId="0" fontId="17" fillId="2" borderId="2" xfId="0" applyFont="1" applyFill="1" applyBorder="1" applyAlignment="1" applyProtection="1">
      <alignment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17" fillId="0" borderId="19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65" fontId="17" fillId="0" borderId="0" xfId="0" applyNumberFormat="1" applyFont="1" applyFill="1" applyAlignment="1">
      <alignment horizontal="center"/>
    </xf>
    <xf numFmtId="2" fontId="17" fillId="0" borderId="2" xfId="0" applyNumberFormat="1" applyFont="1" applyFill="1" applyBorder="1" applyAlignment="1" applyProtection="1">
      <alignment horizontal="center"/>
      <protection locked="0"/>
    </xf>
    <xf numFmtId="166" fontId="17" fillId="0" borderId="2" xfId="0" applyNumberFormat="1" applyFont="1" applyFill="1" applyBorder="1" applyAlignment="1" applyProtection="1">
      <alignment horizontal="center"/>
      <protection locked="0"/>
    </xf>
    <xf numFmtId="166" fontId="17" fillId="0" borderId="2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166" fontId="17" fillId="0" borderId="9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9" xfId="0" applyNumberFormat="1" applyFont="1" applyFill="1" applyBorder="1" applyAlignment="1">
      <alignment horizontal="center"/>
    </xf>
    <xf numFmtId="166" fontId="17" fillId="0" borderId="13" xfId="0" applyNumberFormat="1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/>
      <protection hidden="1"/>
    </xf>
    <xf numFmtId="2" fontId="3" fillId="2" borderId="20" xfId="0" applyNumberFormat="1" applyFont="1" applyFill="1" applyBorder="1" applyAlignment="1" applyProtection="1">
      <alignment horizontal="center"/>
      <protection hidden="1"/>
    </xf>
    <xf numFmtId="2" fontId="3" fillId="2" borderId="4" xfId="0" applyNumberFormat="1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/>
      <protection/>
    </xf>
    <xf numFmtId="0" fontId="36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5" fillId="2" borderId="17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9</xdr:row>
      <xdr:rowOff>123825</xdr:rowOff>
    </xdr:from>
    <xdr:to>
      <xdr:col>7</xdr:col>
      <xdr:colOff>581025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3876675" y="1619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10</xdr:row>
      <xdr:rowOff>9525</xdr:rowOff>
    </xdr:from>
    <xdr:to>
      <xdr:col>7</xdr:col>
      <xdr:colOff>581025</xdr:colOff>
      <xdr:row>10</xdr:row>
      <xdr:rowOff>9525</xdr:rowOff>
    </xdr:to>
    <xdr:sp>
      <xdr:nvSpPr>
        <xdr:cNvPr id="2" name="Line 3"/>
        <xdr:cNvSpPr>
          <a:spLocks/>
        </xdr:cNvSpPr>
      </xdr:nvSpPr>
      <xdr:spPr>
        <a:xfrm>
          <a:off x="3876675" y="1666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0</xdr:rowOff>
    </xdr:from>
    <xdr:to>
      <xdr:col>7</xdr:col>
      <xdr:colOff>581025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876675" y="2143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47625</xdr:rowOff>
    </xdr:from>
    <xdr:to>
      <xdr:col>7</xdr:col>
      <xdr:colOff>581025</xdr:colOff>
      <xdr:row>13</xdr:row>
      <xdr:rowOff>47625</xdr:rowOff>
    </xdr:to>
    <xdr:sp>
      <xdr:nvSpPr>
        <xdr:cNvPr id="4" name="Line 5"/>
        <xdr:cNvSpPr>
          <a:spLocks/>
        </xdr:cNvSpPr>
      </xdr:nvSpPr>
      <xdr:spPr>
        <a:xfrm>
          <a:off x="3876675" y="21907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123825</xdr:rowOff>
    </xdr:from>
    <xdr:to>
      <xdr:col>5</xdr:col>
      <xdr:colOff>371475</xdr:colOff>
      <xdr:row>13</xdr:row>
      <xdr:rowOff>47625</xdr:rowOff>
    </xdr:to>
    <xdr:sp>
      <xdr:nvSpPr>
        <xdr:cNvPr id="5" name="Line 6"/>
        <xdr:cNvSpPr>
          <a:spLocks/>
        </xdr:cNvSpPr>
      </xdr:nvSpPr>
      <xdr:spPr>
        <a:xfrm>
          <a:off x="3876675" y="16192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95250</xdr:rowOff>
    </xdr:from>
    <xdr:to>
      <xdr:col>6</xdr:col>
      <xdr:colOff>209550</xdr:colOff>
      <xdr:row>12</xdr:row>
      <xdr:rowOff>95250</xdr:rowOff>
    </xdr:to>
    <xdr:sp>
      <xdr:nvSpPr>
        <xdr:cNvPr id="6" name="Line 7"/>
        <xdr:cNvSpPr>
          <a:spLocks/>
        </xdr:cNvSpPr>
      </xdr:nvSpPr>
      <xdr:spPr>
        <a:xfrm>
          <a:off x="3876675" y="20764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6</xdr:col>
      <xdr:colOff>209550</xdr:colOff>
      <xdr:row>12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3243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95250</xdr:rowOff>
    </xdr:from>
    <xdr:to>
      <xdr:col>6</xdr:col>
      <xdr:colOff>200025</xdr:colOff>
      <xdr:row>13</xdr:row>
      <xdr:rowOff>47625</xdr:rowOff>
    </xdr:to>
    <xdr:sp>
      <xdr:nvSpPr>
        <xdr:cNvPr id="8" name="Line 9"/>
        <xdr:cNvSpPr>
          <a:spLocks/>
        </xdr:cNvSpPr>
      </xdr:nvSpPr>
      <xdr:spPr>
        <a:xfrm flipH="1">
          <a:off x="4200525" y="207645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>
          <a:off x="3876675" y="2790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76200</xdr:rowOff>
    </xdr:from>
    <xdr:to>
      <xdr:col>6</xdr:col>
      <xdr:colOff>209550</xdr:colOff>
      <xdr:row>12</xdr:row>
      <xdr:rowOff>66675</xdr:rowOff>
    </xdr:to>
    <xdr:sp>
      <xdr:nvSpPr>
        <xdr:cNvPr id="10" name="Line 11"/>
        <xdr:cNvSpPr>
          <a:spLocks/>
        </xdr:cNvSpPr>
      </xdr:nvSpPr>
      <xdr:spPr>
        <a:xfrm flipV="1">
          <a:off x="4324350" y="1895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0</xdr:rowOff>
    </xdr:from>
    <xdr:to>
      <xdr:col>6</xdr:col>
      <xdr:colOff>209550</xdr:colOff>
      <xdr:row>12</xdr:row>
      <xdr:rowOff>0</xdr:rowOff>
    </xdr:to>
    <xdr:sp>
      <xdr:nvSpPr>
        <xdr:cNvPr id="11" name="Line 12"/>
        <xdr:cNvSpPr>
          <a:spLocks/>
        </xdr:cNvSpPr>
      </xdr:nvSpPr>
      <xdr:spPr>
        <a:xfrm>
          <a:off x="3876675" y="1981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66675</xdr:rowOff>
    </xdr:from>
    <xdr:to>
      <xdr:col>7</xdr:col>
      <xdr:colOff>581025</xdr:colOff>
      <xdr:row>11</xdr:row>
      <xdr:rowOff>9525</xdr:rowOff>
    </xdr:to>
    <xdr:sp>
      <xdr:nvSpPr>
        <xdr:cNvPr id="12" name="Line 13"/>
        <xdr:cNvSpPr>
          <a:spLocks/>
        </xdr:cNvSpPr>
      </xdr:nvSpPr>
      <xdr:spPr>
        <a:xfrm>
          <a:off x="5305425" y="1562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12</xdr:row>
      <xdr:rowOff>9525</xdr:rowOff>
    </xdr:from>
    <xdr:to>
      <xdr:col>7</xdr:col>
      <xdr:colOff>581025</xdr:colOff>
      <xdr:row>13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305425" y="1990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95250</xdr:rowOff>
    </xdr:from>
    <xdr:to>
      <xdr:col>6</xdr:col>
      <xdr:colOff>390525</xdr:colOff>
      <xdr:row>12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4343400" y="2076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47625</xdr:rowOff>
    </xdr:from>
    <xdr:to>
      <xdr:col>6</xdr:col>
      <xdr:colOff>342900</xdr:colOff>
      <xdr:row>14</xdr:row>
      <xdr:rowOff>9525</xdr:rowOff>
    </xdr:to>
    <xdr:sp>
      <xdr:nvSpPr>
        <xdr:cNvPr id="15" name="Line 16"/>
        <xdr:cNvSpPr>
          <a:spLocks/>
        </xdr:cNvSpPr>
      </xdr:nvSpPr>
      <xdr:spPr>
        <a:xfrm flipV="1">
          <a:off x="4457700" y="2190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133350</xdr:rowOff>
    </xdr:from>
    <xdr:to>
      <xdr:col>6</xdr:col>
      <xdr:colOff>342900</xdr:colOff>
      <xdr:row>12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4457700" y="1952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95250</xdr:rowOff>
    </xdr:from>
    <xdr:to>
      <xdr:col>6</xdr:col>
      <xdr:colOff>342900</xdr:colOff>
      <xdr:row>13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4457700" y="2076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11</xdr:row>
      <xdr:rowOff>9525</xdr:rowOff>
    </xdr:from>
    <xdr:to>
      <xdr:col>7</xdr:col>
      <xdr:colOff>581025</xdr:colOff>
      <xdr:row>11</xdr:row>
      <xdr:rowOff>57150</xdr:rowOff>
    </xdr:to>
    <xdr:sp>
      <xdr:nvSpPr>
        <xdr:cNvPr id="18" name="Line 19"/>
        <xdr:cNvSpPr>
          <a:spLocks/>
        </xdr:cNvSpPr>
      </xdr:nvSpPr>
      <xdr:spPr>
        <a:xfrm flipH="1">
          <a:off x="5257800" y="18288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11</xdr:row>
      <xdr:rowOff>123825</xdr:rowOff>
    </xdr:from>
    <xdr:to>
      <xdr:col>8</xdr:col>
      <xdr:colOff>19050</xdr:colOff>
      <xdr:row>12</xdr:row>
      <xdr:rowOff>9525</xdr:rowOff>
    </xdr:to>
    <xdr:sp>
      <xdr:nvSpPr>
        <xdr:cNvPr id="19" name="Line 20"/>
        <xdr:cNvSpPr>
          <a:spLocks/>
        </xdr:cNvSpPr>
      </xdr:nvSpPr>
      <xdr:spPr>
        <a:xfrm flipV="1">
          <a:off x="5305425" y="19431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11</xdr:row>
      <xdr:rowOff>57150</xdr:rowOff>
    </xdr:from>
    <xdr:to>
      <xdr:col>8</xdr:col>
      <xdr:colOff>19050</xdr:colOff>
      <xdr:row>11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5257800" y="18764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123825</xdr:rowOff>
    </xdr:from>
    <xdr:to>
      <xdr:col>8</xdr:col>
      <xdr:colOff>228600</xdr:colOff>
      <xdr:row>9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5334000" y="1619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47625</xdr:rowOff>
    </xdr:from>
    <xdr:to>
      <xdr:col>8</xdr:col>
      <xdr:colOff>228600</xdr:colOff>
      <xdr:row>13</xdr:row>
      <xdr:rowOff>47625</xdr:rowOff>
    </xdr:to>
    <xdr:sp>
      <xdr:nvSpPr>
        <xdr:cNvPr id="22" name="Line 23"/>
        <xdr:cNvSpPr>
          <a:spLocks/>
        </xdr:cNvSpPr>
      </xdr:nvSpPr>
      <xdr:spPr>
        <a:xfrm>
          <a:off x="5334000" y="2190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123825</xdr:rowOff>
    </xdr:from>
    <xdr:to>
      <xdr:col>8</xdr:col>
      <xdr:colOff>133350</xdr:colOff>
      <xdr:row>13</xdr:row>
      <xdr:rowOff>47625</xdr:rowOff>
    </xdr:to>
    <xdr:sp>
      <xdr:nvSpPr>
        <xdr:cNvPr id="23" name="Line 24"/>
        <xdr:cNvSpPr>
          <a:spLocks/>
        </xdr:cNvSpPr>
      </xdr:nvSpPr>
      <xdr:spPr>
        <a:xfrm>
          <a:off x="5467350" y="16192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38100</xdr:rowOff>
    </xdr:from>
    <xdr:to>
      <xdr:col>7</xdr:col>
      <xdr:colOff>342900</xdr:colOff>
      <xdr:row>13</xdr:row>
      <xdr:rowOff>0</xdr:rowOff>
    </xdr:to>
    <xdr:sp>
      <xdr:nvSpPr>
        <xdr:cNvPr id="24" name="Line 25"/>
        <xdr:cNvSpPr>
          <a:spLocks/>
        </xdr:cNvSpPr>
      </xdr:nvSpPr>
      <xdr:spPr>
        <a:xfrm>
          <a:off x="5067300" y="2019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13</xdr:row>
      <xdr:rowOff>47625</xdr:rowOff>
    </xdr:from>
    <xdr:to>
      <xdr:col>7</xdr:col>
      <xdr:colOff>342900</xdr:colOff>
      <xdr:row>14</xdr:row>
      <xdr:rowOff>104775</xdr:rowOff>
    </xdr:to>
    <xdr:sp>
      <xdr:nvSpPr>
        <xdr:cNvPr id="25" name="Line 26"/>
        <xdr:cNvSpPr>
          <a:spLocks/>
        </xdr:cNvSpPr>
      </xdr:nvSpPr>
      <xdr:spPr>
        <a:xfrm flipV="1">
          <a:off x="5067300" y="2190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13</xdr:row>
      <xdr:rowOff>0</xdr:rowOff>
    </xdr:from>
    <xdr:to>
      <xdr:col>7</xdr:col>
      <xdr:colOff>342900</xdr:colOff>
      <xdr:row>13</xdr:row>
      <xdr:rowOff>47625</xdr:rowOff>
    </xdr:to>
    <xdr:sp>
      <xdr:nvSpPr>
        <xdr:cNvPr id="26" name="Line 27"/>
        <xdr:cNvSpPr>
          <a:spLocks/>
        </xdr:cNvSpPr>
      </xdr:nvSpPr>
      <xdr:spPr>
        <a:xfrm flipV="1">
          <a:off x="5067300" y="21431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47625</xdr:rowOff>
    </xdr:from>
    <xdr:to>
      <xdr:col>6</xdr:col>
      <xdr:colOff>85725</xdr:colOff>
      <xdr:row>13</xdr:row>
      <xdr:rowOff>114300</xdr:rowOff>
    </xdr:to>
    <xdr:sp>
      <xdr:nvSpPr>
        <xdr:cNvPr id="27" name="Rectangle 29"/>
        <xdr:cNvSpPr>
          <a:spLocks/>
        </xdr:cNvSpPr>
      </xdr:nvSpPr>
      <xdr:spPr>
        <a:xfrm>
          <a:off x="3876675" y="2190750"/>
          <a:ext cx="323850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142875</xdr:rowOff>
    </xdr:from>
    <xdr:to>
      <xdr:col>7</xdr:col>
      <xdr:colOff>571500</xdr:colOff>
      <xdr:row>19</xdr:row>
      <xdr:rowOff>28575</xdr:rowOff>
    </xdr:to>
    <xdr:sp>
      <xdr:nvSpPr>
        <xdr:cNvPr id="28" name="Rectangle 30"/>
        <xdr:cNvSpPr>
          <a:spLocks/>
        </xdr:cNvSpPr>
      </xdr:nvSpPr>
      <xdr:spPr>
        <a:xfrm>
          <a:off x="4752975" y="3095625"/>
          <a:ext cx="542925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19050</xdr:rowOff>
    </xdr:from>
    <xdr:to>
      <xdr:col>7</xdr:col>
      <xdr:colOff>571500</xdr:colOff>
      <xdr:row>22</xdr:row>
      <xdr:rowOff>66675</xdr:rowOff>
    </xdr:to>
    <xdr:sp>
      <xdr:nvSpPr>
        <xdr:cNvPr id="29" name="Rectangle 31"/>
        <xdr:cNvSpPr>
          <a:spLocks/>
        </xdr:cNvSpPr>
      </xdr:nvSpPr>
      <xdr:spPr>
        <a:xfrm>
          <a:off x="4752975" y="3619500"/>
          <a:ext cx="542925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28575</xdr:rowOff>
    </xdr:from>
    <xdr:to>
      <xdr:col>7</xdr:col>
      <xdr:colOff>314325</xdr:colOff>
      <xdr:row>22</xdr:row>
      <xdr:rowOff>28575</xdr:rowOff>
    </xdr:to>
    <xdr:sp>
      <xdr:nvSpPr>
        <xdr:cNvPr id="30" name="Rectangle 32"/>
        <xdr:cNvSpPr>
          <a:spLocks/>
        </xdr:cNvSpPr>
      </xdr:nvSpPr>
      <xdr:spPr>
        <a:xfrm>
          <a:off x="5010150" y="3143250"/>
          <a:ext cx="28575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22</xdr:row>
      <xdr:rowOff>66675</xdr:rowOff>
    </xdr:from>
    <xdr:to>
      <xdr:col>8</xdr:col>
      <xdr:colOff>66675</xdr:colOff>
      <xdr:row>22</xdr:row>
      <xdr:rowOff>133350</xdr:rowOff>
    </xdr:to>
    <xdr:sp>
      <xdr:nvSpPr>
        <xdr:cNvPr id="31" name="Rectangle 33"/>
        <xdr:cNvSpPr>
          <a:spLocks/>
        </xdr:cNvSpPr>
      </xdr:nvSpPr>
      <xdr:spPr>
        <a:xfrm>
          <a:off x="4648200" y="3667125"/>
          <a:ext cx="752475" cy="66675"/>
        </a:xfrm>
        <a:prstGeom prst="rect">
          <a:avLst/>
        </a:prstGeom>
        <a:solidFill>
          <a:srgbClr val="C0C0C0">
            <a:alpha val="9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21</xdr:row>
      <xdr:rowOff>142875</xdr:rowOff>
    </xdr:from>
    <xdr:to>
      <xdr:col>7</xdr:col>
      <xdr:colOff>342900</xdr:colOff>
      <xdr:row>22</xdr:row>
      <xdr:rowOff>19050</xdr:rowOff>
    </xdr:to>
    <xdr:sp>
      <xdr:nvSpPr>
        <xdr:cNvPr id="32" name="AutoShape 34"/>
        <xdr:cNvSpPr>
          <a:spLocks/>
        </xdr:cNvSpPr>
      </xdr:nvSpPr>
      <xdr:spPr>
        <a:xfrm>
          <a:off x="5029200" y="3581400"/>
          <a:ext cx="38100" cy="3810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19</xdr:row>
      <xdr:rowOff>28575</xdr:rowOff>
    </xdr:from>
    <xdr:to>
      <xdr:col>7</xdr:col>
      <xdr:colOff>295275</xdr:colOff>
      <xdr:row>19</xdr:row>
      <xdr:rowOff>66675</xdr:rowOff>
    </xdr:to>
    <xdr:sp>
      <xdr:nvSpPr>
        <xdr:cNvPr id="33" name="AutoShape 35"/>
        <xdr:cNvSpPr>
          <a:spLocks/>
        </xdr:cNvSpPr>
      </xdr:nvSpPr>
      <xdr:spPr>
        <a:xfrm rot="10800000">
          <a:off x="4981575" y="3143250"/>
          <a:ext cx="38100" cy="3810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28575</xdr:rowOff>
    </xdr:from>
    <xdr:to>
      <xdr:col>7</xdr:col>
      <xdr:colOff>342900</xdr:colOff>
      <xdr:row>19</xdr:row>
      <xdr:rowOff>66675</xdr:rowOff>
    </xdr:to>
    <xdr:sp>
      <xdr:nvSpPr>
        <xdr:cNvPr id="34" name="AutoShape 36"/>
        <xdr:cNvSpPr>
          <a:spLocks/>
        </xdr:cNvSpPr>
      </xdr:nvSpPr>
      <xdr:spPr>
        <a:xfrm rot="5400000">
          <a:off x="5029200" y="3143250"/>
          <a:ext cx="38100" cy="3810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142875</xdr:rowOff>
    </xdr:from>
    <xdr:to>
      <xdr:col>7</xdr:col>
      <xdr:colOff>295275</xdr:colOff>
      <xdr:row>22</xdr:row>
      <xdr:rowOff>19050</xdr:rowOff>
    </xdr:to>
    <xdr:sp>
      <xdr:nvSpPr>
        <xdr:cNvPr id="35" name="AutoShape 37"/>
        <xdr:cNvSpPr>
          <a:spLocks/>
        </xdr:cNvSpPr>
      </xdr:nvSpPr>
      <xdr:spPr>
        <a:xfrm rot="16200000">
          <a:off x="4981575" y="3581400"/>
          <a:ext cx="38100" cy="3810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24</xdr:row>
      <xdr:rowOff>123825</xdr:rowOff>
    </xdr:from>
    <xdr:to>
      <xdr:col>7</xdr:col>
      <xdr:colOff>219075</xdr:colOff>
      <xdr:row>24</xdr:row>
      <xdr:rowOff>123825</xdr:rowOff>
    </xdr:to>
    <xdr:sp>
      <xdr:nvSpPr>
        <xdr:cNvPr id="36" name="Line 38"/>
        <xdr:cNvSpPr>
          <a:spLocks/>
        </xdr:cNvSpPr>
      </xdr:nvSpPr>
      <xdr:spPr>
        <a:xfrm>
          <a:off x="4648200" y="4048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24</xdr:row>
      <xdr:rowOff>123825</xdr:rowOff>
    </xdr:from>
    <xdr:to>
      <xdr:col>7</xdr:col>
      <xdr:colOff>381000</xdr:colOff>
      <xdr:row>24</xdr:row>
      <xdr:rowOff>123825</xdr:rowOff>
    </xdr:to>
    <xdr:sp>
      <xdr:nvSpPr>
        <xdr:cNvPr id="37" name="Line 39"/>
        <xdr:cNvSpPr>
          <a:spLocks/>
        </xdr:cNvSpPr>
      </xdr:nvSpPr>
      <xdr:spPr>
        <a:xfrm>
          <a:off x="4943475" y="4048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24</xdr:row>
      <xdr:rowOff>123825</xdr:rowOff>
    </xdr:from>
    <xdr:to>
      <xdr:col>8</xdr:col>
      <xdr:colOff>66675</xdr:colOff>
      <xdr:row>24</xdr:row>
      <xdr:rowOff>123825</xdr:rowOff>
    </xdr:to>
    <xdr:sp>
      <xdr:nvSpPr>
        <xdr:cNvPr id="38" name="Line 40"/>
        <xdr:cNvSpPr>
          <a:spLocks/>
        </xdr:cNvSpPr>
      </xdr:nvSpPr>
      <xdr:spPr>
        <a:xfrm>
          <a:off x="5105400" y="4048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142875</xdr:rowOff>
    </xdr:from>
    <xdr:to>
      <xdr:col>7</xdr:col>
      <xdr:colOff>133350</xdr:colOff>
      <xdr:row>24</xdr:row>
      <xdr:rowOff>123825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4752975" y="39052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
n</a:t>
          </a:r>
        </a:p>
      </xdr:txBody>
    </xdr:sp>
    <xdr:clientData/>
  </xdr:twoCellAnchor>
  <xdr:twoCellAnchor>
    <xdr:from>
      <xdr:col>7</xdr:col>
      <xdr:colOff>466725</xdr:colOff>
      <xdr:row>23</xdr:row>
      <xdr:rowOff>142875</xdr:rowOff>
    </xdr:from>
    <xdr:to>
      <xdr:col>7</xdr:col>
      <xdr:colOff>571500</xdr:colOff>
      <xdr:row>24</xdr:row>
      <xdr:rowOff>123825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5191125" y="39052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
n</a:t>
          </a:r>
        </a:p>
      </xdr:txBody>
    </xdr:sp>
    <xdr:clientData/>
  </xdr:twoCellAnchor>
  <xdr:twoCellAnchor>
    <xdr:from>
      <xdr:col>7</xdr:col>
      <xdr:colOff>228600</xdr:colOff>
      <xdr:row>23</xdr:row>
      <xdr:rowOff>142875</xdr:rowOff>
    </xdr:from>
    <xdr:to>
      <xdr:col>7</xdr:col>
      <xdr:colOff>400050</xdr:colOff>
      <xdr:row>24</xdr:row>
      <xdr:rowOff>114300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953000" y="390525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2k
n</a:t>
          </a:r>
        </a:p>
      </xdr:txBody>
    </xdr:sp>
    <xdr:clientData/>
  </xdr:twoCellAnchor>
  <xdr:twoCellAnchor>
    <xdr:from>
      <xdr:col>5</xdr:col>
      <xdr:colOff>238125</xdr:colOff>
      <xdr:row>13</xdr:row>
      <xdr:rowOff>114300</xdr:rowOff>
    </xdr:from>
    <xdr:to>
      <xdr:col>6</xdr:col>
      <xdr:colOff>238125</xdr:colOff>
      <xdr:row>13</xdr:row>
      <xdr:rowOff>114300</xdr:rowOff>
    </xdr:to>
    <xdr:sp>
      <xdr:nvSpPr>
        <xdr:cNvPr id="42" name="Line 44"/>
        <xdr:cNvSpPr>
          <a:spLocks/>
        </xdr:cNvSpPr>
      </xdr:nvSpPr>
      <xdr:spPr>
        <a:xfrm>
          <a:off x="3743325" y="2257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133350</xdr:rowOff>
    </xdr:from>
    <xdr:to>
      <xdr:col>8</xdr:col>
      <xdr:colOff>171450</xdr:colOff>
      <xdr:row>22</xdr:row>
      <xdr:rowOff>133350</xdr:rowOff>
    </xdr:to>
    <xdr:sp>
      <xdr:nvSpPr>
        <xdr:cNvPr id="43" name="Line 45"/>
        <xdr:cNvSpPr>
          <a:spLocks/>
        </xdr:cNvSpPr>
      </xdr:nvSpPr>
      <xdr:spPr>
        <a:xfrm>
          <a:off x="4543425" y="3733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25</xdr:row>
      <xdr:rowOff>152400</xdr:rowOff>
    </xdr:from>
    <xdr:to>
      <xdr:col>8</xdr:col>
      <xdr:colOff>66675</xdr:colOff>
      <xdr:row>25</xdr:row>
      <xdr:rowOff>152400</xdr:rowOff>
    </xdr:to>
    <xdr:sp>
      <xdr:nvSpPr>
        <xdr:cNvPr id="44" name="Line 46"/>
        <xdr:cNvSpPr>
          <a:spLocks/>
        </xdr:cNvSpPr>
      </xdr:nvSpPr>
      <xdr:spPr>
        <a:xfrm>
          <a:off x="4648200" y="4238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21</xdr:row>
      <xdr:rowOff>142875</xdr:rowOff>
    </xdr:from>
    <xdr:to>
      <xdr:col>8</xdr:col>
      <xdr:colOff>257175</xdr:colOff>
      <xdr:row>21</xdr:row>
      <xdr:rowOff>142875</xdr:rowOff>
    </xdr:to>
    <xdr:sp>
      <xdr:nvSpPr>
        <xdr:cNvPr id="45" name="Line 49"/>
        <xdr:cNvSpPr>
          <a:spLocks/>
        </xdr:cNvSpPr>
      </xdr:nvSpPr>
      <xdr:spPr>
        <a:xfrm>
          <a:off x="5076825" y="3581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409575</xdr:colOff>
      <xdr:row>22</xdr:row>
      <xdr:rowOff>66675</xdr:rowOff>
    </xdr:to>
    <xdr:sp>
      <xdr:nvSpPr>
        <xdr:cNvPr id="46" name="Line 50"/>
        <xdr:cNvSpPr>
          <a:spLocks/>
        </xdr:cNvSpPr>
      </xdr:nvSpPr>
      <xdr:spPr>
        <a:xfrm>
          <a:off x="5429250" y="3667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133350</xdr:rowOff>
    </xdr:from>
    <xdr:to>
      <xdr:col>8</xdr:col>
      <xdr:colOff>419100</xdr:colOff>
      <xdr:row>22</xdr:row>
      <xdr:rowOff>133350</xdr:rowOff>
    </xdr:to>
    <xdr:sp>
      <xdr:nvSpPr>
        <xdr:cNvPr id="47" name="Line 51"/>
        <xdr:cNvSpPr>
          <a:spLocks/>
        </xdr:cNvSpPr>
      </xdr:nvSpPr>
      <xdr:spPr>
        <a:xfrm>
          <a:off x="5591175" y="3733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22</xdr:row>
      <xdr:rowOff>66675</xdr:rowOff>
    </xdr:from>
    <xdr:to>
      <xdr:col>8</xdr:col>
      <xdr:colOff>209550</xdr:colOff>
      <xdr:row>23</xdr:row>
      <xdr:rowOff>66675</xdr:rowOff>
    </xdr:to>
    <xdr:sp>
      <xdr:nvSpPr>
        <xdr:cNvPr id="48" name="Line 52"/>
        <xdr:cNvSpPr>
          <a:spLocks/>
        </xdr:cNvSpPr>
      </xdr:nvSpPr>
      <xdr:spPr>
        <a:xfrm flipV="1">
          <a:off x="5543550" y="3667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142875</xdr:rowOff>
    </xdr:from>
    <xdr:to>
      <xdr:col>8</xdr:col>
      <xdr:colOff>209550</xdr:colOff>
      <xdr:row>22</xdr:row>
      <xdr:rowOff>66675</xdr:rowOff>
    </xdr:to>
    <xdr:sp>
      <xdr:nvSpPr>
        <xdr:cNvPr id="49" name="Line 53"/>
        <xdr:cNvSpPr>
          <a:spLocks/>
        </xdr:cNvSpPr>
      </xdr:nvSpPr>
      <xdr:spPr>
        <a:xfrm flipV="1">
          <a:off x="5543550" y="35814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142875</xdr:rowOff>
    </xdr:from>
    <xdr:to>
      <xdr:col>8</xdr:col>
      <xdr:colOff>161925</xdr:colOff>
      <xdr:row>21</xdr:row>
      <xdr:rowOff>142875</xdr:rowOff>
    </xdr:to>
    <xdr:sp>
      <xdr:nvSpPr>
        <xdr:cNvPr id="50" name="Line 54"/>
        <xdr:cNvSpPr>
          <a:spLocks/>
        </xdr:cNvSpPr>
      </xdr:nvSpPr>
      <xdr:spPr>
        <a:xfrm>
          <a:off x="54959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9525</xdr:rowOff>
    </xdr:from>
    <xdr:to>
      <xdr:col>8</xdr:col>
      <xdr:colOff>209550</xdr:colOff>
      <xdr:row>21</xdr:row>
      <xdr:rowOff>142875</xdr:rowOff>
    </xdr:to>
    <xdr:sp>
      <xdr:nvSpPr>
        <xdr:cNvPr id="51" name="Line 55"/>
        <xdr:cNvSpPr>
          <a:spLocks/>
        </xdr:cNvSpPr>
      </xdr:nvSpPr>
      <xdr:spPr>
        <a:xfrm flipV="1">
          <a:off x="5543550" y="3448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22</xdr:row>
      <xdr:rowOff>133350</xdr:rowOff>
    </xdr:from>
    <xdr:to>
      <xdr:col>8</xdr:col>
      <xdr:colOff>361950</xdr:colOff>
      <xdr:row>23</xdr:row>
      <xdr:rowOff>114300</xdr:rowOff>
    </xdr:to>
    <xdr:sp>
      <xdr:nvSpPr>
        <xdr:cNvPr id="52" name="Line 56"/>
        <xdr:cNvSpPr>
          <a:spLocks/>
        </xdr:cNvSpPr>
      </xdr:nvSpPr>
      <xdr:spPr>
        <a:xfrm flipV="1">
          <a:off x="5695950" y="3733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22</xdr:row>
      <xdr:rowOff>66675</xdr:rowOff>
    </xdr:from>
    <xdr:to>
      <xdr:col>8</xdr:col>
      <xdr:colOff>361950</xdr:colOff>
      <xdr:row>22</xdr:row>
      <xdr:rowOff>133350</xdr:rowOff>
    </xdr:to>
    <xdr:sp>
      <xdr:nvSpPr>
        <xdr:cNvPr id="53" name="Line 57"/>
        <xdr:cNvSpPr>
          <a:spLocks/>
        </xdr:cNvSpPr>
      </xdr:nvSpPr>
      <xdr:spPr>
        <a:xfrm flipV="1">
          <a:off x="5695950" y="36671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85725</xdr:rowOff>
    </xdr:from>
    <xdr:to>
      <xdr:col>8</xdr:col>
      <xdr:colOff>361950</xdr:colOff>
      <xdr:row>22</xdr:row>
      <xdr:rowOff>66675</xdr:rowOff>
    </xdr:to>
    <xdr:sp>
      <xdr:nvSpPr>
        <xdr:cNvPr id="54" name="Line 58"/>
        <xdr:cNvSpPr>
          <a:spLocks/>
        </xdr:cNvSpPr>
      </xdr:nvSpPr>
      <xdr:spPr>
        <a:xfrm flipV="1">
          <a:off x="5695950" y="3524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123825</xdr:rowOff>
    </xdr:from>
    <xdr:to>
      <xdr:col>6</xdr:col>
      <xdr:colOff>238125</xdr:colOff>
      <xdr:row>14</xdr:row>
      <xdr:rowOff>9525</xdr:rowOff>
    </xdr:to>
    <xdr:sp>
      <xdr:nvSpPr>
        <xdr:cNvPr id="55" name="Rectangle 59"/>
        <xdr:cNvSpPr>
          <a:spLocks/>
        </xdr:cNvSpPr>
      </xdr:nvSpPr>
      <xdr:spPr>
        <a:xfrm>
          <a:off x="3743325" y="2266950"/>
          <a:ext cx="609600" cy="476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13</xdr:row>
      <xdr:rowOff>114300</xdr:rowOff>
    </xdr:from>
    <xdr:to>
      <xdr:col>5</xdr:col>
      <xdr:colOff>533400</xdr:colOff>
      <xdr:row>15</xdr:row>
      <xdr:rowOff>28575</xdr:rowOff>
    </xdr:to>
    <xdr:sp>
      <xdr:nvSpPr>
        <xdr:cNvPr id="56" name="Line 60"/>
        <xdr:cNvSpPr>
          <a:spLocks/>
        </xdr:cNvSpPr>
      </xdr:nvSpPr>
      <xdr:spPr>
        <a:xfrm flipV="1">
          <a:off x="4038600" y="2257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152400</xdr:rowOff>
    </xdr:from>
    <xdr:to>
      <xdr:col>5</xdr:col>
      <xdr:colOff>371475</xdr:colOff>
      <xdr:row>17</xdr:row>
      <xdr:rowOff>85725</xdr:rowOff>
    </xdr:to>
    <xdr:sp>
      <xdr:nvSpPr>
        <xdr:cNvPr id="57" name="Line 61"/>
        <xdr:cNvSpPr>
          <a:spLocks/>
        </xdr:cNvSpPr>
      </xdr:nvSpPr>
      <xdr:spPr>
        <a:xfrm flipV="1">
          <a:off x="3876675" y="2295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152400</xdr:rowOff>
    </xdr:from>
    <xdr:to>
      <xdr:col>6</xdr:col>
      <xdr:colOff>85725</xdr:colOff>
      <xdr:row>17</xdr:row>
      <xdr:rowOff>85725</xdr:rowOff>
    </xdr:to>
    <xdr:sp>
      <xdr:nvSpPr>
        <xdr:cNvPr id="58" name="Line 62"/>
        <xdr:cNvSpPr>
          <a:spLocks/>
        </xdr:cNvSpPr>
      </xdr:nvSpPr>
      <xdr:spPr>
        <a:xfrm>
          <a:off x="4200525" y="2295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142875</xdr:rowOff>
    </xdr:from>
    <xdr:to>
      <xdr:col>8</xdr:col>
      <xdr:colOff>171450</xdr:colOff>
      <xdr:row>23</xdr:row>
      <xdr:rowOff>28575</xdr:rowOff>
    </xdr:to>
    <xdr:sp>
      <xdr:nvSpPr>
        <xdr:cNvPr id="59" name="Rectangle 63"/>
        <xdr:cNvSpPr>
          <a:spLocks/>
        </xdr:cNvSpPr>
      </xdr:nvSpPr>
      <xdr:spPr>
        <a:xfrm>
          <a:off x="4543425" y="3743325"/>
          <a:ext cx="962025" cy="476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23</xdr:row>
      <xdr:rowOff>0</xdr:rowOff>
    </xdr:from>
    <xdr:to>
      <xdr:col>6</xdr:col>
      <xdr:colOff>533400</xdr:colOff>
      <xdr:row>26</xdr:row>
      <xdr:rowOff>76200</xdr:rowOff>
    </xdr:to>
    <xdr:sp>
      <xdr:nvSpPr>
        <xdr:cNvPr id="60" name="Line 64"/>
        <xdr:cNvSpPr>
          <a:spLocks/>
        </xdr:cNvSpPr>
      </xdr:nvSpPr>
      <xdr:spPr>
        <a:xfrm>
          <a:off x="4648200" y="37623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66675</xdr:colOff>
      <xdr:row>26</xdr:row>
      <xdr:rowOff>76200</xdr:rowOff>
    </xdr:to>
    <xdr:sp>
      <xdr:nvSpPr>
        <xdr:cNvPr id="61" name="Line 65"/>
        <xdr:cNvSpPr>
          <a:spLocks/>
        </xdr:cNvSpPr>
      </xdr:nvSpPr>
      <xdr:spPr>
        <a:xfrm>
          <a:off x="5400675" y="37623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0</xdr:rowOff>
    </xdr:from>
    <xdr:to>
      <xdr:col>7</xdr:col>
      <xdr:colOff>219075</xdr:colOff>
      <xdr:row>25</xdr:row>
      <xdr:rowOff>28575</xdr:rowOff>
    </xdr:to>
    <xdr:sp>
      <xdr:nvSpPr>
        <xdr:cNvPr id="62" name="Line 66"/>
        <xdr:cNvSpPr>
          <a:spLocks/>
        </xdr:cNvSpPr>
      </xdr:nvSpPr>
      <xdr:spPr>
        <a:xfrm>
          <a:off x="4943475" y="37623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23</xdr:row>
      <xdr:rowOff>0</xdr:rowOff>
    </xdr:from>
    <xdr:to>
      <xdr:col>7</xdr:col>
      <xdr:colOff>381000</xdr:colOff>
      <xdr:row>25</xdr:row>
      <xdr:rowOff>28575</xdr:rowOff>
    </xdr:to>
    <xdr:sp>
      <xdr:nvSpPr>
        <xdr:cNvPr id="63" name="Line 67"/>
        <xdr:cNvSpPr>
          <a:spLocks/>
        </xdr:cNvSpPr>
      </xdr:nvSpPr>
      <xdr:spPr>
        <a:xfrm>
          <a:off x="5105400" y="37623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133350</xdr:rowOff>
    </xdr:from>
    <xdr:to>
      <xdr:col>6</xdr:col>
      <xdr:colOff>428625</xdr:colOff>
      <xdr:row>25</xdr:row>
      <xdr:rowOff>47625</xdr:rowOff>
    </xdr:to>
    <xdr:sp>
      <xdr:nvSpPr>
        <xdr:cNvPr id="64" name="Line 68"/>
        <xdr:cNvSpPr>
          <a:spLocks/>
        </xdr:cNvSpPr>
      </xdr:nvSpPr>
      <xdr:spPr>
        <a:xfrm>
          <a:off x="4543425" y="37338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133350</xdr:rowOff>
    </xdr:from>
    <xdr:to>
      <xdr:col>8</xdr:col>
      <xdr:colOff>171450</xdr:colOff>
      <xdr:row>25</xdr:row>
      <xdr:rowOff>47625</xdr:rowOff>
    </xdr:to>
    <xdr:sp>
      <xdr:nvSpPr>
        <xdr:cNvPr id="65" name="Line 69"/>
        <xdr:cNvSpPr>
          <a:spLocks/>
        </xdr:cNvSpPr>
      </xdr:nvSpPr>
      <xdr:spPr>
        <a:xfrm>
          <a:off x="5505450" y="37338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142875</xdr:rowOff>
    </xdr:from>
    <xdr:to>
      <xdr:col>6</xdr:col>
      <xdr:colOff>485775</xdr:colOff>
      <xdr:row>25</xdr:row>
      <xdr:rowOff>47625</xdr:rowOff>
    </xdr:to>
    <xdr:sp>
      <xdr:nvSpPr>
        <xdr:cNvPr id="66" name="Rectangle 70"/>
        <xdr:cNvSpPr>
          <a:spLocks/>
        </xdr:cNvSpPr>
      </xdr:nvSpPr>
      <xdr:spPr>
        <a:xfrm>
          <a:off x="4552950" y="3743325"/>
          <a:ext cx="47625" cy="3905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22</xdr:row>
      <xdr:rowOff>142875</xdr:rowOff>
    </xdr:from>
    <xdr:to>
      <xdr:col>8</xdr:col>
      <xdr:colOff>161925</xdr:colOff>
      <xdr:row>25</xdr:row>
      <xdr:rowOff>47625</xdr:rowOff>
    </xdr:to>
    <xdr:sp>
      <xdr:nvSpPr>
        <xdr:cNvPr id="67" name="Rectangle 71"/>
        <xdr:cNvSpPr>
          <a:spLocks/>
        </xdr:cNvSpPr>
      </xdr:nvSpPr>
      <xdr:spPr>
        <a:xfrm>
          <a:off x="5448300" y="3743325"/>
          <a:ext cx="47625" cy="3905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123825</xdr:rowOff>
    </xdr:from>
    <xdr:to>
      <xdr:col>5</xdr:col>
      <xdr:colOff>285750</xdr:colOff>
      <xdr:row>16</xdr:row>
      <xdr:rowOff>28575</xdr:rowOff>
    </xdr:to>
    <xdr:sp>
      <xdr:nvSpPr>
        <xdr:cNvPr id="68" name="Rectangle 72"/>
        <xdr:cNvSpPr>
          <a:spLocks/>
        </xdr:cNvSpPr>
      </xdr:nvSpPr>
      <xdr:spPr>
        <a:xfrm>
          <a:off x="3743325" y="2266950"/>
          <a:ext cx="47625" cy="3905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123825</xdr:rowOff>
    </xdr:from>
    <xdr:to>
      <xdr:col>6</xdr:col>
      <xdr:colOff>238125</xdr:colOff>
      <xdr:row>16</xdr:row>
      <xdr:rowOff>28575</xdr:rowOff>
    </xdr:to>
    <xdr:sp>
      <xdr:nvSpPr>
        <xdr:cNvPr id="69" name="Rectangle 73"/>
        <xdr:cNvSpPr>
          <a:spLocks/>
        </xdr:cNvSpPr>
      </xdr:nvSpPr>
      <xdr:spPr>
        <a:xfrm>
          <a:off x="4305300" y="2266950"/>
          <a:ext cx="47625" cy="3905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114300</xdr:rowOff>
    </xdr:from>
    <xdr:to>
      <xdr:col>5</xdr:col>
      <xdr:colOff>228600</xdr:colOff>
      <xdr:row>16</xdr:row>
      <xdr:rowOff>28575</xdr:rowOff>
    </xdr:to>
    <xdr:sp>
      <xdr:nvSpPr>
        <xdr:cNvPr id="70" name="Line 74"/>
        <xdr:cNvSpPr>
          <a:spLocks/>
        </xdr:cNvSpPr>
      </xdr:nvSpPr>
      <xdr:spPr>
        <a:xfrm>
          <a:off x="3733800" y="2257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13</xdr:row>
      <xdr:rowOff>114300</xdr:rowOff>
    </xdr:from>
    <xdr:to>
      <xdr:col>6</xdr:col>
      <xdr:colOff>238125</xdr:colOff>
      <xdr:row>16</xdr:row>
      <xdr:rowOff>28575</xdr:rowOff>
    </xdr:to>
    <xdr:sp>
      <xdr:nvSpPr>
        <xdr:cNvPr id="71" name="Line 75"/>
        <xdr:cNvSpPr>
          <a:spLocks/>
        </xdr:cNvSpPr>
      </xdr:nvSpPr>
      <xdr:spPr>
        <a:xfrm>
          <a:off x="4352925" y="2257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104775</xdr:rowOff>
    </xdr:from>
    <xdr:to>
      <xdr:col>6</xdr:col>
      <xdr:colOff>323850</xdr:colOff>
      <xdr:row>6</xdr:row>
      <xdr:rowOff>104775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3438525" y="95250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Anchor as required</a:t>
          </a:r>
        </a:p>
      </xdr:txBody>
    </xdr:sp>
    <xdr:clientData/>
  </xdr:twoCellAnchor>
  <xdr:twoCellAnchor>
    <xdr:from>
      <xdr:col>4</xdr:col>
      <xdr:colOff>342900</xdr:colOff>
      <xdr:row>6</xdr:row>
      <xdr:rowOff>19050</xdr:rowOff>
    </xdr:from>
    <xdr:to>
      <xdr:col>4</xdr:col>
      <xdr:colOff>523875</xdr:colOff>
      <xdr:row>6</xdr:row>
      <xdr:rowOff>19050</xdr:rowOff>
    </xdr:to>
    <xdr:sp>
      <xdr:nvSpPr>
        <xdr:cNvPr id="73" name="Line 82"/>
        <xdr:cNvSpPr>
          <a:spLocks/>
        </xdr:cNvSpPr>
      </xdr:nvSpPr>
      <xdr:spPr>
        <a:xfrm flipH="1">
          <a:off x="3238500" y="102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</xdr:row>
      <xdr:rowOff>66675</xdr:rowOff>
    </xdr:from>
    <xdr:to>
      <xdr:col>6</xdr:col>
      <xdr:colOff>9525</xdr:colOff>
      <xdr:row>10</xdr:row>
      <xdr:rowOff>114300</xdr:rowOff>
    </xdr:to>
    <xdr:sp>
      <xdr:nvSpPr>
        <xdr:cNvPr id="74" name="Line 83"/>
        <xdr:cNvSpPr>
          <a:spLocks/>
        </xdr:cNvSpPr>
      </xdr:nvSpPr>
      <xdr:spPr>
        <a:xfrm>
          <a:off x="3705225" y="1724025"/>
          <a:ext cx="419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85725</xdr:rowOff>
    </xdr:from>
    <xdr:to>
      <xdr:col>7</xdr:col>
      <xdr:colOff>285750</xdr:colOff>
      <xdr:row>20</xdr:row>
      <xdr:rowOff>85725</xdr:rowOff>
    </xdr:to>
    <xdr:sp>
      <xdr:nvSpPr>
        <xdr:cNvPr id="75" name="Line 91"/>
        <xdr:cNvSpPr>
          <a:spLocks/>
        </xdr:cNvSpPr>
      </xdr:nvSpPr>
      <xdr:spPr>
        <a:xfrm>
          <a:off x="4743450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11</xdr:row>
      <xdr:rowOff>123825</xdr:rowOff>
    </xdr:from>
    <xdr:to>
      <xdr:col>5</xdr:col>
      <xdr:colOff>333375</xdr:colOff>
      <xdr:row>13</xdr:row>
      <xdr:rowOff>95250</xdr:rowOff>
    </xdr:to>
    <xdr:sp>
      <xdr:nvSpPr>
        <xdr:cNvPr id="76" name="TextBox 101"/>
        <xdr:cNvSpPr txBox="1">
          <a:spLocks noChangeArrowheads="1"/>
        </xdr:cNvSpPr>
      </xdr:nvSpPr>
      <xdr:spPr>
        <a:xfrm>
          <a:off x="3409950" y="19431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Bearing 
  Plate</a:t>
          </a:r>
        </a:p>
      </xdr:txBody>
    </xdr:sp>
    <xdr:clientData/>
  </xdr:twoCellAnchor>
  <xdr:twoCellAnchor>
    <xdr:from>
      <xdr:col>5</xdr:col>
      <xdr:colOff>228600</xdr:colOff>
      <xdr:row>13</xdr:row>
      <xdr:rowOff>19050</xdr:rowOff>
    </xdr:from>
    <xdr:to>
      <xdr:col>5</xdr:col>
      <xdr:colOff>371475</xdr:colOff>
      <xdr:row>13</xdr:row>
      <xdr:rowOff>76200</xdr:rowOff>
    </xdr:to>
    <xdr:sp>
      <xdr:nvSpPr>
        <xdr:cNvPr id="77" name="Line 102"/>
        <xdr:cNvSpPr>
          <a:spLocks/>
        </xdr:cNvSpPr>
      </xdr:nvSpPr>
      <xdr:spPr>
        <a:xfrm>
          <a:off x="3733800" y="2162175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142875</xdr:rowOff>
    </xdr:from>
    <xdr:to>
      <xdr:col>6</xdr:col>
      <xdr:colOff>495300</xdr:colOff>
      <xdr:row>22</xdr:row>
      <xdr:rowOff>114300</xdr:rowOff>
    </xdr:to>
    <xdr:sp>
      <xdr:nvSpPr>
        <xdr:cNvPr id="78" name="TextBox 103"/>
        <xdr:cNvSpPr txBox="1">
          <a:spLocks noChangeArrowheads="1"/>
        </xdr:cNvSpPr>
      </xdr:nvSpPr>
      <xdr:spPr>
        <a:xfrm>
          <a:off x="4181475" y="34194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Bearing 
  Plate</a:t>
          </a:r>
        </a:p>
      </xdr:txBody>
    </xdr:sp>
    <xdr:clientData/>
  </xdr:twoCellAnchor>
  <xdr:twoCellAnchor>
    <xdr:from>
      <xdr:col>6</xdr:col>
      <xdr:colOff>390525</xdr:colOff>
      <xdr:row>22</xdr:row>
      <xdr:rowOff>38100</xdr:rowOff>
    </xdr:from>
    <xdr:to>
      <xdr:col>6</xdr:col>
      <xdr:colOff>533400</xdr:colOff>
      <xdr:row>22</xdr:row>
      <xdr:rowOff>95250</xdr:rowOff>
    </xdr:to>
    <xdr:sp>
      <xdr:nvSpPr>
        <xdr:cNvPr id="79" name="Line 104"/>
        <xdr:cNvSpPr>
          <a:spLocks/>
        </xdr:cNvSpPr>
      </xdr:nvSpPr>
      <xdr:spPr>
        <a:xfrm>
          <a:off x="4505325" y="36385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104775</xdr:rowOff>
    </xdr:from>
    <xdr:to>
      <xdr:col>7</xdr:col>
      <xdr:colOff>152400</xdr:colOff>
      <xdr:row>9</xdr:row>
      <xdr:rowOff>104775</xdr:rowOff>
    </xdr:to>
    <xdr:sp>
      <xdr:nvSpPr>
        <xdr:cNvPr id="80" name="Line 110"/>
        <xdr:cNvSpPr>
          <a:spLocks/>
        </xdr:cNvSpPr>
      </xdr:nvSpPr>
      <xdr:spPr>
        <a:xfrm flipH="1">
          <a:off x="4876800" y="127635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114300</xdr:rowOff>
    </xdr:from>
    <xdr:to>
      <xdr:col>8</xdr:col>
      <xdr:colOff>409575</xdr:colOff>
      <xdr:row>7</xdr:row>
      <xdr:rowOff>114300</xdr:rowOff>
    </xdr:to>
    <xdr:sp>
      <xdr:nvSpPr>
        <xdr:cNvPr id="81" name="TextBox 111"/>
        <xdr:cNvSpPr txBox="1">
          <a:spLocks noChangeArrowheads="1"/>
        </xdr:cNvSpPr>
      </xdr:nvSpPr>
      <xdr:spPr>
        <a:xfrm>
          <a:off x="4743450" y="112395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Load</a:t>
          </a:r>
        </a:p>
      </xdr:txBody>
    </xdr:sp>
    <xdr:clientData/>
  </xdr:twoCellAnchor>
  <xdr:twoCellAnchor>
    <xdr:from>
      <xdr:col>5</xdr:col>
      <xdr:colOff>381000</xdr:colOff>
      <xdr:row>8</xdr:row>
      <xdr:rowOff>0</xdr:rowOff>
    </xdr:from>
    <xdr:to>
      <xdr:col>7</xdr:col>
      <xdr:colOff>133350</xdr:colOff>
      <xdr:row>8</xdr:row>
      <xdr:rowOff>0</xdr:rowOff>
    </xdr:to>
    <xdr:sp>
      <xdr:nvSpPr>
        <xdr:cNvPr id="82" name="Line 112"/>
        <xdr:cNvSpPr>
          <a:spLocks/>
        </xdr:cNvSpPr>
      </xdr:nvSpPr>
      <xdr:spPr>
        <a:xfrm>
          <a:off x="3886200" y="1333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371475</xdr:colOff>
      <xdr:row>9</xdr:row>
      <xdr:rowOff>85725</xdr:rowOff>
    </xdr:to>
    <xdr:sp>
      <xdr:nvSpPr>
        <xdr:cNvPr id="83" name="Line 115"/>
        <xdr:cNvSpPr>
          <a:spLocks/>
        </xdr:cNvSpPr>
      </xdr:nvSpPr>
      <xdr:spPr>
        <a:xfrm flipV="1">
          <a:off x="3876675" y="1266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19050</xdr:rowOff>
    </xdr:from>
    <xdr:to>
      <xdr:col>5</xdr:col>
      <xdr:colOff>200025</xdr:colOff>
      <xdr:row>10</xdr:row>
      <xdr:rowOff>66675</xdr:rowOff>
    </xdr:to>
    <xdr:sp>
      <xdr:nvSpPr>
        <xdr:cNvPr id="84" name="Line 118"/>
        <xdr:cNvSpPr>
          <a:spLocks/>
        </xdr:cNvSpPr>
      </xdr:nvSpPr>
      <xdr:spPr>
        <a:xfrm flipH="1" flipV="1">
          <a:off x="3238500" y="1028700"/>
          <a:ext cx="4667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9" width="9.140625" style="159" customWidth="1"/>
    <col min="10" max="10" width="5.7109375" style="159" customWidth="1"/>
    <col min="11" max="11" width="9.140625" style="159" customWidth="1"/>
    <col min="12" max="16384" width="9.140625" style="160" customWidth="1"/>
  </cols>
  <sheetData>
    <row r="1" spans="1:10" ht="15.75">
      <c r="A1" s="157" t="s">
        <v>109</v>
      </c>
      <c r="B1" s="158"/>
      <c r="C1" s="158"/>
      <c r="D1" s="158"/>
      <c r="E1" s="158"/>
      <c r="F1" s="158"/>
      <c r="G1" s="158"/>
      <c r="H1" s="158"/>
      <c r="I1" s="158"/>
      <c r="J1" s="158"/>
    </row>
    <row r="3" ht="12.75">
      <c r="A3" s="161" t="s">
        <v>37</v>
      </c>
    </row>
    <row r="5" ht="12.75">
      <c r="A5" s="159" t="s">
        <v>110</v>
      </c>
    </row>
    <row r="6" ht="12.75">
      <c r="A6" s="159" t="s">
        <v>99</v>
      </c>
    </row>
    <row r="7" ht="12.75">
      <c r="A7" s="159" t="s">
        <v>100</v>
      </c>
    </row>
    <row r="8" ht="12.75">
      <c r="A8" s="159" t="s">
        <v>101</v>
      </c>
    </row>
    <row r="9" ht="12.75">
      <c r="A9" s="159" t="s">
        <v>102</v>
      </c>
    </row>
    <row r="10" ht="12.75">
      <c r="A10" s="159" t="s">
        <v>103</v>
      </c>
    </row>
    <row r="12" ht="12.75">
      <c r="A12" s="159" t="s">
        <v>38</v>
      </c>
    </row>
    <row r="14" spans="1:10" ht="12.75">
      <c r="A14" s="162" t="s">
        <v>39</v>
      </c>
      <c r="B14" s="163"/>
      <c r="C14" s="164"/>
      <c r="D14" s="162" t="s">
        <v>40</v>
      </c>
      <c r="E14" s="165"/>
      <c r="F14" s="165"/>
      <c r="G14" s="165"/>
      <c r="H14" s="165"/>
      <c r="I14" s="165"/>
      <c r="J14" s="166"/>
    </row>
    <row r="15" spans="1:10" ht="12.75">
      <c r="A15" s="167" t="s">
        <v>41</v>
      </c>
      <c r="B15" s="168"/>
      <c r="C15" s="169"/>
      <c r="D15" s="167" t="s">
        <v>42</v>
      </c>
      <c r="E15" s="168"/>
      <c r="F15" s="168"/>
      <c r="G15" s="168"/>
      <c r="H15" s="168"/>
      <c r="I15" s="168"/>
      <c r="J15" s="169"/>
    </row>
    <row r="16" spans="1:10" ht="12.75">
      <c r="A16" s="170" t="s">
        <v>75</v>
      </c>
      <c r="B16" s="171"/>
      <c r="C16" s="172"/>
      <c r="D16" s="170" t="s">
        <v>98</v>
      </c>
      <c r="E16" s="171"/>
      <c r="F16" s="171"/>
      <c r="G16" s="171"/>
      <c r="H16" s="171"/>
      <c r="I16" s="171"/>
      <c r="J16" s="172"/>
    </row>
    <row r="17" spans="1:10" ht="12.75">
      <c r="A17" s="173"/>
      <c r="B17" s="173"/>
      <c r="C17" s="173"/>
      <c r="D17" s="173"/>
      <c r="E17" s="173"/>
      <c r="F17" s="173"/>
      <c r="G17" s="173"/>
      <c r="H17" s="173"/>
      <c r="I17" s="173"/>
      <c r="J17" s="174"/>
    </row>
    <row r="18" ht="12.75">
      <c r="A18" s="161" t="s">
        <v>43</v>
      </c>
    </row>
    <row r="20" ht="12.75">
      <c r="A20" s="159" t="s">
        <v>48</v>
      </c>
    </row>
    <row r="21" ht="12.75">
      <c r="A21" s="159" t="s">
        <v>111</v>
      </c>
    </row>
    <row r="22" ht="12.75">
      <c r="A22" s="159" t="s">
        <v>76</v>
      </c>
    </row>
    <row r="23" ht="12.75">
      <c r="A23" s="159" t="s">
        <v>112</v>
      </c>
    </row>
    <row r="24" ht="12.75">
      <c r="A24" s="159" t="s">
        <v>113</v>
      </c>
    </row>
    <row r="25" ht="12.75">
      <c r="A25" s="159" t="s">
        <v>96</v>
      </c>
    </row>
    <row r="26" ht="12.75">
      <c r="A26" s="159" t="s">
        <v>95</v>
      </c>
    </row>
    <row r="27" spans="1:10" ht="12.75">
      <c r="A27" s="159" t="s">
        <v>94</v>
      </c>
      <c r="C27" s="175"/>
      <c r="D27" s="175"/>
      <c r="E27" s="175"/>
      <c r="F27" s="175"/>
      <c r="G27" s="175"/>
      <c r="H27" s="175"/>
      <c r="I27" s="175"/>
      <c r="J27" s="175"/>
    </row>
    <row r="28" spans="1:10" ht="12.75">
      <c r="A28" s="159" t="s">
        <v>44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ht="12.75">
      <c r="A29" s="159" t="s">
        <v>45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 ht="12.75">
      <c r="A30" s="159" t="s">
        <v>46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2:10" ht="12.75">
      <c r="B31" s="175"/>
      <c r="C31" s="175"/>
      <c r="D31" s="175"/>
      <c r="E31" s="175"/>
      <c r="F31" s="175"/>
      <c r="G31" s="175"/>
      <c r="H31" s="175"/>
      <c r="I31" s="175"/>
      <c r="J31" s="175"/>
    </row>
    <row r="32" spans="2:10" ht="12.75">
      <c r="B32" s="175"/>
      <c r="C32" s="175"/>
      <c r="D32" s="175"/>
      <c r="E32" s="175"/>
      <c r="F32" s="175"/>
      <c r="G32" s="175"/>
      <c r="H32" s="175"/>
      <c r="I32" s="175"/>
      <c r="J32" s="175"/>
    </row>
    <row r="33" spans="2:10" ht="12.75">
      <c r="B33" s="175"/>
      <c r="C33" s="175"/>
      <c r="D33" s="175"/>
      <c r="E33" s="175"/>
      <c r="F33" s="175"/>
      <c r="G33" s="175"/>
      <c r="H33" s="175"/>
      <c r="I33" s="175"/>
      <c r="J33" s="175"/>
    </row>
    <row r="34" spans="1:10" ht="12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</row>
    <row r="35" spans="2:10" ht="12.75">
      <c r="B35" s="175"/>
      <c r="C35" s="175"/>
      <c r="D35" s="175"/>
      <c r="E35" s="175"/>
      <c r="F35" s="175"/>
      <c r="G35" s="175"/>
      <c r="H35" s="175"/>
      <c r="I35" s="175"/>
      <c r="J35" s="175"/>
    </row>
    <row r="36" spans="2:10" ht="12.75">
      <c r="B36" s="175"/>
      <c r="C36" s="175"/>
      <c r="D36" s="175"/>
      <c r="E36" s="175"/>
      <c r="F36" s="175"/>
      <c r="G36" s="175"/>
      <c r="H36" s="175"/>
      <c r="I36" s="175"/>
      <c r="J36" s="175"/>
    </row>
    <row r="37" spans="2:10" ht="12.75">
      <c r="B37" s="175"/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175"/>
      <c r="C38" s="175"/>
      <c r="D38" s="175"/>
      <c r="E38" s="175"/>
      <c r="F38" s="175"/>
      <c r="G38" s="175"/>
      <c r="H38" s="175"/>
      <c r="I38" s="175"/>
      <c r="J38" s="175"/>
    </row>
    <row r="39" spans="1:10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</row>
    <row r="40" spans="1:10" ht="12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ht="12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2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2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</row>
    <row r="47" spans="1:10" ht="12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</row>
    <row r="48" spans="1:10" ht="12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</row>
    <row r="49" spans="1:10" ht="12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</row>
    <row r="50" spans="1:10" ht="12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</row>
    <row r="51" spans="1:10" ht="12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</row>
    <row r="52" spans="1:10" ht="12.75">
      <c r="A52" s="175"/>
      <c r="B52" s="175"/>
      <c r="C52" s="175"/>
      <c r="D52" s="175"/>
      <c r="E52" s="175"/>
      <c r="F52" s="175"/>
      <c r="G52" s="175"/>
      <c r="H52" s="175"/>
      <c r="I52" s="175"/>
      <c r="J52" s="175"/>
    </row>
    <row r="53" spans="1:10" ht="12.75">
      <c r="A53" s="175"/>
      <c r="B53" s="175"/>
      <c r="C53" s="175"/>
      <c r="D53" s="175"/>
      <c r="E53" s="175"/>
      <c r="F53" s="175"/>
      <c r="G53" s="175"/>
      <c r="H53" s="175"/>
      <c r="I53" s="175"/>
      <c r="J53" s="175"/>
    </row>
    <row r="54" spans="1:10" ht="12.75">
      <c r="A54" s="175"/>
      <c r="B54" s="175"/>
      <c r="C54" s="175"/>
      <c r="D54" s="175"/>
      <c r="E54" s="175"/>
      <c r="F54" s="175"/>
      <c r="G54" s="175"/>
      <c r="H54" s="175"/>
      <c r="I54" s="175"/>
      <c r="J54" s="175"/>
    </row>
    <row r="55" spans="1:10" ht="12.75">
      <c r="A55" s="175"/>
      <c r="B55" s="175"/>
      <c r="C55" s="175"/>
      <c r="D55" s="175"/>
      <c r="E55" s="175"/>
      <c r="F55" s="175"/>
      <c r="G55" s="175"/>
      <c r="H55" s="175"/>
      <c r="I55" s="175"/>
      <c r="J55" s="175"/>
    </row>
    <row r="56" spans="1:10" ht="12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</row>
    <row r="57" spans="1:10" ht="12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</row>
    <row r="58" spans="1:10" ht="12.75">
      <c r="A58" s="175"/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ht="12.75">
      <c r="A59" s="175"/>
      <c r="B59" s="175"/>
      <c r="C59" s="175"/>
      <c r="D59" s="175"/>
      <c r="E59" s="175"/>
      <c r="F59" s="175"/>
      <c r="G59" s="175"/>
      <c r="H59" s="175"/>
      <c r="I59" s="175"/>
      <c r="J59" s="175"/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211111159"/>
  <dimension ref="A1:AY4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4" customWidth="1"/>
    <col min="2" max="2" width="9.28125" style="14" bestFit="1" customWidth="1"/>
    <col min="3" max="4" width="10.7109375" style="14" customWidth="1"/>
    <col min="5" max="8" width="9.140625" style="14" customWidth="1"/>
    <col min="9" max="9" width="13.7109375" style="14" customWidth="1"/>
    <col min="10" max="14" width="9.140625" style="21" hidden="1" customWidth="1"/>
    <col min="15" max="15" width="10.140625" style="26" hidden="1" customWidth="1"/>
    <col min="16" max="21" width="9.140625" style="21" hidden="1" customWidth="1"/>
    <col min="22" max="24" width="9.140625" style="23" hidden="1" customWidth="1"/>
    <col min="25" max="25" width="10.7109375" style="21" hidden="1" customWidth="1"/>
    <col min="26" max="30" width="9.7109375" style="21" hidden="1" customWidth="1"/>
    <col min="31" max="31" width="9.140625" style="21" hidden="1" customWidth="1"/>
    <col min="32" max="33" width="9.140625" style="21" customWidth="1"/>
    <col min="34" max="34" width="9.8515625" style="21" bestFit="1" customWidth="1"/>
    <col min="35" max="36" width="9.140625" style="21" customWidth="1"/>
    <col min="37" max="16384" width="9.140625" style="14" customWidth="1"/>
  </cols>
  <sheetData>
    <row r="1" spans="1:35" ht="15.75">
      <c r="A1" s="222" t="s">
        <v>97</v>
      </c>
      <c r="B1" s="223"/>
      <c r="C1" s="224"/>
      <c r="D1" s="224"/>
      <c r="E1" s="224"/>
      <c r="F1" s="224"/>
      <c r="G1" s="223"/>
      <c r="H1" s="223"/>
      <c r="I1" s="225"/>
      <c r="J1" s="76"/>
      <c r="K1" s="138"/>
      <c r="M1" s="22" t="s">
        <v>23</v>
      </c>
      <c r="O1" s="21"/>
      <c r="V1" s="21"/>
      <c r="W1" s="21"/>
      <c r="X1" s="21"/>
      <c r="AF1" s="148" t="s">
        <v>484</v>
      </c>
      <c r="AG1" s="139"/>
      <c r="AH1" s="139"/>
      <c r="AI1" s="139"/>
    </row>
    <row r="2" spans="1:35" ht="12.75">
      <c r="A2" s="230" t="s">
        <v>77</v>
      </c>
      <c r="B2" s="226"/>
      <c r="C2" s="226"/>
      <c r="D2" s="226"/>
      <c r="E2" s="226"/>
      <c r="F2" s="226"/>
      <c r="G2" s="226"/>
      <c r="H2" s="226"/>
      <c r="I2" s="227"/>
      <c r="J2" s="1"/>
      <c r="K2" s="20"/>
      <c r="N2" s="34"/>
      <c r="O2" s="21"/>
      <c r="P2" s="177"/>
      <c r="V2" s="21"/>
      <c r="W2" s="21"/>
      <c r="X2" s="21"/>
      <c r="AB2" s="29"/>
      <c r="AC2" s="29"/>
      <c r="AD2" s="29"/>
      <c r="AE2" s="29"/>
      <c r="AG2" s="139"/>
      <c r="AH2" s="139"/>
      <c r="AI2" s="139"/>
    </row>
    <row r="3" spans="1:35" ht="12.75">
      <c r="A3" s="231" t="s">
        <v>114</v>
      </c>
      <c r="B3" s="228"/>
      <c r="C3" s="228"/>
      <c r="D3" s="228"/>
      <c r="E3" s="228"/>
      <c r="F3" s="228"/>
      <c r="G3" s="228"/>
      <c r="H3" s="228"/>
      <c r="I3" s="229"/>
      <c r="J3" s="29"/>
      <c r="K3" s="33">
        <v>33</v>
      </c>
      <c r="M3" s="22" t="s">
        <v>117</v>
      </c>
      <c r="Y3" s="140" t="s">
        <v>47</v>
      </c>
      <c r="Z3" s="141"/>
      <c r="AA3" s="141"/>
      <c r="AB3" s="141"/>
      <c r="AC3" s="141"/>
      <c r="AD3" s="208"/>
      <c r="AE3" s="29"/>
      <c r="AG3" s="139"/>
      <c r="AH3" s="139"/>
      <c r="AI3" s="139"/>
    </row>
    <row r="4" spans="1:36" ht="12.75">
      <c r="A4" s="142" t="s">
        <v>104</v>
      </c>
      <c r="B4" s="237"/>
      <c r="C4" s="238"/>
      <c r="D4" s="238"/>
      <c r="E4" s="238"/>
      <c r="F4" s="239" t="s">
        <v>105</v>
      </c>
      <c r="G4" s="240"/>
      <c r="H4" s="241"/>
      <c r="I4" s="242"/>
      <c r="J4" s="19"/>
      <c r="K4" s="33">
        <v>36</v>
      </c>
      <c r="L4" s="29"/>
      <c r="M4" s="47" t="s">
        <v>118</v>
      </c>
      <c r="N4" s="250">
        <f>2.5*$B$27*$D$13*$B$24/1.5</f>
        <v>15.5625</v>
      </c>
      <c r="P4" s="79"/>
      <c r="R4" s="29"/>
      <c r="S4" s="29"/>
      <c r="T4" s="29"/>
      <c r="U4" s="29"/>
      <c r="V4" s="79"/>
      <c r="W4" s="79"/>
      <c r="X4" s="79"/>
      <c r="Y4" s="143" t="s">
        <v>33</v>
      </c>
      <c r="Z4" s="144"/>
      <c r="AA4" s="144"/>
      <c r="AB4" s="144"/>
      <c r="AC4" s="144"/>
      <c r="AD4" s="209"/>
      <c r="AF4" s="24"/>
      <c r="AG4" s="3"/>
      <c r="AH4" s="3"/>
      <c r="AI4" s="3"/>
      <c r="AJ4" s="3"/>
    </row>
    <row r="5" spans="1:36" ht="12.75">
      <c r="A5" s="142" t="s">
        <v>106</v>
      </c>
      <c r="B5" s="237"/>
      <c r="C5" s="238"/>
      <c r="D5" s="238"/>
      <c r="E5" s="238"/>
      <c r="F5" s="239" t="s">
        <v>107</v>
      </c>
      <c r="G5" s="243"/>
      <c r="H5" s="239" t="s">
        <v>108</v>
      </c>
      <c r="I5" s="244"/>
      <c r="J5" s="19"/>
      <c r="K5" s="33">
        <v>50</v>
      </c>
      <c r="L5" s="40"/>
      <c r="M5" s="47" t="s">
        <v>121</v>
      </c>
      <c r="N5" s="250">
        <f>$D$13*$B$24/1.5</f>
        <v>8.333333333333334</v>
      </c>
      <c r="S5" s="29"/>
      <c r="T5" s="29"/>
      <c r="U5" s="29"/>
      <c r="V5" s="79"/>
      <c r="W5" s="79"/>
      <c r="X5" s="79"/>
      <c r="Y5" s="145" t="s">
        <v>9</v>
      </c>
      <c r="Z5" s="146" t="s">
        <v>2</v>
      </c>
      <c r="AA5" s="146" t="s">
        <v>3</v>
      </c>
      <c r="AB5" s="146" t="s">
        <v>4</v>
      </c>
      <c r="AC5" s="146" t="s">
        <v>5</v>
      </c>
      <c r="AD5" s="146" t="s">
        <v>6</v>
      </c>
      <c r="AF5" s="20"/>
      <c r="AG5" s="3"/>
      <c r="AH5" s="3"/>
      <c r="AI5" s="3"/>
      <c r="AJ5" s="3"/>
    </row>
    <row r="6" spans="1:36" ht="12.75">
      <c r="A6" s="130"/>
      <c r="B6" s="92"/>
      <c r="C6" s="92"/>
      <c r="D6" s="92"/>
      <c r="E6" s="92"/>
      <c r="F6" s="92"/>
      <c r="G6" s="154"/>
      <c r="H6" s="154"/>
      <c r="I6" s="156"/>
      <c r="J6" s="29"/>
      <c r="K6" s="33">
        <v>2.5</v>
      </c>
      <c r="L6" s="40"/>
      <c r="M6" s="47" t="s">
        <v>122</v>
      </c>
      <c r="N6" s="250">
        <f>0.4*$B$24^2*SQRT((29000*$D$13*$B$26)/$B$24)/2</f>
        <v>17.682088394756995</v>
      </c>
      <c r="R6" s="29"/>
      <c r="S6" s="29"/>
      <c r="T6" s="29"/>
      <c r="U6" s="29"/>
      <c r="V6" s="79"/>
      <c r="W6" s="79"/>
      <c r="X6" s="79"/>
      <c r="Y6" s="252" t="s">
        <v>133</v>
      </c>
      <c r="Z6" s="254">
        <v>44</v>
      </c>
      <c r="AA6" s="255">
        <v>1.03</v>
      </c>
      <c r="AB6" s="254">
        <v>15.9</v>
      </c>
      <c r="AC6" s="255">
        <v>1.77</v>
      </c>
      <c r="AD6" s="260">
        <v>2.56</v>
      </c>
      <c r="AF6" s="77"/>
      <c r="AG6" s="3"/>
      <c r="AH6" s="3"/>
      <c r="AI6" s="3"/>
      <c r="AJ6" s="3"/>
    </row>
    <row r="7" spans="1:36" ht="12.75">
      <c r="A7" s="51" t="s">
        <v>25</v>
      </c>
      <c r="B7" s="92"/>
      <c r="C7" s="92"/>
      <c r="D7" s="92"/>
      <c r="E7" s="154"/>
      <c r="F7" s="92"/>
      <c r="G7" s="154"/>
      <c r="H7" s="154"/>
      <c r="I7" s="155"/>
      <c r="J7" s="29"/>
      <c r="K7" s="26">
        <v>3</v>
      </c>
      <c r="L7" s="40"/>
      <c r="M7" s="47" t="s">
        <v>123</v>
      </c>
      <c r="N7" s="34">
        <f>0.4*$B$24^2*(3/$B$23)*($B$24/$B$26)^1.5*SQRT((29000*$D$13*$B$26)/($B$24))/2</f>
        <v>2.0841862674453577</v>
      </c>
      <c r="R7" s="29"/>
      <c r="S7" s="29"/>
      <c r="T7" s="29"/>
      <c r="U7" s="29"/>
      <c r="V7" s="79"/>
      <c r="W7" s="79"/>
      <c r="X7" s="79"/>
      <c r="Y7" s="253" t="s">
        <v>134</v>
      </c>
      <c r="Z7" s="254">
        <v>43.6</v>
      </c>
      <c r="AA7" s="256">
        <v>0.865</v>
      </c>
      <c r="AB7" s="254">
        <v>15.8</v>
      </c>
      <c r="AC7" s="255">
        <v>1.58</v>
      </c>
      <c r="AD7" s="260">
        <v>2.36</v>
      </c>
      <c r="AF7" s="63"/>
      <c r="AG7" s="3"/>
      <c r="AH7" s="3"/>
      <c r="AI7" s="3"/>
      <c r="AJ7" s="2"/>
    </row>
    <row r="8" spans="1:36" ht="12.75">
      <c r="A8" s="17"/>
      <c r="B8" s="92"/>
      <c r="C8" s="92"/>
      <c r="D8" s="92"/>
      <c r="E8" s="92"/>
      <c r="F8" s="92"/>
      <c r="G8" s="280" t="str">
        <f>"x="&amp;$D$18&amp;" in."</f>
        <v>x=4 in.</v>
      </c>
      <c r="H8" s="92"/>
      <c r="I8" s="214"/>
      <c r="J8" s="29"/>
      <c r="K8" s="33">
        <v>3.5</v>
      </c>
      <c r="L8" s="40"/>
      <c r="M8" s="47" t="s">
        <v>124</v>
      </c>
      <c r="N8" s="250">
        <f>0.4*$B$24^2*(1-0.2*($B$24/$B$26)^1.5)*SQRT((29000*$D$13*$B$26)/($B$24))/2</f>
        <v>15.500640101497522</v>
      </c>
      <c r="R8" s="29"/>
      <c r="S8" s="29"/>
      <c r="T8" s="29"/>
      <c r="U8" s="29"/>
      <c r="V8" s="79"/>
      <c r="W8" s="79"/>
      <c r="X8" s="79"/>
      <c r="Y8" s="253" t="s">
        <v>135</v>
      </c>
      <c r="Z8" s="254">
        <v>43.3</v>
      </c>
      <c r="AA8" s="256">
        <v>0.785</v>
      </c>
      <c r="AB8" s="254">
        <v>15.8</v>
      </c>
      <c r="AC8" s="255">
        <v>1.42</v>
      </c>
      <c r="AD8" s="260">
        <v>2.2</v>
      </c>
      <c r="AE8" s="29"/>
      <c r="AF8" s="63"/>
      <c r="AG8" s="3"/>
      <c r="AH8" s="3"/>
      <c r="AI8" s="3"/>
      <c r="AJ8" s="2"/>
    </row>
    <row r="9" spans="1:36" ht="12.75">
      <c r="A9" s="51" t="s">
        <v>34</v>
      </c>
      <c r="B9" s="37"/>
      <c r="C9" s="37"/>
      <c r="D9" s="37"/>
      <c r="E9" s="37"/>
      <c r="F9" s="37"/>
      <c r="G9" s="37"/>
      <c r="H9" s="37"/>
      <c r="I9" s="38"/>
      <c r="J9" s="29"/>
      <c r="K9" s="33">
        <v>4</v>
      </c>
      <c r="L9" s="40"/>
      <c r="M9" s="47" t="s">
        <v>125</v>
      </c>
      <c r="N9" s="34">
        <f>0.4*$B$24^2*(4/$B$23)*($B$24/$B$26)^1.5*SQRT((29000*$D$13*$B$26)/($B$24))/2</f>
        <v>2.7789150232604767</v>
      </c>
      <c r="R9" s="29"/>
      <c r="S9" s="29"/>
      <c r="T9" s="29"/>
      <c r="U9" s="29"/>
      <c r="V9" s="79"/>
      <c r="W9" s="79"/>
      <c r="X9" s="79"/>
      <c r="Y9" s="253" t="s">
        <v>136</v>
      </c>
      <c r="Z9" s="254">
        <v>42.9</v>
      </c>
      <c r="AA9" s="256">
        <v>0.71</v>
      </c>
      <c r="AB9" s="254">
        <v>15.8</v>
      </c>
      <c r="AC9" s="255">
        <v>1.22</v>
      </c>
      <c r="AD9" s="260">
        <v>2.01</v>
      </c>
      <c r="AF9" s="63"/>
      <c r="AJ9" s="7"/>
    </row>
    <row r="10" spans="1:36" ht="12.75">
      <c r="A10" s="57"/>
      <c r="B10" s="37"/>
      <c r="C10" s="46" t="s">
        <v>16</v>
      </c>
      <c r="D10" s="147" t="s">
        <v>483</v>
      </c>
      <c r="E10" s="15"/>
      <c r="F10" s="15"/>
      <c r="G10" s="15"/>
      <c r="H10" s="15"/>
      <c r="I10" s="16"/>
      <c r="J10" s="20"/>
      <c r="K10" s="33">
        <v>4.5</v>
      </c>
      <c r="L10" s="40"/>
      <c r="R10" s="29"/>
      <c r="S10" s="29"/>
      <c r="T10" s="29"/>
      <c r="U10" s="29"/>
      <c r="V10" s="79"/>
      <c r="W10" s="79"/>
      <c r="X10" s="79"/>
      <c r="Y10" s="253" t="s">
        <v>137</v>
      </c>
      <c r="Z10" s="254">
        <v>43</v>
      </c>
      <c r="AA10" s="255">
        <v>1.79</v>
      </c>
      <c r="AB10" s="254">
        <v>16.7</v>
      </c>
      <c r="AC10" s="255">
        <v>3.23</v>
      </c>
      <c r="AD10" s="260">
        <v>4.41</v>
      </c>
      <c r="AF10" s="63"/>
      <c r="AJ10" s="7"/>
    </row>
    <row r="11" spans="1:51" ht="12.75">
      <c r="A11" s="51" t="s">
        <v>35</v>
      </c>
      <c r="B11" s="37"/>
      <c r="C11" s="46"/>
      <c r="D11" s="10"/>
      <c r="E11" s="15"/>
      <c r="F11" s="37"/>
      <c r="G11" s="37"/>
      <c r="H11" s="37"/>
      <c r="I11" s="38"/>
      <c r="K11" s="33">
        <v>5</v>
      </c>
      <c r="L11" s="40"/>
      <c r="M11" s="22" t="s">
        <v>59</v>
      </c>
      <c r="O11" s="21"/>
      <c r="P11" s="23"/>
      <c r="R11" s="29"/>
      <c r="S11" s="29"/>
      <c r="T11" s="29"/>
      <c r="U11" s="29"/>
      <c r="V11" s="79"/>
      <c r="W11" s="79"/>
      <c r="X11" s="79"/>
      <c r="Y11" s="253" t="s">
        <v>138</v>
      </c>
      <c r="Z11" s="254">
        <v>42.1</v>
      </c>
      <c r="AA11" s="255">
        <v>1.54</v>
      </c>
      <c r="AB11" s="254">
        <v>16.4</v>
      </c>
      <c r="AC11" s="255">
        <v>2.76</v>
      </c>
      <c r="AD11" s="260">
        <v>3.94</v>
      </c>
      <c r="AF11" s="63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</row>
    <row r="12" spans="1:36" ht="12.75">
      <c r="A12" s="57"/>
      <c r="B12" s="37"/>
      <c r="C12" s="36" t="s">
        <v>66</v>
      </c>
      <c r="D12" s="218">
        <v>35</v>
      </c>
      <c r="E12" s="185" t="s">
        <v>8</v>
      </c>
      <c r="F12" s="150" t="s">
        <v>36</v>
      </c>
      <c r="G12" s="37"/>
      <c r="H12" s="178" t="str">
        <f>$D$10&amp;"     "</f>
        <v>w16x26     </v>
      </c>
      <c r="I12" s="152" t="str">
        <f>"     d="&amp;$B$23</f>
        <v>     d=15.7</v>
      </c>
      <c r="K12" s="33">
        <v>5.5</v>
      </c>
      <c r="L12" s="40"/>
      <c r="M12" s="47" t="s">
        <v>13</v>
      </c>
      <c r="N12" s="34">
        <f>IF(($B$23-2*($B$26+$B$27))&lt;=2.24*SQRT(29000/$D$13),0.6*$D$13/1.5,"N.A.")</f>
        <v>20</v>
      </c>
      <c r="O12" s="23" t="s">
        <v>10</v>
      </c>
      <c r="P12" s="79" t="s">
        <v>116</v>
      </c>
      <c r="Q12" s="29"/>
      <c r="R12" s="29"/>
      <c r="T12" s="29"/>
      <c r="U12" s="29"/>
      <c r="V12" s="79"/>
      <c r="W12" s="79"/>
      <c r="X12" s="79"/>
      <c r="Y12" s="253" t="s">
        <v>139</v>
      </c>
      <c r="Z12" s="254">
        <v>41.3</v>
      </c>
      <c r="AA12" s="255">
        <v>1.34</v>
      </c>
      <c r="AB12" s="254">
        <v>16.2</v>
      </c>
      <c r="AC12" s="255">
        <v>2.36</v>
      </c>
      <c r="AD12" s="260">
        <v>3.54</v>
      </c>
      <c r="AF12" s="63"/>
      <c r="AG12" s="179" t="s">
        <v>0</v>
      </c>
      <c r="AH12" s="139"/>
      <c r="AI12" s="139"/>
      <c r="AJ12" s="180"/>
    </row>
    <row r="13" spans="1:36" ht="12.75">
      <c r="A13" s="17"/>
      <c r="B13" s="15"/>
      <c r="C13" s="46" t="s">
        <v>20</v>
      </c>
      <c r="D13" s="189">
        <v>50</v>
      </c>
      <c r="E13" s="185" t="s">
        <v>10</v>
      </c>
      <c r="F13" s="37"/>
      <c r="G13" s="151" t="str">
        <f>"              k="&amp;$B$27</f>
        <v>              k=0.747</v>
      </c>
      <c r="H13" s="37"/>
      <c r="I13" s="38"/>
      <c r="K13" s="26">
        <v>6</v>
      </c>
      <c r="L13" s="40"/>
      <c r="M13" s="47" t="s">
        <v>28</v>
      </c>
      <c r="N13" s="34">
        <f>$N$12*($B$23*$B$24)</f>
        <v>78.5</v>
      </c>
      <c r="O13" s="23" t="s">
        <v>8</v>
      </c>
      <c r="P13" s="79" t="s">
        <v>60</v>
      </c>
      <c r="T13" s="29"/>
      <c r="U13" s="29"/>
      <c r="V13" s="79"/>
      <c r="W13" s="79"/>
      <c r="X13" s="79"/>
      <c r="Y13" s="253" t="s">
        <v>140</v>
      </c>
      <c r="Z13" s="254">
        <v>41</v>
      </c>
      <c r="AA13" s="255">
        <v>1.22</v>
      </c>
      <c r="AB13" s="254">
        <v>16.1</v>
      </c>
      <c r="AC13" s="255">
        <v>2.2</v>
      </c>
      <c r="AD13" s="260">
        <v>3.38</v>
      </c>
      <c r="AE13" s="29"/>
      <c r="AF13" s="80"/>
      <c r="AG13" s="46" t="s">
        <v>49</v>
      </c>
      <c r="AH13" s="122">
        <f>$N$26</f>
        <v>37.73196028758134</v>
      </c>
      <c r="AI13" s="131" t="s">
        <v>8</v>
      </c>
      <c r="AJ13" s="7"/>
    </row>
    <row r="14" spans="1:51" ht="12.75">
      <c r="A14" s="57"/>
      <c r="B14" s="37"/>
      <c r="C14" s="46" t="s">
        <v>64</v>
      </c>
      <c r="D14" s="132">
        <v>8</v>
      </c>
      <c r="E14" s="185" t="s">
        <v>14</v>
      </c>
      <c r="F14" s="37"/>
      <c r="G14" s="149"/>
      <c r="H14" s="37"/>
      <c r="I14" s="38"/>
      <c r="K14" s="26"/>
      <c r="L14" s="40"/>
      <c r="Q14" s="29"/>
      <c r="T14" s="29"/>
      <c r="U14" s="29"/>
      <c r="V14" s="79"/>
      <c r="W14" s="79"/>
      <c r="X14" s="79"/>
      <c r="Y14" s="253" t="s">
        <v>141</v>
      </c>
      <c r="Z14" s="254">
        <v>40.6</v>
      </c>
      <c r="AA14" s="255">
        <v>1.16</v>
      </c>
      <c r="AB14" s="254">
        <v>16.1</v>
      </c>
      <c r="AC14" s="255">
        <v>2.05</v>
      </c>
      <c r="AD14" s="260">
        <v>3.23</v>
      </c>
      <c r="AF14" s="63"/>
      <c r="AG14" s="40"/>
      <c r="AH14" s="45"/>
      <c r="AI14" s="45"/>
      <c r="AJ14" s="35"/>
      <c r="AK14" s="198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</row>
    <row r="15" spans="1:37" ht="12.75">
      <c r="A15" s="17"/>
      <c r="B15" s="15"/>
      <c r="C15" s="46" t="s">
        <v>65</v>
      </c>
      <c r="D15" s="219">
        <v>8</v>
      </c>
      <c r="E15" s="185" t="s">
        <v>14</v>
      </c>
      <c r="F15" s="76"/>
      <c r="G15" s="37"/>
      <c r="H15" s="151" t="str">
        <f>"             tf="&amp;$B$26</f>
        <v>             tf=0.345</v>
      </c>
      <c r="I15" s="38"/>
      <c r="K15" s="26"/>
      <c r="L15" s="47"/>
      <c r="M15" s="61" t="s">
        <v>24</v>
      </c>
      <c r="S15" s="29"/>
      <c r="T15" s="29"/>
      <c r="U15" s="29"/>
      <c r="V15" s="29"/>
      <c r="W15" s="79"/>
      <c r="X15" s="79"/>
      <c r="Y15" s="253" t="s">
        <v>142</v>
      </c>
      <c r="Z15" s="254">
        <v>40.6</v>
      </c>
      <c r="AA15" s="255">
        <v>1.12</v>
      </c>
      <c r="AB15" s="254">
        <v>16</v>
      </c>
      <c r="AC15" s="255">
        <v>2.01</v>
      </c>
      <c r="AD15" s="260">
        <v>3.19</v>
      </c>
      <c r="AF15" s="80"/>
      <c r="AG15" s="200" t="s">
        <v>74</v>
      </c>
      <c r="AH15" s="198"/>
      <c r="AI15" s="198"/>
      <c r="AJ15" s="84"/>
      <c r="AK15" s="198"/>
    </row>
    <row r="16" spans="1:36" ht="12.75">
      <c r="A16" s="17"/>
      <c r="B16" s="15"/>
      <c r="C16" s="36" t="s">
        <v>63</v>
      </c>
      <c r="D16" s="220">
        <v>36</v>
      </c>
      <c r="E16" s="185" t="s">
        <v>10</v>
      </c>
      <c r="F16" s="153" t="str">
        <f>"             R="&amp;$D$12</f>
        <v>             R=35</v>
      </c>
      <c r="G16" s="15"/>
      <c r="H16" s="37"/>
      <c r="I16" s="38"/>
      <c r="K16" s="26"/>
      <c r="L16" s="29"/>
      <c r="M16" s="47" t="s">
        <v>460</v>
      </c>
      <c r="N16" s="4">
        <f>IF($D$18&lt;$B$23,$N$4+$D$14*$N$5,"N.A.")</f>
        <v>82.22916666666667</v>
      </c>
      <c r="O16" s="79" t="s">
        <v>8</v>
      </c>
      <c r="P16" s="40" t="s">
        <v>466</v>
      </c>
      <c r="Q16" s="29"/>
      <c r="S16" s="29"/>
      <c r="T16" s="29"/>
      <c r="U16" s="29"/>
      <c r="V16" s="29"/>
      <c r="W16" s="79"/>
      <c r="X16" s="79"/>
      <c r="Y16" s="253" t="s">
        <v>143</v>
      </c>
      <c r="Z16" s="254">
        <v>40.2</v>
      </c>
      <c r="AA16" s="255">
        <v>1</v>
      </c>
      <c r="AB16" s="254">
        <v>15.9</v>
      </c>
      <c r="AC16" s="255">
        <v>1.81</v>
      </c>
      <c r="AD16" s="260">
        <v>2.99</v>
      </c>
      <c r="AF16" s="63"/>
      <c r="AG16" s="46" t="s">
        <v>70</v>
      </c>
      <c r="AH16" s="201">
        <f>$N$32</f>
        <v>0.7320086629139156</v>
      </c>
      <c r="AI16" s="131" t="s">
        <v>14</v>
      </c>
      <c r="AJ16" s="199"/>
    </row>
    <row r="17" spans="1:51" ht="12.75">
      <c r="A17" s="17"/>
      <c r="B17" s="15"/>
      <c r="C17" s="36" t="s">
        <v>56</v>
      </c>
      <c r="D17" s="245">
        <v>3</v>
      </c>
      <c r="E17" s="184" t="s">
        <v>51</v>
      </c>
      <c r="F17" s="204" t="str">
        <f>"              N="&amp;$D$14</f>
        <v>              N=8</v>
      </c>
      <c r="G17" s="195"/>
      <c r="H17" s="37"/>
      <c r="I17" s="38"/>
      <c r="K17" s="26"/>
      <c r="L17" s="29"/>
      <c r="M17" s="47" t="s">
        <v>461</v>
      </c>
      <c r="N17" s="4" t="str">
        <f>IF($D$18&lt;$B$23,"N.A.",2*$N$4+$D$14*$N$5)</f>
        <v>N.A.</v>
      </c>
      <c r="O17" s="79" t="s">
        <v>8</v>
      </c>
      <c r="P17" s="21" t="s">
        <v>465</v>
      </c>
      <c r="S17" s="29"/>
      <c r="T17" s="29"/>
      <c r="U17" s="29"/>
      <c r="V17" s="29"/>
      <c r="W17" s="79"/>
      <c r="X17" s="79"/>
      <c r="Y17" s="253" t="s">
        <v>144</v>
      </c>
      <c r="Z17" s="254">
        <v>39.8</v>
      </c>
      <c r="AA17" s="256">
        <v>0.93</v>
      </c>
      <c r="AB17" s="254">
        <v>15.8</v>
      </c>
      <c r="AC17" s="255">
        <v>1.65</v>
      </c>
      <c r="AD17" s="260">
        <v>2.83</v>
      </c>
      <c r="AF17" s="45"/>
      <c r="AG17" s="198"/>
      <c r="AH17" s="180"/>
      <c r="AI17" s="182"/>
      <c r="AJ17" s="182"/>
      <c r="AK17" s="197"/>
      <c r="AL17" s="197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</row>
    <row r="18" spans="1:38" ht="12.75">
      <c r="A18" s="17"/>
      <c r="B18" s="15"/>
      <c r="C18" s="36" t="s">
        <v>459</v>
      </c>
      <c r="D18" s="246">
        <f>$D$14/2</f>
        <v>4</v>
      </c>
      <c r="E18" s="184" t="s">
        <v>14</v>
      </c>
      <c r="F18" s="47"/>
      <c r="G18" s="37"/>
      <c r="H18" s="67"/>
      <c r="I18" s="71"/>
      <c r="K18" s="26"/>
      <c r="L18" s="47"/>
      <c r="M18" s="47" t="s">
        <v>7</v>
      </c>
      <c r="N18" s="4">
        <f>MIN($N$16:$N$17)</f>
        <v>82.22916666666667</v>
      </c>
      <c r="O18" s="79" t="s">
        <v>8</v>
      </c>
      <c r="P18" s="21" t="s">
        <v>467</v>
      </c>
      <c r="R18" s="19"/>
      <c r="W18" s="79"/>
      <c r="X18" s="79"/>
      <c r="Y18" s="253" t="s">
        <v>145</v>
      </c>
      <c r="Z18" s="254">
        <v>39.7</v>
      </c>
      <c r="AA18" s="256">
        <v>0.83</v>
      </c>
      <c r="AB18" s="254">
        <v>15.8</v>
      </c>
      <c r="AC18" s="255">
        <v>1.58</v>
      </c>
      <c r="AD18" s="260">
        <v>2.76</v>
      </c>
      <c r="AF18" s="63"/>
      <c r="AG18" s="200" t="s">
        <v>88</v>
      </c>
      <c r="AH18" s="198"/>
      <c r="AI18" s="198"/>
      <c r="AJ18" s="182"/>
      <c r="AK18" s="84"/>
      <c r="AL18" s="197"/>
    </row>
    <row r="19" spans="1:38" ht="12.75">
      <c r="A19" s="17"/>
      <c r="B19" s="15"/>
      <c r="C19" s="46" t="s">
        <v>58</v>
      </c>
      <c r="D19" s="187">
        <v>80</v>
      </c>
      <c r="E19" s="184" t="s">
        <v>54</v>
      </c>
      <c r="F19" s="15"/>
      <c r="G19" s="15"/>
      <c r="H19" s="37"/>
      <c r="I19" s="248"/>
      <c r="J19" s="37"/>
      <c r="K19" s="26"/>
      <c r="L19" s="47"/>
      <c r="M19" s="47" t="s">
        <v>462</v>
      </c>
      <c r="N19" s="4" t="str">
        <f>IF($D$18&lt;$B$23/2,IF($D$14/$B$23&lt;=0.2,$N$6+$D$14*$N$7,"N.A."),"N.A.")</f>
        <v>N.A.</v>
      </c>
      <c r="O19" s="79" t="s">
        <v>8</v>
      </c>
      <c r="P19" s="40" t="s">
        <v>469</v>
      </c>
      <c r="W19" s="29"/>
      <c r="X19" s="29"/>
      <c r="Y19" s="253" t="s">
        <v>146</v>
      </c>
      <c r="Z19" s="254">
        <v>39.4</v>
      </c>
      <c r="AA19" s="256">
        <v>0.75</v>
      </c>
      <c r="AB19" s="254">
        <v>15.8</v>
      </c>
      <c r="AC19" s="255">
        <v>1.42</v>
      </c>
      <c r="AD19" s="260">
        <v>2.6</v>
      </c>
      <c r="AE19" s="29"/>
      <c r="AF19" s="63"/>
      <c r="AG19" s="46" t="s">
        <v>89</v>
      </c>
      <c r="AH19" s="215">
        <f>$D$12/($B$25*0.35*$D$17)</f>
        <v>6.060606060606061</v>
      </c>
      <c r="AI19" s="131" t="s">
        <v>14</v>
      </c>
      <c r="AJ19" s="84" t="s">
        <v>91</v>
      </c>
      <c r="AK19" s="197"/>
      <c r="AL19" s="197"/>
    </row>
    <row r="20" spans="1:36" ht="12.75">
      <c r="A20" s="17"/>
      <c r="B20" s="15"/>
      <c r="C20" s="15"/>
      <c r="D20" s="15"/>
      <c r="E20" s="15"/>
      <c r="F20" s="15"/>
      <c r="G20" s="15"/>
      <c r="H20" s="15"/>
      <c r="I20" s="16"/>
      <c r="J20" s="15"/>
      <c r="K20" s="26"/>
      <c r="L20" s="47"/>
      <c r="M20" s="47" t="s">
        <v>463</v>
      </c>
      <c r="N20" s="4">
        <f>IF($D$18&lt;$B$23/2,IF($D$14/$B$23&gt;0.2,$N$8+$D$14*$N$9,"N.A."),"N.A.")</f>
        <v>37.73196028758134</v>
      </c>
      <c r="O20" s="79" t="s">
        <v>8</v>
      </c>
      <c r="P20" s="40" t="s">
        <v>470</v>
      </c>
      <c r="W20" s="29"/>
      <c r="X20" s="29"/>
      <c r="Y20" s="253" t="s">
        <v>147</v>
      </c>
      <c r="Z20" s="254">
        <v>39</v>
      </c>
      <c r="AA20" s="256">
        <v>0.65</v>
      </c>
      <c r="AB20" s="254">
        <v>15.8</v>
      </c>
      <c r="AC20" s="255">
        <v>1.22</v>
      </c>
      <c r="AD20" s="260">
        <v>2.4</v>
      </c>
      <c r="AF20" s="45"/>
      <c r="AG20" s="46" t="s">
        <v>90</v>
      </c>
      <c r="AH20" s="216">
        <f>$N$38</f>
        <v>0.4612570357515461</v>
      </c>
      <c r="AI20" s="131" t="s">
        <v>14</v>
      </c>
      <c r="AJ20" s="45"/>
    </row>
    <row r="21" spans="1:36" ht="12.75">
      <c r="A21" s="51" t="s">
        <v>30</v>
      </c>
      <c r="B21" s="37"/>
      <c r="C21" s="15"/>
      <c r="D21" s="15"/>
      <c r="E21" s="15"/>
      <c r="F21" s="15"/>
      <c r="G21" s="221" t="str">
        <f>$D$10</f>
        <v>w16x26</v>
      </c>
      <c r="H21" s="15"/>
      <c r="I21" s="249" t="str">
        <f>"k="&amp;$B$27</f>
        <v>k=0.747</v>
      </c>
      <c r="J21" s="15"/>
      <c r="K21" s="26"/>
      <c r="L21" s="47"/>
      <c r="M21" s="47" t="s">
        <v>464</v>
      </c>
      <c r="N21" s="4" t="str">
        <f>IF($D$18&lt;$B$23/2,"N.A.",2*($N$6+$D$14*$N$7))</f>
        <v>N.A.</v>
      </c>
      <c r="O21" s="79" t="s">
        <v>8</v>
      </c>
      <c r="P21" s="40" t="s">
        <v>480</v>
      </c>
      <c r="W21" s="29"/>
      <c r="X21" s="29"/>
      <c r="Y21" s="253" t="s">
        <v>148</v>
      </c>
      <c r="Z21" s="254">
        <v>38.7</v>
      </c>
      <c r="AA21" s="256">
        <v>0.65</v>
      </c>
      <c r="AB21" s="254">
        <v>15.8</v>
      </c>
      <c r="AC21" s="255">
        <v>1.07</v>
      </c>
      <c r="AD21" s="260">
        <v>2.25</v>
      </c>
      <c r="AF21" s="63"/>
      <c r="AG21" s="40"/>
      <c r="AH21" s="45"/>
      <c r="AI21" s="45"/>
      <c r="AJ21" s="7"/>
    </row>
    <row r="22" spans="1:36" ht="12.75">
      <c r="A22" s="53" t="s">
        <v>31</v>
      </c>
      <c r="B22" s="37"/>
      <c r="C22" s="15"/>
      <c r="D22" s="42" t="s">
        <v>132</v>
      </c>
      <c r="E22" s="15"/>
      <c r="F22" s="15"/>
      <c r="G22" s="15"/>
      <c r="H22" s="15"/>
      <c r="I22" s="16"/>
      <c r="J22" s="15"/>
      <c r="K22" s="26"/>
      <c r="L22" s="47"/>
      <c r="M22" s="47" t="s">
        <v>29</v>
      </c>
      <c r="N22" s="4">
        <f>MIN(N19:N21)</f>
        <v>37.73196028758134</v>
      </c>
      <c r="O22" s="79" t="s">
        <v>8</v>
      </c>
      <c r="P22" s="21" t="s">
        <v>468</v>
      </c>
      <c r="T22" s="29"/>
      <c r="U22" s="29"/>
      <c r="V22" s="29"/>
      <c r="W22" s="29"/>
      <c r="X22" s="29"/>
      <c r="Y22" s="253" t="s">
        <v>149</v>
      </c>
      <c r="Z22" s="254">
        <v>41.6</v>
      </c>
      <c r="AA22" s="255">
        <v>1.42</v>
      </c>
      <c r="AB22" s="254">
        <v>12.4</v>
      </c>
      <c r="AC22" s="255">
        <v>2.52</v>
      </c>
      <c r="AD22" s="260">
        <v>3.7</v>
      </c>
      <c r="AF22" s="63"/>
      <c r="AG22" s="40"/>
      <c r="AH22" s="45"/>
      <c r="AI22" s="45"/>
      <c r="AJ22" s="7"/>
    </row>
    <row r="23" spans="1:36" ht="12.75">
      <c r="A23" s="53" t="s">
        <v>32</v>
      </c>
      <c r="B23" s="133">
        <f>VLOOKUP($D$10,$Y$6:$AD$336,2,FALSE)</f>
        <v>15.7</v>
      </c>
      <c r="C23" s="100" t="s">
        <v>14</v>
      </c>
      <c r="D23" s="251" t="s">
        <v>126</v>
      </c>
      <c r="E23" s="134">
        <f>$N$4</f>
        <v>15.5625</v>
      </c>
      <c r="F23" s="281" t="s">
        <v>119</v>
      </c>
      <c r="G23" s="15"/>
      <c r="H23" s="15"/>
      <c r="I23" s="249" t="str">
        <f>"               tp="&amp;ROUND($B$59,3)</f>
        <v>               tp=0.732</v>
      </c>
      <c r="J23" s="15"/>
      <c r="K23" s="26"/>
      <c r="L23" s="41"/>
      <c r="M23" s="47" t="s">
        <v>71</v>
      </c>
      <c r="N23" s="4">
        <f>MIN($N$18,$N$22)</f>
        <v>37.73196028758134</v>
      </c>
      <c r="O23" s="79" t="s">
        <v>8</v>
      </c>
      <c r="P23" s="40" t="s">
        <v>87</v>
      </c>
      <c r="Q23" s="29"/>
      <c r="T23" s="29"/>
      <c r="U23" s="29"/>
      <c r="V23" s="79"/>
      <c r="W23" s="79"/>
      <c r="X23" s="79"/>
      <c r="Y23" s="253" t="s">
        <v>150</v>
      </c>
      <c r="Z23" s="254">
        <v>40.8</v>
      </c>
      <c r="AA23" s="255">
        <v>1.22</v>
      </c>
      <c r="AB23" s="254">
        <v>12.2</v>
      </c>
      <c r="AC23" s="255">
        <v>2.13</v>
      </c>
      <c r="AD23" s="260">
        <v>3.31</v>
      </c>
      <c r="AF23" s="63"/>
      <c r="AG23" s="40"/>
      <c r="AH23" s="45"/>
      <c r="AI23" s="45"/>
      <c r="AJ23" s="7"/>
    </row>
    <row r="24" spans="1:36" ht="12.75">
      <c r="A24" s="53" t="s">
        <v>27</v>
      </c>
      <c r="B24" s="137">
        <f>VLOOKUP($D$10,$Y$6:$AD$336,3,FALSE)</f>
        <v>0.25</v>
      </c>
      <c r="C24" s="100" t="s">
        <v>14</v>
      </c>
      <c r="D24" s="251" t="s">
        <v>127</v>
      </c>
      <c r="E24" s="135">
        <f>$N$5</f>
        <v>8.333333333333334</v>
      </c>
      <c r="F24" s="281" t="s">
        <v>119</v>
      </c>
      <c r="G24" s="15"/>
      <c r="H24" s="15"/>
      <c r="I24" s="16"/>
      <c r="J24" s="15"/>
      <c r="K24" s="26"/>
      <c r="L24" s="41"/>
      <c r="T24" s="29"/>
      <c r="U24" s="29"/>
      <c r="V24" s="79"/>
      <c r="W24" s="79"/>
      <c r="X24" s="79"/>
      <c r="Y24" s="253" t="s">
        <v>151</v>
      </c>
      <c r="Z24" s="254">
        <v>40.8</v>
      </c>
      <c r="AA24" s="255">
        <v>1.18</v>
      </c>
      <c r="AB24" s="254">
        <v>12.1</v>
      </c>
      <c r="AC24" s="255">
        <v>2.13</v>
      </c>
      <c r="AD24" s="260">
        <v>3.31</v>
      </c>
      <c r="AF24" s="27"/>
      <c r="AG24" s="31"/>
      <c r="AJ24" s="7"/>
    </row>
    <row r="25" spans="1:36" ht="12.75">
      <c r="A25" s="53" t="s">
        <v>21</v>
      </c>
      <c r="B25" s="137">
        <f>VLOOKUP($D$10,$Y$6:$AD$336,4,FALSE)</f>
        <v>5.5</v>
      </c>
      <c r="C25" s="100" t="s">
        <v>14</v>
      </c>
      <c r="D25" s="251" t="s">
        <v>128</v>
      </c>
      <c r="E25" s="135">
        <f>$N$6</f>
        <v>17.682088394756995</v>
      </c>
      <c r="F25" s="281" t="s">
        <v>120</v>
      </c>
      <c r="G25" s="15"/>
      <c r="H25" s="15"/>
      <c r="I25" s="16"/>
      <c r="J25" s="17"/>
      <c r="K25" s="26"/>
      <c r="L25" s="41"/>
      <c r="M25" s="69" t="s">
        <v>52</v>
      </c>
      <c r="Q25" s="29"/>
      <c r="R25" s="29"/>
      <c r="S25" s="29"/>
      <c r="T25" s="29"/>
      <c r="U25" s="29"/>
      <c r="V25" s="79"/>
      <c r="W25" s="79"/>
      <c r="X25" s="79"/>
      <c r="Y25" s="253" t="s">
        <v>152</v>
      </c>
      <c r="Z25" s="254">
        <v>40.4</v>
      </c>
      <c r="AA25" s="255">
        <v>1.06</v>
      </c>
      <c r="AB25" s="254">
        <v>12</v>
      </c>
      <c r="AC25" s="255">
        <v>1.93</v>
      </c>
      <c r="AD25" s="260">
        <v>3.11</v>
      </c>
      <c r="AF25" s="27"/>
      <c r="AJ25" s="7"/>
    </row>
    <row r="26" spans="1:36" ht="12.75">
      <c r="A26" s="53" t="s">
        <v>26</v>
      </c>
      <c r="B26" s="137">
        <f>VLOOKUP($D$10,$Y$6:$AD$336,5,FALSE)</f>
        <v>0.345</v>
      </c>
      <c r="C26" s="100" t="s">
        <v>14</v>
      </c>
      <c r="D26" s="251" t="s">
        <v>129</v>
      </c>
      <c r="E26" s="135">
        <f>$N$7</f>
        <v>2.0841862674453577</v>
      </c>
      <c r="F26" s="281" t="s">
        <v>120</v>
      </c>
      <c r="G26" s="15"/>
      <c r="H26" s="196" t="str">
        <f>"B="&amp;$D$15</f>
        <v>B=8</v>
      </c>
      <c r="I26" s="16"/>
      <c r="J26" s="17"/>
      <c r="K26" s="26"/>
      <c r="L26" s="41"/>
      <c r="M26" s="47" t="s">
        <v>50</v>
      </c>
      <c r="N26" s="9">
        <f>MIN($N$13,$N$23)</f>
        <v>37.73196028758134</v>
      </c>
      <c r="O26" s="40" t="s">
        <v>8</v>
      </c>
      <c r="P26" s="19" t="s">
        <v>72</v>
      </c>
      <c r="W26" s="123"/>
      <c r="X26" s="123"/>
      <c r="Y26" s="253" t="s">
        <v>153</v>
      </c>
      <c r="Z26" s="257">
        <v>40.2</v>
      </c>
      <c r="AA26" s="255">
        <v>1.03</v>
      </c>
      <c r="AB26" s="254">
        <v>12</v>
      </c>
      <c r="AC26" s="255">
        <v>1.81</v>
      </c>
      <c r="AD26" s="260">
        <v>2.99</v>
      </c>
      <c r="AF26" s="27"/>
      <c r="AJ26" s="7"/>
    </row>
    <row r="27" spans="1:36" ht="12.75">
      <c r="A27" s="176" t="s">
        <v>1</v>
      </c>
      <c r="B27" s="188">
        <f>VLOOKUP($D$10,$Y$6:$AD$336,6,FALSE)</f>
        <v>0.747</v>
      </c>
      <c r="C27" s="100" t="s">
        <v>14</v>
      </c>
      <c r="D27" s="251" t="s">
        <v>130</v>
      </c>
      <c r="E27" s="135">
        <f>$N$8</f>
        <v>15.500640101497522</v>
      </c>
      <c r="F27" s="281" t="s">
        <v>120</v>
      </c>
      <c r="G27" s="15"/>
      <c r="H27" s="15"/>
      <c r="I27" s="16"/>
      <c r="J27" s="17"/>
      <c r="K27" s="26"/>
      <c r="L27" s="41"/>
      <c r="S27" s="29"/>
      <c r="T27" s="29"/>
      <c r="U27" s="29"/>
      <c r="V27" s="123"/>
      <c r="W27" s="124"/>
      <c r="X27" s="124"/>
      <c r="Y27" s="253" t="s">
        <v>154</v>
      </c>
      <c r="Z27" s="257">
        <v>40</v>
      </c>
      <c r="AA27" s="256">
        <v>0.96</v>
      </c>
      <c r="AB27" s="254">
        <v>11.9</v>
      </c>
      <c r="AC27" s="255">
        <v>1.73</v>
      </c>
      <c r="AD27" s="260">
        <v>2.91</v>
      </c>
      <c r="AF27" s="27"/>
      <c r="AG27" s="31"/>
      <c r="AJ27" s="7"/>
    </row>
    <row r="28" spans="1:36" ht="12.75">
      <c r="A28" s="17"/>
      <c r="B28" s="15"/>
      <c r="C28" s="15"/>
      <c r="D28" s="251" t="s">
        <v>131</v>
      </c>
      <c r="E28" s="136">
        <f>$N$9</f>
        <v>2.7789150232604767</v>
      </c>
      <c r="F28" s="281" t="s">
        <v>120</v>
      </c>
      <c r="G28" s="205" t="s">
        <v>78</v>
      </c>
      <c r="H28" s="206"/>
      <c r="I28" s="207"/>
      <c r="J28" s="291"/>
      <c r="K28" s="26"/>
      <c r="L28" s="47"/>
      <c r="M28" s="191" t="s">
        <v>67</v>
      </c>
      <c r="S28" s="29"/>
      <c r="T28" s="29"/>
      <c r="U28" s="29"/>
      <c r="V28" s="124"/>
      <c r="W28" s="125"/>
      <c r="X28" s="125"/>
      <c r="Y28" s="253" t="s">
        <v>155</v>
      </c>
      <c r="Z28" s="257">
        <v>39.7</v>
      </c>
      <c r="AA28" s="256">
        <v>0.83</v>
      </c>
      <c r="AB28" s="254">
        <v>11.9</v>
      </c>
      <c r="AC28" s="255">
        <v>1.58</v>
      </c>
      <c r="AD28" s="260">
        <v>2.76</v>
      </c>
      <c r="AF28" s="27"/>
      <c r="AG28" s="31"/>
      <c r="AJ28" s="7"/>
    </row>
    <row r="29" spans="1:36" ht="12.75">
      <c r="A29" s="51" t="s">
        <v>15</v>
      </c>
      <c r="B29" s="15"/>
      <c r="C29" s="15"/>
      <c r="D29" s="15"/>
      <c r="E29" s="15"/>
      <c r="F29" s="15"/>
      <c r="G29" s="15"/>
      <c r="H29" s="15"/>
      <c r="I29" s="16"/>
      <c r="J29" s="290"/>
      <c r="K29" s="26"/>
      <c r="L29" s="47"/>
      <c r="M29" s="25" t="s">
        <v>68</v>
      </c>
      <c r="N29" s="32">
        <f>$D$12/($D$14*$D$15)</f>
        <v>0.546875</v>
      </c>
      <c r="O29" s="23" t="s">
        <v>10</v>
      </c>
      <c r="P29" s="21" t="s">
        <v>69</v>
      </c>
      <c r="S29" s="29"/>
      <c r="T29" s="29"/>
      <c r="U29" s="29"/>
      <c r="V29" s="125"/>
      <c r="W29" s="106"/>
      <c r="X29" s="106"/>
      <c r="Y29" s="253" t="s">
        <v>156</v>
      </c>
      <c r="Z29" s="257">
        <v>39.4</v>
      </c>
      <c r="AA29" s="256">
        <v>0.75</v>
      </c>
      <c r="AB29" s="254">
        <v>11.8</v>
      </c>
      <c r="AC29" s="255">
        <v>1.42</v>
      </c>
      <c r="AD29" s="260">
        <v>2.6</v>
      </c>
      <c r="AF29" s="27"/>
      <c r="AG29" s="31"/>
      <c r="AJ29" s="7"/>
    </row>
    <row r="30" spans="1:36" ht="13.5" customHeight="1">
      <c r="A30" s="17"/>
      <c r="B30" s="15"/>
      <c r="C30" s="15"/>
      <c r="D30" s="15"/>
      <c r="E30" s="42"/>
      <c r="F30" s="37"/>
      <c r="G30" s="37"/>
      <c r="H30" s="37"/>
      <c r="I30" s="38"/>
      <c r="J30" s="290"/>
      <c r="K30" s="26"/>
      <c r="L30" s="41"/>
      <c r="M30" s="25" t="s">
        <v>53</v>
      </c>
      <c r="N30" s="35">
        <f>MIN(0.34*$D$17*SQRT($D$19/($D$14*$D$15)),0.68*$D$17)</f>
        <v>1.140394668524893</v>
      </c>
      <c r="O30" s="23" t="s">
        <v>10</v>
      </c>
      <c r="P30" s="21" t="s">
        <v>475</v>
      </c>
      <c r="S30" s="29"/>
      <c r="T30" s="29"/>
      <c r="U30" s="29"/>
      <c r="V30" s="106"/>
      <c r="W30" s="106"/>
      <c r="X30" s="106"/>
      <c r="Y30" s="253" t="s">
        <v>157</v>
      </c>
      <c r="Z30" s="257">
        <v>39</v>
      </c>
      <c r="AA30" s="256">
        <v>0.65</v>
      </c>
      <c r="AB30" s="254">
        <v>11.8</v>
      </c>
      <c r="AC30" s="255">
        <v>1.2</v>
      </c>
      <c r="AD30" s="260">
        <v>2.38</v>
      </c>
      <c r="AF30" s="27"/>
      <c r="AG30" s="31"/>
      <c r="AJ30" s="7"/>
    </row>
    <row r="31" spans="1:36" ht="13.5" customHeight="1">
      <c r="A31" s="108" t="s">
        <v>62</v>
      </c>
      <c r="B31" s="37"/>
      <c r="C31" s="37"/>
      <c r="D31" s="42"/>
      <c r="E31" s="37"/>
      <c r="F31" s="67"/>
      <c r="G31" s="37"/>
      <c r="H31" s="37"/>
      <c r="I31" s="38"/>
      <c r="J31" s="29"/>
      <c r="K31" s="26"/>
      <c r="L31" s="41"/>
      <c r="M31" s="25" t="s">
        <v>55</v>
      </c>
      <c r="N31" s="26">
        <f>($D$15-2*$B$27)/2</f>
        <v>3.253</v>
      </c>
      <c r="O31" s="139" t="s">
        <v>14</v>
      </c>
      <c r="P31" s="21" t="s">
        <v>73</v>
      </c>
      <c r="S31" s="29"/>
      <c r="T31" s="29"/>
      <c r="U31" s="29"/>
      <c r="V31" s="106"/>
      <c r="W31" s="106"/>
      <c r="X31" s="106"/>
      <c r="Y31" s="253" t="s">
        <v>158</v>
      </c>
      <c r="Z31" s="257">
        <v>38.6</v>
      </c>
      <c r="AA31" s="256">
        <v>0.65</v>
      </c>
      <c r="AB31" s="254">
        <v>11.8</v>
      </c>
      <c r="AC31" s="255">
        <v>1.03</v>
      </c>
      <c r="AD31" s="260">
        <v>2.21</v>
      </c>
      <c r="AF31" s="27"/>
      <c r="AG31" s="31"/>
      <c r="AJ31" s="7"/>
    </row>
    <row r="32" spans="1:36" ht="12.75">
      <c r="A32" s="53" t="s">
        <v>13</v>
      </c>
      <c r="B32" s="134">
        <f>$N$12</f>
        <v>20</v>
      </c>
      <c r="C32" s="100" t="s">
        <v>10</v>
      </c>
      <c r="D32" s="247" t="s">
        <v>115</v>
      </c>
      <c r="E32" s="37"/>
      <c r="F32" s="37"/>
      <c r="G32" s="37"/>
      <c r="H32" s="15"/>
      <c r="I32" s="16"/>
      <c r="J32" s="29"/>
      <c r="K32" s="26"/>
      <c r="L32" s="41"/>
      <c r="M32" s="47" t="s">
        <v>70</v>
      </c>
      <c r="N32" s="32">
        <f>SQRT((3*$N$29*$N$31^2)/(0.9*$D$16))</f>
        <v>0.7320086629139156</v>
      </c>
      <c r="O32" s="139" t="s">
        <v>14</v>
      </c>
      <c r="P32" s="21" t="s">
        <v>474</v>
      </c>
      <c r="S32" s="29"/>
      <c r="T32" s="29"/>
      <c r="U32" s="29"/>
      <c r="V32" s="106"/>
      <c r="W32" s="106"/>
      <c r="X32" s="106"/>
      <c r="Y32" s="253" t="s">
        <v>159</v>
      </c>
      <c r="Z32" s="257">
        <v>38.2</v>
      </c>
      <c r="AA32" s="256">
        <v>0.63</v>
      </c>
      <c r="AB32" s="254">
        <v>11.8</v>
      </c>
      <c r="AC32" s="256">
        <v>0.83</v>
      </c>
      <c r="AD32" s="260">
        <v>2.01</v>
      </c>
      <c r="AJ32" s="7"/>
    </row>
    <row r="33" spans="1:36" ht="12.75">
      <c r="A33" s="53" t="s">
        <v>28</v>
      </c>
      <c r="B33" s="136">
        <f>$N$13</f>
        <v>78.5</v>
      </c>
      <c r="C33" s="100" t="s">
        <v>8</v>
      </c>
      <c r="D33" s="49" t="str">
        <f>$P$13</f>
        <v>Rv = Fv*Aw = Fv*(d*tw)  (Allowable web shear)</v>
      </c>
      <c r="E33" s="15"/>
      <c r="F33" s="15"/>
      <c r="G33" s="15"/>
      <c r="H33" s="15"/>
      <c r="I33" s="232" t="str">
        <f>IF($B$33&gt;=$D$12,"    Rv &gt;= R, O.K.  ","    Rv &lt; R, N.G.  ")</f>
        <v>    Rv &gt;= R, O.K.  </v>
      </c>
      <c r="J33" s="29"/>
      <c r="K33" s="26"/>
      <c r="L33" s="41"/>
      <c r="S33" s="29"/>
      <c r="T33" s="29"/>
      <c r="U33" s="29"/>
      <c r="V33" s="106"/>
      <c r="W33" s="106"/>
      <c r="X33" s="106"/>
      <c r="Y33" s="253" t="s">
        <v>160</v>
      </c>
      <c r="Z33" s="254">
        <v>42.6</v>
      </c>
      <c r="AA33" s="255">
        <v>2.38</v>
      </c>
      <c r="AB33" s="254">
        <v>18</v>
      </c>
      <c r="AC33" s="255">
        <v>4.29</v>
      </c>
      <c r="AD33" s="260">
        <v>5.24</v>
      </c>
      <c r="AF33" s="41" t="s">
        <v>57</v>
      </c>
      <c r="AG33" s="236">
        <f>$D$12/$B$33</f>
        <v>0.445859872611465</v>
      </c>
      <c r="AJ33" s="7"/>
    </row>
    <row r="34" spans="1:36" ht="12.75">
      <c r="A34" s="17"/>
      <c r="B34" s="15"/>
      <c r="C34" s="15"/>
      <c r="D34" s="15"/>
      <c r="E34" s="15"/>
      <c r="F34" s="15"/>
      <c r="G34" s="15"/>
      <c r="H34" s="15"/>
      <c r="I34" s="16"/>
      <c r="J34" s="29"/>
      <c r="K34" s="26"/>
      <c r="M34" s="191" t="s">
        <v>92</v>
      </c>
      <c r="S34" s="29"/>
      <c r="T34" s="29"/>
      <c r="U34" s="29"/>
      <c r="V34" s="106"/>
      <c r="W34" s="106"/>
      <c r="X34" s="106"/>
      <c r="Y34" s="253" t="s">
        <v>161</v>
      </c>
      <c r="Z34" s="254">
        <v>41.1</v>
      </c>
      <c r="AA34" s="255">
        <v>1.97</v>
      </c>
      <c r="AB34" s="254">
        <v>17.6</v>
      </c>
      <c r="AC34" s="255">
        <v>3.54</v>
      </c>
      <c r="AD34" s="260">
        <v>4.49</v>
      </c>
      <c r="AF34" s="27"/>
      <c r="AG34" s="234"/>
      <c r="AJ34" s="7"/>
    </row>
    <row r="35" spans="1:36" ht="12.75">
      <c r="A35" s="108" t="s">
        <v>61</v>
      </c>
      <c r="B35" s="37"/>
      <c r="C35" s="8"/>
      <c r="D35" s="37"/>
      <c r="E35" s="37"/>
      <c r="F35" s="67"/>
      <c r="G35" s="37"/>
      <c r="H35" s="37"/>
      <c r="I35" s="38"/>
      <c r="J35" s="29"/>
      <c r="K35" s="26"/>
      <c r="L35" s="64"/>
      <c r="M35" s="25" t="s">
        <v>82</v>
      </c>
      <c r="N35" s="32">
        <f>$D$12/($D$14*$B$25)</f>
        <v>0.7954545454545454</v>
      </c>
      <c r="O35" s="23" t="s">
        <v>10</v>
      </c>
      <c r="P35" s="21" t="s">
        <v>83</v>
      </c>
      <c r="S35" s="29"/>
      <c r="T35" s="29"/>
      <c r="U35" s="29"/>
      <c r="V35" s="106"/>
      <c r="W35" s="106"/>
      <c r="X35" s="106"/>
      <c r="Y35" s="253" t="s">
        <v>162</v>
      </c>
      <c r="Z35" s="254">
        <v>39.8</v>
      </c>
      <c r="AA35" s="255">
        <v>1.61</v>
      </c>
      <c r="AB35" s="254">
        <v>17.2</v>
      </c>
      <c r="AC35" s="255">
        <v>2.91</v>
      </c>
      <c r="AD35" s="260">
        <v>3.86</v>
      </c>
      <c r="AF35" s="27"/>
      <c r="AG35" s="234"/>
      <c r="AJ35" s="7"/>
    </row>
    <row r="36" spans="1:36" ht="12.75" customHeight="1">
      <c r="A36" s="17"/>
      <c r="B36" s="15"/>
      <c r="C36" s="15"/>
      <c r="D36" s="15"/>
      <c r="E36" s="15"/>
      <c r="F36" s="15"/>
      <c r="G36" s="15"/>
      <c r="H36" s="15"/>
      <c r="I36" s="16"/>
      <c r="J36" s="29"/>
      <c r="K36" s="26"/>
      <c r="L36" s="41"/>
      <c r="M36" s="25" t="s">
        <v>81</v>
      </c>
      <c r="N36" s="35">
        <f>MIN(0.34*SQRT($D$19/($D$14*$B$25))*$D$17,0.68*$D$17)</f>
        <v>1.3753677194250138</v>
      </c>
      <c r="O36" s="23" t="s">
        <v>10</v>
      </c>
      <c r="P36" s="21" t="s">
        <v>479</v>
      </c>
      <c r="S36" s="29"/>
      <c r="T36" s="29"/>
      <c r="U36" s="29"/>
      <c r="V36" s="106"/>
      <c r="W36" s="106"/>
      <c r="X36" s="106"/>
      <c r="Y36" s="253" t="s">
        <v>163</v>
      </c>
      <c r="Z36" s="254">
        <v>39.3</v>
      </c>
      <c r="AA36" s="255">
        <v>1.5</v>
      </c>
      <c r="AB36" s="254">
        <v>17.1</v>
      </c>
      <c r="AC36" s="255">
        <v>2.68</v>
      </c>
      <c r="AD36" s="260">
        <v>3.63</v>
      </c>
      <c r="AF36" s="27"/>
      <c r="AG36" s="235"/>
      <c r="AJ36" s="7"/>
    </row>
    <row r="37" spans="1:36" ht="12.75" customHeight="1">
      <c r="A37" s="108" t="s">
        <v>472</v>
      </c>
      <c r="B37" s="15"/>
      <c r="C37" s="15"/>
      <c r="D37" s="15"/>
      <c r="E37" s="15"/>
      <c r="F37" s="15"/>
      <c r="G37" s="15"/>
      <c r="H37" s="15"/>
      <c r="I37" s="16"/>
      <c r="J37" s="29"/>
      <c r="K37" s="63"/>
      <c r="L37" s="28"/>
      <c r="M37" s="25" t="s">
        <v>84</v>
      </c>
      <c r="N37" s="26">
        <f>($B$25-2*$B$27)/2</f>
        <v>2.003</v>
      </c>
      <c r="O37" s="139" t="s">
        <v>14</v>
      </c>
      <c r="P37" s="21" t="s">
        <v>85</v>
      </c>
      <c r="S37" s="29"/>
      <c r="T37" s="29"/>
      <c r="U37" s="29"/>
      <c r="V37" s="106"/>
      <c r="W37" s="106"/>
      <c r="X37" s="106"/>
      <c r="Y37" s="253" t="s">
        <v>164</v>
      </c>
      <c r="Z37" s="254">
        <v>38.9</v>
      </c>
      <c r="AA37" s="255">
        <v>1.36</v>
      </c>
      <c r="AB37" s="254">
        <v>17</v>
      </c>
      <c r="AC37" s="255">
        <v>2.44</v>
      </c>
      <c r="AD37" s="260">
        <v>3.39</v>
      </c>
      <c r="AJ37" s="7"/>
    </row>
    <row r="38" spans="1:36" ht="12.75" customHeight="1">
      <c r="A38" s="53" t="s">
        <v>460</v>
      </c>
      <c r="B38" s="134">
        <f>$N$16</f>
        <v>82.22916666666667</v>
      </c>
      <c r="C38" s="100" t="s">
        <v>8</v>
      </c>
      <c r="D38" s="276" t="s">
        <v>458</v>
      </c>
      <c r="E38" s="42"/>
      <c r="F38" s="37"/>
      <c r="G38" s="37"/>
      <c r="H38" s="37"/>
      <c r="I38" s="38"/>
      <c r="K38" s="26"/>
      <c r="L38" s="45"/>
      <c r="M38" s="47" t="s">
        <v>79</v>
      </c>
      <c r="N38" s="32">
        <f>SQRT((3*$N$35*$N$37^2)/(0.9*$D$13))</f>
        <v>0.4612570357515461</v>
      </c>
      <c r="O38" s="139" t="s">
        <v>14</v>
      </c>
      <c r="P38" s="21" t="s">
        <v>86</v>
      </c>
      <c r="S38" s="29"/>
      <c r="T38" s="29"/>
      <c r="U38" s="29"/>
      <c r="V38" s="106"/>
      <c r="W38" s="106"/>
      <c r="X38" s="106"/>
      <c r="Y38" s="253" t="s">
        <v>165</v>
      </c>
      <c r="Z38" s="254">
        <v>38.4</v>
      </c>
      <c r="AA38" s="255">
        <v>1.22</v>
      </c>
      <c r="AB38" s="254">
        <v>16.8</v>
      </c>
      <c r="AC38" s="255">
        <v>2.2</v>
      </c>
      <c r="AD38" s="260">
        <v>3.15</v>
      </c>
      <c r="AJ38" s="7"/>
    </row>
    <row r="39" spans="1:36" ht="12.75" customHeight="1">
      <c r="A39" s="53" t="s">
        <v>461</v>
      </c>
      <c r="B39" s="135" t="str">
        <f>$N$17</f>
        <v>N.A.</v>
      </c>
      <c r="C39" s="100" t="s">
        <v>8</v>
      </c>
      <c r="D39" s="282" t="s">
        <v>478</v>
      </c>
      <c r="E39" s="15"/>
      <c r="F39" s="15"/>
      <c r="G39" s="15"/>
      <c r="H39" s="15"/>
      <c r="I39" s="16"/>
      <c r="K39" s="26"/>
      <c r="L39" s="47"/>
      <c r="S39" s="29"/>
      <c r="T39" s="29"/>
      <c r="U39" s="29"/>
      <c r="V39" s="106"/>
      <c r="W39" s="106"/>
      <c r="X39" s="106"/>
      <c r="Y39" s="253" t="s">
        <v>166</v>
      </c>
      <c r="Z39" s="254">
        <v>38</v>
      </c>
      <c r="AA39" s="255">
        <v>1.12</v>
      </c>
      <c r="AB39" s="254">
        <v>16.7</v>
      </c>
      <c r="AC39" s="255">
        <v>2.01</v>
      </c>
      <c r="AD39" s="260">
        <v>2.96</v>
      </c>
      <c r="AJ39" s="7"/>
    </row>
    <row r="40" spans="1:30" ht="12.75" customHeight="1">
      <c r="A40" s="53" t="s">
        <v>7</v>
      </c>
      <c r="B40" s="136">
        <f>$N$18</f>
        <v>82.22916666666667</v>
      </c>
      <c r="C40" s="100" t="s">
        <v>8</v>
      </c>
      <c r="D40" s="15" t="str">
        <f>P18</f>
        <v>Rwy = Minimum of:  Rwy1 or Rwy2</v>
      </c>
      <c r="E40" s="15"/>
      <c r="F40" s="15"/>
      <c r="G40" s="15"/>
      <c r="H40" s="15"/>
      <c r="I40" s="16"/>
      <c r="K40" s="26"/>
      <c r="L40" s="41"/>
      <c r="M40" s="25"/>
      <c r="N40" s="34"/>
      <c r="O40" s="23"/>
      <c r="R40" s="29"/>
      <c r="S40" s="29"/>
      <c r="T40" s="29"/>
      <c r="U40" s="29"/>
      <c r="V40" s="106"/>
      <c r="W40" s="106"/>
      <c r="X40" s="106"/>
      <c r="Y40" s="253" t="s">
        <v>167</v>
      </c>
      <c r="Z40" s="254">
        <v>37.7</v>
      </c>
      <c r="AA40" s="255">
        <v>1.02</v>
      </c>
      <c r="AB40" s="254">
        <v>16.6</v>
      </c>
      <c r="AC40" s="255">
        <v>1.85</v>
      </c>
      <c r="AD40" s="260">
        <v>2.8</v>
      </c>
    </row>
    <row r="41" spans="1:30" ht="12.75" customHeight="1">
      <c r="A41" s="17"/>
      <c r="B41" s="15"/>
      <c r="C41" s="15"/>
      <c r="D41" s="15"/>
      <c r="E41" s="15"/>
      <c r="F41" s="15"/>
      <c r="G41" s="15"/>
      <c r="H41" s="15"/>
      <c r="I41" s="16"/>
      <c r="K41" s="26"/>
      <c r="R41" s="29"/>
      <c r="S41" s="29"/>
      <c r="T41" s="29"/>
      <c r="U41" s="29"/>
      <c r="V41" s="106"/>
      <c r="W41" s="106"/>
      <c r="X41" s="106"/>
      <c r="Y41" s="253" t="s">
        <v>168</v>
      </c>
      <c r="Z41" s="254">
        <v>37.3</v>
      </c>
      <c r="AA41" s="256">
        <v>0.945</v>
      </c>
      <c r="AB41" s="254">
        <v>16.7</v>
      </c>
      <c r="AC41" s="255">
        <v>1.68</v>
      </c>
      <c r="AD41" s="260">
        <v>2.63</v>
      </c>
    </row>
    <row r="42" spans="1:30" ht="12.75">
      <c r="A42" s="108" t="s">
        <v>471</v>
      </c>
      <c r="B42" s="15"/>
      <c r="C42" s="15"/>
      <c r="D42" s="15"/>
      <c r="E42" s="15"/>
      <c r="F42" s="15"/>
      <c r="G42" s="15"/>
      <c r="H42" s="15"/>
      <c r="I42" s="16"/>
      <c r="J42" s="29"/>
      <c r="K42" s="26"/>
      <c r="R42" s="29"/>
      <c r="S42" s="29"/>
      <c r="T42" s="29"/>
      <c r="U42" s="29"/>
      <c r="V42" s="106"/>
      <c r="W42" s="106"/>
      <c r="X42" s="106"/>
      <c r="Y42" s="253" t="s">
        <v>169</v>
      </c>
      <c r="Z42" s="254">
        <v>37.1</v>
      </c>
      <c r="AA42" s="256">
        <v>0.885</v>
      </c>
      <c r="AB42" s="254">
        <v>16.6</v>
      </c>
      <c r="AC42" s="255">
        <v>1.57</v>
      </c>
      <c r="AD42" s="260">
        <v>2.52</v>
      </c>
    </row>
    <row r="43" spans="1:30" ht="12.75">
      <c r="A43" s="279" t="s">
        <v>462</v>
      </c>
      <c r="B43" s="134" t="str">
        <f>$N$19</f>
        <v>N.A.</v>
      </c>
      <c r="C43" s="100" t="s">
        <v>8</v>
      </c>
      <c r="D43" s="276" t="s">
        <v>477</v>
      </c>
      <c r="E43" s="42"/>
      <c r="F43" s="37"/>
      <c r="G43" s="67"/>
      <c r="H43" s="37"/>
      <c r="I43" s="38"/>
      <c r="J43" s="29"/>
      <c r="K43" s="26"/>
      <c r="L43" s="41"/>
      <c r="R43" s="29"/>
      <c r="S43" s="29"/>
      <c r="T43" s="29"/>
      <c r="U43" s="29"/>
      <c r="V43" s="106"/>
      <c r="W43" s="106"/>
      <c r="X43" s="106"/>
      <c r="Y43" s="253" t="s">
        <v>170</v>
      </c>
      <c r="Z43" s="254">
        <v>36.9</v>
      </c>
      <c r="AA43" s="256">
        <v>0.84</v>
      </c>
      <c r="AB43" s="254">
        <v>16.6</v>
      </c>
      <c r="AC43" s="255">
        <v>1.44</v>
      </c>
      <c r="AD43" s="260">
        <v>2.39</v>
      </c>
    </row>
    <row r="44" spans="1:30" ht="12.75" customHeight="1">
      <c r="A44" s="279" t="s">
        <v>463</v>
      </c>
      <c r="B44" s="277">
        <f>$N$20</f>
        <v>37.73196028758134</v>
      </c>
      <c r="C44" s="100" t="s">
        <v>8</v>
      </c>
      <c r="D44" s="276" t="s">
        <v>482</v>
      </c>
      <c r="E44" s="15"/>
      <c r="F44" s="15"/>
      <c r="G44" s="15"/>
      <c r="H44" s="15"/>
      <c r="I44" s="16"/>
      <c r="J44" s="29"/>
      <c r="K44" s="26"/>
      <c r="L44" s="41"/>
      <c r="R44" s="29"/>
      <c r="S44" s="29"/>
      <c r="T44" s="29"/>
      <c r="U44" s="29"/>
      <c r="V44" s="106"/>
      <c r="W44" s="106"/>
      <c r="X44" s="106"/>
      <c r="Y44" s="253" t="s">
        <v>171</v>
      </c>
      <c r="Z44" s="254">
        <v>36.7</v>
      </c>
      <c r="AA44" s="256">
        <v>0.8</v>
      </c>
      <c r="AB44" s="254">
        <v>16.5</v>
      </c>
      <c r="AC44" s="255">
        <v>1.35</v>
      </c>
      <c r="AD44" s="260">
        <v>2.3</v>
      </c>
    </row>
    <row r="45" spans="1:30" ht="12.75">
      <c r="A45" s="279" t="s">
        <v>464</v>
      </c>
      <c r="B45" s="135" t="str">
        <f>N21</f>
        <v>N.A.</v>
      </c>
      <c r="C45" s="100" t="s">
        <v>8</v>
      </c>
      <c r="D45" s="276" t="s">
        <v>481</v>
      </c>
      <c r="E45" s="15"/>
      <c r="F45" s="15"/>
      <c r="G45" s="15"/>
      <c r="H45" s="15"/>
      <c r="I45" s="16"/>
      <c r="J45" s="29"/>
      <c r="K45" s="26"/>
      <c r="L45" s="41"/>
      <c r="R45" s="29"/>
      <c r="S45" s="40"/>
      <c r="T45" s="29"/>
      <c r="U45" s="29"/>
      <c r="V45" s="106"/>
      <c r="W45" s="106"/>
      <c r="X45" s="106"/>
      <c r="Y45" s="253" t="s">
        <v>172</v>
      </c>
      <c r="Z45" s="254">
        <v>36.5</v>
      </c>
      <c r="AA45" s="256">
        <v>0.76</v>
      </c>
      <c r="AB45" s="254">
        <v>16.5</v>
      </c>
      <c r="AC45" s="255">
        <v>1.26</v>
      </c>
      <c r="AD45" s="260">
        <v>2.21</v>
      </c>
    </row>
    <row r="46" spans="1:30" ht="12.75">
      <c r="A46" s="53" t="s">
        <v>29</v>
      </c>
      <c r="B46" s="136">
        <f>$N$22</f>
        <v>37.73196028758134</v>
      </c>
      <c r="C46" s="100" t="s">
        <v>8</v>
      </c>
      <c r="D46" s="42" t="str">
        <f>$P$22</f>
        <v>Rwc = Minimum of:  Rwc1, Rwc2 or Rwc3</v>
      </c>
      <c r="E46" s="37"/>
      <c r="F46" s="37"/>
      <c r="G46" s="37"/>
      <c r="H46" s="37"/>
      <c r="I46" s="38"/>
      <c r="J46" s="29"/>
      <c r="K46" s="26"/>
      <c r="L46" s="41"/>
      <c r="R46" s="29"/>
      <c r="S46" s="79"/>
      <c r="T46" s="29"/>
      <c r="U46" s="29"/>
      <c r="V46" s="106"/>
      <c r="W46" s="106"/>
      <c r="X46" s="106"/>
      <c r="Y46" s="253" t="s">
        <v>173</v>
      </c>
      <c r="Z46" s="257">
        <v>37.4</v>
      </c>
      <c r="AA46" s="256">
        <v>0.96</v>
      </c>
      <c r="AB46" s="254">
        <v>12.2</v>
      </c>
      <c r="AC46" s="255">
        <v>1.73</v>
      </c>
      <c r="AD46" s="260">
        <v>2.48</v>
      </c>
    </row>
    <row r="47" spans="1:30" ht="12.75">
      <c r="A47" s="17"/>
      <c r="B47" s="15"/>
      <c r="C47" s="15"/>
      <c r="D47" s="15"/>
      <c r="E47" s="15"/>
      <c r="F47" s="15"/>
      <c r="G47" s="15"/>
      <c r="H47" s="15"/>
      <c r="I47" s="16"/>
      <c r="J47" s="29"/>
      <c r="K47" s="26"/>
      <c r="L47" s="41"/>
      <c r="R47" s="29"/>
      <c r="S47" s="29"/>
      <c r="T47" s="29"/>
      <c r="U47" s="29"/>
      <c r="V47" s="106"/>
      <c r="W47" s="106"/>
      <c r="X47" s="106"/>
      <c r="Y47" s="253" t="s">
        <v>174</v>
      </c>
      <c r="Z47" s="257">
        <v>37.1</v>
      </c>
      <c r="AA47" s="256">
        <v>0.87</v>
      </c>
      <c r="AB47" s="254">
        <v>12.1</v>
      </c>
      <c r="AC47" s="255">
        <v>1.57</v>
      </c>
      <c r="AD47" s="260">
        <v>2.32</v>
      </c>
    </row>
    <row r="48" spans="1:33" ht="12.75" customHeight="1">
      <c r="A48" s="53" t="s">
        <v>71</v>
      </c>
      <c r="B48" s="278">
        <f>$N$23</f>
        <v>37.73196028758134</v>
      </c>
      <c r="C48" s="100" t="s">
        <v>8</v>
      </c>
      <c r="D48" s="42" t="str">
        <f>$P$23</f>
        <v>Rp = Minimum of:  Rwy  or  Rwc</v>
      </c>
      <c r="E48" s="42"/>
      <c r="F48" s="37"/>
      <c r="G48" s="3"/>
      <c r="H48" s="3"/>
      <c r="I48" s="232" t="str">
        <f>IF($B$48&gt;=$D$12,"    Rp &gt;= R, O.K.  ","    Rp &lt; R, N.G.  ")</f>
        <v>    Rp &gt;= R, O.K.  </v>
      </c>
      <c r="J48" s="29"/>
      <c r="K48" s="26"/>
      <c r="L48" s="47"/>
      <c r="R48" s="29"/>
      <c r="S48" s="29"/>
      <c r="T48" s="29"/>
      <c r="U48" s="29"/>
      <c r="V48" s="106"/>
      <c r="W48" s="106"/>
      <c r="X48" s="106"/>
      <c r="Y48" s="253" t="s">
        <v>175</v>
      </c>
      <c r="Z48" s="257">
        <v>36.7</v>
      </c>
      <c r="AA48" s="256">
        <v>0.83</v>
      </c>
      <c r="AB48" s="254">
        <v>12.2</v>
      </c>
      <c r="AC48" s="255">
        <v>1.36</v>
      </c>
      <c r="AD48" s="260">
        <v>2.11</v>
      </c>
      <c r="AF48" s="41" t="s">
        <v>57</v>
      </c>
      <c r="AG48" s="236">
        <f>$D$12/$B$48</f>
        <v>0.9275955909324832</v>
      </c>
    </row>
    <row r="49" spans="1:30" ht="12.75">
      <c r="A49" s="17"/>
      <c r="B49" s="15"/>
      <c r="C49" s="15"/>
      <c r="D49" s="15"/>
      <c r="E49" s="15"/>
      <c r="F49" s="15"/>
      <c r="G49" s="15"/>
      <c r="H49" s="15"/>
      <c r="I49" s="16"/>
      <c r="K49" s="104"/>
      <c r="L49" s="41"/>
      <c r="M49" s="87"/>
      <c r="N49" s="32"/>
      <c r="O49" s="79"/>
      <c r="P49" s="56"/>
      <c r="Q49" s="29"/>
      <c r="R49" s="29"/>
      <c r="S49" s="29"/>
      <c r="T49" s="29"/>
      <c r="U49" s="29"/>
      <c r="V49" s="106"/>
      <c r="W49" s="106"/>
      <c r="X49" s="106"/>
      <c r="Y49" s="253" t="s">
        <v>176</v>
      </c>
      <c r="Z49" s="257">
        <v>36.5</v>
      </c>
      <c r="AA49" s="256">
        <v>0.765</v>
      </c>
      <c r="AB49" s="254">
        <v>12.1</v>
      </c>
      <c r="AC49" s="255">
        <v>1.26</v>
      </c>
      <c r="AD49" s="260">
        <v>2.01</v>
      </c>
    </row>
    <row r="50" spans="1:30" ht="12.75">
      <c r="A50" s="108" t="s">
        <v>52</v>
      </c>
      <c r="B50" s="15"/>
      <c r="C50" s="15"/>
      <c r="D50" s="15"/>
      <c r="E50" s="15"/>
      <c r="F50" s="15"/>
      <c r="G50" s="15"/>
      <c r="H50" s="15"/>
      <c r="I50" s="16"/>
      <c r="K50" s="104"/>
      <c r="M50" s="87"/>
      <c r="N50" s="32"/>
      <c r="O50" s="79"/>
      <c r="P50" s="56"/>
      <c r="Q50" s="29"/>
      <c r="R50" s="29"/>
      <c r="S50" s="29"/>
      <c r="T50" s="29"/>
      <c r="U50" s="29"/>
      <c r="V50" s="125"/>
      <c r="W50" s="125"/>
      <c r="X50" s="125"/>
      <c r="Y50" s="253" t="s">
        <v>177</v>
      </c>
      <c r="Z50" s="257">
        <v>36.3</v>
      </c>
      <c r="AA50" s="256">
        <v>0.725</v>
      </c>
      <c r="AB50" s="254">
        <v>12.1</v>
      </c>
      <c r="AC50" s="255">
        <v>1.18</v>
      </c>
      <c r="AD50" s="260">
        <v>1.93</v>
      </c>
    </row>
    <row r="51" spans="1:33" ht="12.75">
      <c r="A51" s="279" t="s">
        <v>473</v>
      </c>
      <c r="B51" s="278">
        <f>$N$26</f>
        <v>37.73196028758134</v>
      </c>
      <c r="C51" s="100" t="s">
        <v>8</v>
      </c>
      <c r="D51" s="15" t="str">
        <f>P26</f>
        <v>R(max) = Minimum of:  Rv  or  Rp</v>
      </c>
      <c r="E51" s="15"/>
      <c r="F51" s="15"/>
      <c r="G51" s="15"/>
      <c r="H51" s="15"/>
      <c r="I51" s="232" t="str">
        <f>IF($B$51&gt;=$D$12,"    Rp &gt;= R, O.K.  ","    Rp &lt; R, N.G.  ")</f>
        <v>    Rp &gt;= R, O.K.  </v>
      </c>
      <c r="K51" s="104"/>
      <c r="M51" s="87"/>
      <c r="N51" s="32"/>
      <c r="O51" s="79"/>
      <c r="P51" s="40"/>
      <c r="Q51" s="29"/>
      <c r="R51" s="29"/>
      <c r="S51" s="40"/>
      <c r="T51" s="29"/>
      <c r="U51" s="29"/>
      <c r="V51" s="107"/>
      <c r="W51" s="107"/>
      <c r="X51" s="107"/>
      <c r="Y51" s="253" t="s">
        <v>178</v>
      </c>
      <c r="Z51" s="257">
        <v>36.2</v>
      </c>
      <c r="AA51" s="256">
        <v>0.68</v>
      </c>
      <c r="AB51" s="254">
        <v>12</v>
      </c>
      <c r="AC51" s="255">
        <v>1.1</v>
      </c>
      <c r="AD51" s="260">
        <v>1.85</v>
      </c>
      <c r="AF51" s="41" t="s">
        <v>57</v>
      </c>
      <c r="AG51" s="236">
        <f>$D$12/$B$51</f>
        <v>0.9275955909324832</v>
      </c>
    </row>
    <row r="52" spans="1:30" ht="12.75">
      <c r="A52" s="17"/>
      <c r="B52" s="15"/>
      <c r="C52" s="15"/>
      <c r="D52" s="15"/>
      <c r="E52" s="15"/>
      <c r="F52" s="15"/>
      <c r="G52" s="15"/>
      <c r="H52" s="15"/>
      <c r="I52" s="16"/>
      <c r="K52" s="104"/>
      <c r="M52" s="87"/>
      <c r="N52" s="9"/>
      <c r="O52" s="79"/>
      <c r="P52" s="29"/>
      <c r="Q52" s="29"/>
      <c r="R52" s="29"/>
      <c r="S52" s="29"/>
      <c r="T52" s="29"/>
      <c r="U52" s="29"/>
      <c r="V52" s="29"/>
      <c r="W52" s="29"/>
      <c r="X52" s="29"/>
      <c r="Y52" s="253" t="s">
        <v>179</v>
      </c>
      <c r="Z52" s="257">
        <v>36</v>
      </c>
      <c r="AA52" s="256">
        <v>0.65</v>
      </c>
      <c r="AB52" s="254">
        <v>12</v>
      </c>
      <c r="AC52" s="255">
        <v>1.02</v>
      </c>
      <c r="AD52" s="260">
        <v>1.77</v>
      </c>
    </row>
    <row r="53" spans="1:33" ht="12.75">
      <c r="A53" s="283"/>
      <c r="B53" s="284"/>
      <c r="C53" s="284"/>
      <c r="D53" s="284"/>
      <c r="E53" s="284"/>
      <c r="F53" s="284"/>
      <c r="G53" s="284"/>
      <c r="H53" s="284"/>
      <c r="I53" s="289" t="s">
        <v>476</v>
      </c>
      <c r="K53" s="104"/>
      <c r="M53" s="69"/>
      <c r="N53" s="29"/>
      <c r="O53" s="88"/>
      <c r="P53" s="29"/>
      <c r="Q53" s="29"/>
      <c r="R53" s="29"/>
      <c r="S53" s="29"/>
      <c r="T53" s="29"/>
      <c r="U53" s="29"/>
      <c r="V53" s="123"/>
      <c r="W53" s="123"/>
      <c r="X53" s="123"/>
      <c r="Y53" s="253" t="s">
        <v>180</v>
      </c>
      <c r="Z53" s="257">
        <v>35.9</v>
      </c>
      <c r="AA53" s="256">
        <v>0.625</v>
      </c>
      <c r="AB53" s="254">
        <v>12</v>
      </c>
      <c r="AC53" s="256">
        <v>0.94</v>
      </c>
      <c r="AD53" s="260">
        <v>1.69</v>
      </c>
      <c r="AF53" s="41"/>
      <c r="AG53" s="234"/>
    </row>
    <row r="54" spans="1:33" ht="12.75">
      <c r="A54" s="286"/>
      <c r="B54" s="287"/>
      <c r="C54" s="287"/>
      <c r="D54" s="287"/>
      <c r="E54" s="287"/>
      <c r="F54" s="287"/>
      <c r="G54" s="287"/>
      <c r="H54" s="287"/>
      <c r="I54" s="288"/>
      <c r="K54" s="104"/>
      <c r="M54" s="19"/>
      <c r="N54" s="29"/>
      <c r="O54" s="29"/>
      <c r="P54" s="79"/>
      <c r="Q54" s="29"/>
      <c r="R54" s="29"/>
      <c r="S54" s="29"/>
      <c r="T54" s="29"/>
      <c r="U54" s="29"/>
      <c r="V54" s="124"/>
      <c r="W54" s="124"/>
      <c r="X54" s="124"/>
      <c r="Y54" s="253" t="s">
        <v>181</v>
      </c>
      <c r="Z54" s="257">
        <v>35.6</v>
      </c>
      <c r="AA54" s="256">
        <v>0.6</v>
      </c>
      <c r="AB54" s="254">
        <v>12</v>
      </c>
      <c r="AC54" s="256">
        <v>0.79</v>
      </c>
      <c r="AD54" s="260">
        <v>1.54</v>
      </c>
      <c r="AF54" s="41"/>
      <c r="AG54" s="234"/>
    </row>
    <row r="55" spans="1:33" ht="12.75">
      <c r="A55" s="190" t="s">
        <v>80</v>
      </c>
      <c r="B55" s="15"/>
      <c r="C55" s="15"/>
      <c r="D55" s="15"/>
      <c r="E55" s="15"/>
      <c r="F55" s="15"/>
      <c r="G55" s="10"/>
      <c r="H55" s="42"/>
      <c r="I55" s="232"/>
      <c r="K55" s="104"/>
      <c r="M55" s="87"/>
      <c r="N55" s="11"/>
      <c r="O55" s="79"/>
      <c r="P55" s="29"/>
      <c r="Q55" s="29"/>
      <c r="R55" s="29"/>
      <c r="S55" s="29"/>
      <c r="T55" s="29"/>
      <c r="U55" s="29"/>
      <c r="V55" s="125"/>
      <c r="W55" s="125"/>
      <c r="X55" s="125"/>
      <c r="Y55" s="253" t="s">
        <v>182</v>
      </c>
      <c r="Z55" s="257">
        <v>36</v>
      </c>
      <c r="AA55" s="255">
        <v>1.26</v>
      </c>
      <c r="AB55" s="254">
        <v>16.2</v>
      </c>
      <c r="AC55" s="255">
        <v>2.28</v>
      </c>
      <c r="AD55" s="260">
        <v>3.07</v>
      </c>
      <c r="AF55" s="41"/>
      <c r="AG55" s="233"/>
    </row>
    <row r="56" spans="1:30" ht="12.75">
      <c r="A56" s="183" t="s">
        <v>68</v>
      </c>
      <c r="B56" s="194">
        <f>$N$29</f>
        <v>0.546875</v>
      </c>
      <c r="C56" s="192" t="s">
        <v>10</v>
      </c>
      <c r="D56" s="43" t="str">
        <f>$P$29</f>
        <v>fp = R/(N*B)</v>
      </c>
      <c r="E56" s="15"/>
      <c r="F56" s="15"/>
      <c r="G56" s="15"/>
      <c r="H56" s="15"/>
      <c r="I56" s="232"/>
      <c r="K56" s="104"/>
      <c r="M56" s="87"/>
      <c r="N56" s="13"/>
      <c r="O56" s="79"/>
      <c r="P56" s="29"/>
      <c r="Q56" s="29"/>
      <c r="R56" s="29"/>
      <c r="S56" s="29"/>
      <c r="T56" s="29"/>
      <c r="U56" s="29"/>
      <c r="V56" s="106"/>
      <c r="W56" s="106"/>
      <c r="X56" s="106"/>
      <c r="Y56" s="253" t="s">
        <v>183</v>
      </c>
      <c r="Z56" s="257">
        <v>35.6</v>
      </c>
      <c r="AA56" s="255">
        <v>1.16</v>
      </c>
      <c r="AB56" s="254">
        <v>16.1</v>
      </c>
      <c r="AC56" s="255">
        <v>2.09</v>
      </c>
      <c r="AD56" s="260">
        <v>2.88</v>
      </c>
    </row>
    <row r="57" spans="1:33" ht="12.75">
      <c r="A57" s="193" t="s">
        <v>53</v>
      </c>
      <c r="B57" s="137">
        <f>$N$30</f>
        <v>1.140394668524893</v>
      </c>
      <c r="C57" s="192" t="s">
        <v>10</v>
      </c>
      <c r="D57" s="43" t="str">
        <f>$P$30</f>
        <v>Fp = Min. of: 0.34*f'c*SQRT(A2/(N*B)) and 0.68*f'c</v>
      </c>
      <c r="E57" s="43"/>
      <c r="F57" s="43"/>
      <c r="G57" s="43"/>
      <c r="H57" s="43"/>
      <c r="I57" s="232" t="str">
        <f>IF($B$57&gt;=$B$56,"Fp &gt;= fp, O.K.  ","Fp &lt; fp, N.G.  ")</f>
        <v>Fp &gt;= fp, O.K.  </v>
      </c>
      <c r="M57" s="87"/>
      <c r="N57" s="11"/>
      <c r="O57" s="79"/>
      <c r="P57" s="79"/>
      <c r="Q57" s="29"/>
      <c r="R57" s="29"/>
      <c r="S57" s="29"/>
      <c r="T57" s="29"/>
      <c r="U57" s="29"/>
      <c r="V57" s="106"/>
      <c r="W57" s="106"/>
      <c r="X57" s="106"/>
      <c r="Y57" s="253" t="s">
        <v>184</v>
      </c>
      <c r="Z57" s="257">
        <v>35.2</v>
      </c>
      <c r="AA57" s="255">
        <v>1.04</v>
      </c>
      <c r="AB57" s="254">
        <v>16</v>
      </c>
      <c r="AC57" s="255">
        <v>1.89</v>
      </c>
      <c r="AD57" s="260">
        <v>2.68</v>
      </c>
      <c r="AF57" s="41" t="s">
        <v>57</v>
      </c>
      <c r="AG57" s="236">
        <f>$B$56/$B$57</f>
        <v>0.47954889223341074</v>
      </c>
    </row>
    <row r="58" spans="1:33" ht="12.75">
      <c r="A58" s="183" t="s">
        <v>55</v>
      </c>
      <c r="B58" s="217">
        <f>$N$31</f>
        <v>3.253</v>
      </c>
      <c r="C58" s="100" t="s">
        <v>14</v>
      </c>
      <c r="D58" s="15" t="str">
        <f>$P$31</f>
        <v>n = (B-2*k)/2</v>
      </c>
      <c r="E58" s="15"/>
      <c r="F58" s="37"/>
      <c r="G58" s="37"/>
      <c r="H58" s="15"/>
      <c r="I58" s="232"/>
      <c r="K58" s="26"/>
      <c r="M58" s="47"/>
      <c r="N58" s="7"/>
      <c r="O58" s="96"/>
      <c r="P58" s="86"/>
      <c r="Q58" s="29"/>
      <c r="R58" s="29"/>
      <c r="S58" s="29"/>
      <c r="T58" s="29"/>
      <c r="U58" s="29"/>
      <c r="V58" s="106"/>
      <c r="W58" s="106"/>
      <c r="X58" s="106"/>
      <c r="Y58" s="253" t="s">
        <v>185</v>
      </c>
      <c r="Z58" s="257">
        <v>34.8</v>
      </c>
      <c r="AA58" s="256">
        <v>0.96</v>
      </c>
      <c r="AB58" s="254">
        <v>15.9</v>
      </c>
      <c r="AC58" s="255">
        <v>1.73</v>
      </c>
      <c r="AD58" s="260">
        <v>2.52</v>
      </c>
      <c r="AF58" s="41"/>
      <c r="AG58" s="233"/>
    </row>
    <row r="59" spans="1:30" ht="12.75">
      <c r="A59" s="53" t="s">
        <v>70</v>
      </c>
      <c r="B59" s="186">
        <f>$N$32</f>
        <v>0.7320086629139156</v>
      </c>
      <c r="C59" s="100" t="s">
        <v>14</v>
      </c>
      <c r="D59" s="37" t="str">
        <f>$P$32</f>
        <v>tp = SQRT(3*fp*n^2)/(0.6*Fy*1.5))</v>
      </c>
      <c r="E59" s="37"/>
      <c r="F59" s="37"/>
      <c r="G59" s="37"/>
      <c r="H59" s="8"/>
      <c r="I59" s="16"/>
      <c r="K59" s="26"/>
      <c r="M59" s="47"/>
      <c r="N59" s="7"/>
      <c r="O59" s="97"/>
      <c r="P59" s="86"/>
      <c r="Q59" s="29"/>
      <c r="R59" s="29"/>
      <c r="S59" s="29"/>
      <c r="T59" s="29"/>
      <c r="U59" s="29"/>
      <c r="V59" s="106"/>
      <c r="W59" s="106"/>
      <c r="X59" s="106"/>
      <c r="Y59" s="253" t="s">
        <v>186</v>
      </c>
      <c r="Z59" s="257">
        <v>34.5</v>
      </c>
      <c r="AA59" s="256">
        <v>0.87</v>
      </c>
      <c r="AB59" s="254">
        <v>15.8</v>
      </c>
      <c r="AC59" s="255">
        <v>1.57</v>
      </c>
      <c r="AD59" s="260">
        <v>2.36</v>
      </c>
    </row>
    <row r="60" spans="1:33" ht="12.75">
      <c r="A60" s="17"/>
      <c r="B60" s="15"/>
      <c r="C60" s="15"/>
      <c r="D60" s="15"/>
      <c r="E60" s="37"/>
      <c r="F60" s="15"/>
      <c r="G60" s="15"/>
      <c r="H60" s="15"/>
      <c r="I60" s="232"/>
      <c r="K60" s="26"/>
      <c r="M60" s="87"/>
      <c r="N60" s="126"/>
      <c r="O60" s="79"/>
      <c r="P60" s="79"/>
      <c r="Q60" s="29"/>
      <c r="R60" s="29"/>
      <c r="S60" s="29"/>
      <c r="T60" s="29"/>
      <c r="U60" s="29"/>
      <c r="V60" s="106"/>
      <c r="W60" s="106"/>
      <c r="X60" s="106"/>
      <c r="Y60" s="253" t="s">
        <v>187</v>
      </c>
      <c r="Z60" s="257">
        <v>34.2</v>
      </c>
      <c r="AA60" s="256">
        <v>0.83</v>
      </c>
      <c r="AB60" s="254">
        <v>15.9</v>
      </c>
      <c r="AC60" s="255">
        <v>1.4</v>
      </c>
      <c r="AD60" s="260">
        <v>2.19</v>
      </c>
      <c r="AF60" s="41"/>
      <c r="AG60" s="236"/>
    </row>
    <row r="61" spans="1:33" ht="12.75">
      <c r="A61" s="108" t="s">
        <v>92</v>
      </c>
      <c r="B61" s="43"/>
      <c r="C61" s="43"/>
      <c r="D61" s="43"/>
      <c r="E61" s="43"/>
      <c r="F61" s="43"/>
      <c r="G61" s="43"/>
      <c r="H61" s="43"/>
      <c r="I61" s="232"/>
      <c r="K61" s="26"/>
      <c r="M61" s="47"/>
      <c r="N61" s="7"/>
      <c r="O61" s="98"/>
      <c r="P61" s="86"/>
      <c r="Q61" s="29"/>
      <c r="R61" s="29"/>
      <c r="S61" s="29"/>
      <c r="T61" s="29"/>
      <c r="U61" s="29"/>
      <c r="V61" s="106"/>
      <c r="W61" s="106"/>
      <c r="X61" s="106"/>
      <c r="Y61" s="253" t="s">
        <v>188</v>
      </c>
      <c r="Z61" s="257">
        <v>33.9</v>
      </c>
      <c r="AA61" s="256">
        <v>0.775</v>
      </c>
      <c r="AB61" s="254">
        <v>15.8</v>
      </c>
      <c r="AC61" s="255">
        <v>1.28</v>
      </c>
      <c r="AD61" s="260">
        <v>2.06</v>
      </c>
      <c r="AF61" s="41"/>
      <c r="AG61" s="233"/>
    </row>
    <row r="62" spans="1:33" ht="12.75">
      <c r="A62" s="193" t="s">
        <v>82</v>
      </c>
      <c r="B62" s="194">
        <f>$N$35</f>
        <v>0.7954545454545454</v>
      </c>
      <c r="C62" s="192" t="s">
        <v>10</v>
      </c>
      <c r="D62" s="213" t="str">
        <f>$P$35</f>
        <v>fpf = R/(N*bf)</v>
      </c>
      <c r="E62" s="43"/>
      <c r="F62" s="43"/>
      <c r="G62" s="43"/>
      <c r="H62" s="43"/>
      <c r="I62" s="232"/>
      <c r="K62" s="26"/>
      <c r="M62" s="90"/>
      <c r="N62" s="7"/>
      <c r="O62" s="79"/>
      <c r="P62" s="78"/>
      <c r="Q62" s="40"/>
      <c r="R62" s="29"/>
      <c r="S62" s="29"/>
      <c r="T62" s="29"/>
      <c r="U62" s="29"/>
      <c r="V62" s="106"/>
      <c r="W62" s="106"/>
      <c r="X62" s="106"/>
      <c r="Y62" s="253" t="s">
        <v>189</v>
      </c>
      <c r="Z62" s="257">
        <v>33.7</v>
      </c>
      <c r="AA62" s="256">
        <v>0.715</v>
      </c>
      <c r="AB62" s="254">
        <v>15.7</v>
      </c>
      <c r="AC62" s="255">
        <v>1.15</v>
      </c>
      <c r="AD62" s="260">
        <v>1.94</v>
      </c>
      <c r="AF62" s="41"/>
      <c r="AG62" s="233"/>
    </row>
    <row r="63" spans="1:33" ht="12.75">
      <c r="A63" s="193" t="s">
        <v>81</v>
      </c>
      <c r="B63" s="210">
        <f>$N$36</f>
        <v>1.3753677194250138</v>
      </c>
      <c r="C63" s="192" t="s">
        <v>10</v>
      </c>
      <c r="D63" s="213" t="str">
        <f>$P$36</f>
        <v>Fpf = Min. of: 0.34*SQRT(A2/(N*bf))*f'c and 0.68*f'c</v>
      </c>
      <c r="E63" s="43"/>
      <c r="F63" s="43"/>
      <c r="G63" s="43"/>
      <c r="H63" s="43"/>
      <c r="I63" s="232" t="str">
        <f>IF($B$63&gt;=$B$62,"Fpf &gt;= fpf, O.K.  ","Fpf &lt; fpf, N.G.  ")</f>
        <v>Fpf &gt;= fpf, O.K.  </v>
      </c>
      <c r="K63" s="26"/>
      <c r="M63" s="90"/>
      <c r="N63" s="7"/>
      <c r="O63" s="79"/>
      <c r="P63" s="78"/>
      <c r="Q63" s="40"/>
      <c r="R63" s="29"/>
      <c r="S63" s="29"/>
      <c r="T63" s="29"/>
      <c r="U63" s="29"/>
      <c r="V63" s="106"/>
      <c r="W63" s="106"/>
      <c r="X63" s="106"/>
      <c r="Y63" s="253" t="s">
        <v>190</v>
      </c>
      <c r="Z63" s="257">
        <v>33.8</v>
      </c>
      <c r="AA63" s="256">
        <v>0.67</v>
      </c>
      <c r="AB63" s="254">
        <v>11.5</v>
      </c>
      <c r="AC63" s="255">
        <v>1.22</v>
      </c>
      <c r="AD63" s="260">
        <v>1.92</v>
      </c>
      <c r="AF63" s="41" t="s">
        <v>57</v>
      </c>
      <c r="AG63" s="236">
        <f>$B$62/$B$63</f>
        <v>0.578357725152291</v>
      </c>
    </row>
    <row r="64" spans="1:33" ht="12.75">
      <c r="A64" s="193" t="s">
        <v>84</v>
      </c>
      <c r="B64" s="210">
        <f>$N$37</f>
        <v>2.003</v>
      </c>
      <c r="C64" s="100" t="s">
        <v>14</v>
      </c>
      <c r="D64" s="213" t="str">
        <f>$P$37</f>
        <v>nf = (bf-2*k)/2</v>
      </c>
      <c r="E64" s="43"/>
      <c r="F64" s="43"/>
      <c r="G64" s="43"/>
      <c r="H64" s="43"/>
      <c r="I64" s="232"/>
      <c r="K64" s="26"/>
      <c r="M64" s="87"/>
      <c r="N64" s="4"/>
      <c r="O64" s="40"/>
      <c r="P64" s="79"/>
      <c r="Q64" s="29"/>
      <c r="R64" s="29"/>
      <c r="S64" s="29"/>
      <c r="T64" s="29"/>
      <c r="U64" s="29"/>
      <c r="V64" s="106"/>
      <c r="W64" s="106"/>
      <c r="X64" s="106"/>
      <c r="Y64" s="253" t="s">
        <v>191</v>
      </c>
      <c r="Z64" s="257">
        <v>33.5</v>
      </c>
      <c r="AA64" s="256">
        <v>0.635</v>
      </c>
      <c r="AB64" s="254">
        <v>11.6</v>
      </c>
      <c r="AC64" s="255">
        <v>1.06</v>
      </c>
      <c r="AD64" s="260">
        <v>1.76</v>
      </c>
      <c r="AF64" s="41"/>
      <c r="AG64" s="233"/>
    </row>
    <row r="65" spans="1:33" ht="12.75">
      <c r="A65" s="193" t="s">
        <v>93</v>
      </c>
      <c r="B65" s="211">
        <f>$N$38</f>
        <v>0.4612570357515461</v>
      </c>
      <c r="C65" s="212" t="s">
        <v>14</v>
      </c>
      <c r="D65" s="213" t="str">
        <f>$P$38</f>
        <v>tf(min) = SQRT(3*fpf*nf^2/Fbf)</v>
      </c>
      <c r="E65" s="43"/>
      <c r="F65" s="43"/>
      <c r="G65" s="43"/>
      <c r="H65" s="43"/>
      <c r="I65" s="232" t="str">
        <f>IF($B$65&lt;=$B$26,"tf(min) &lt;= tf, O.K.  ","tf(min) &gt; tf, N.G.  ")</f>
        <v>tf(min) &gt; tf, N.G.  </v>
      </c>
      <c r="K65" s="26"/>
      <c r="M65" s="22"/>
      <c r="N65" s="29"/>
      <c r="O65" s="88"/>
      <c r="P65" s="29"/>
      <c r="Q65" s="19"/>
      <c r="R65" s="29"/>
      <c r="S65" s="29"/>
      <c r="T65" s="29"/>
      <c r="U65" s="29"/>
      <c r="V65" s="106"/>
      <c r="W65" s="106"/>
      <c r="X65" s="106"/>
      <c r="Y65" s="253" t="s">
        <v>192</v>
      </c>
      <c r="Z65" s="257">
        <v>33.3</v>
      </c>
      <c r="AA65" s="256">
        <v>0.605</v>
      </c>
      <c r="AB65" s="254">
        <v>11.5</v>
      </c>
      <c r="AC65" s="256">
        <v>0.96</v>
      </c>
      <c r="AD65" s="260">
        <v>1.66</v>
      </c>
      <c r="AF65" s="41" t="s">
        <v>57</v>
      </c>
      <c r="AG65" s="236">
        <f>$B$65/$B$26</f>
        <v>1.336976915221873</v>
      </c>
    </row>
    <row r="66" spans="1:30" ht="12.75">
      <c r="A66" s="17"/>
      <c r="B66" s="15"/>
      <c r="C66" s="15"/>
      <c r="D66" s="15"/>
      <c r="E66" s="43"/>
      <c r="F66" s="43"/>
      <c r="G66" s="43"/>
      <c r="H66" s="15"/>
      <c r="I66" s="232" t="str">
        <f>IF($B$65&lt;=$B$26,"Bearing Plate Not Req'd.  ","Bearing Plate Is Req'd.  ")</f>
        <v>Bearing Plate Is Req'd.  </v>
      </c>
      <c r="K66" s="26"/>
      <c r="M66" s="40"/>
      <c r="N66" s="20"/>
      <c r="O66" s="40"/>
      <c r="P66" s="19"/>
      <c r="Q66" s="19"/>
      <c r="R66" s="29"/>
      <c r="S66" s="29"/>
      <c r="T66" s="29"/>
      <c r="U66" s="29"/>
      <c r="V66" s="106"/>
      <c r="W66" s="106"/>
      <c r="X66" s="106"/>
      <c r="Y66" s="253" t="s">
        <v>193</v>
      </c>
      <c r="Z66" s="257">
        <v>33.1</v>
      </c>
      <c r="AA66" s="256">
        <v>0.58</v>
      </c>
      <c r="AB66" s="254">
        <v>11.5</v>
      </c>
      <c r="AC66" s="256">
        <v>0.855</v>
      </c>
      <c r="AD66" s="260">
        <v>1.56</v>
      </c>
    </row>
    <row r="67" spans="1:30" ht="12.75">
      <c r="A67" s="283"/>
      <c r="B67" s="284"/>
      <c r="C67" s="284"/>
      <c r="D67" s="284"/>
      <c r="E67" s="284"/>
      <c r="F67" s="284"/>
      <c r="G67" s="284"/>
      <c r="H67" s="284"/>
      <c r="I67" s="285"/>
      <c r="K67" s="26"/>
      <c r="M67" s="47"/>
      <c r="N67" s="4"/>
      <c r="O67" s="40"/>
      <c r="P67" s="40"/>
      <c r="Q67" s="19"/>
      <c r="R67" s="29"/>
      <c r="S67" s="29"/>
      <c r="T67" s="29"/>
      <c r="U67" s="29"/>
      <c r="V67" s="106"/>
      <c r="W67" s="106"/>
      <c r="X67" s="106"/>
      <c r="Y67" s="253" t="s">
        <v>194</v>
      </c>
      <c r="Z67" s="257">
        <v>32.9</v>
      </c>
      <c r="AA67" s="256">
        <v>0.55</v>
      </c>
      <c r="AB67" s="254">
        <v>11.5</v>
      </c>
      <c r="AC67" s="256">
        <v>0.74</v>
      </c>
      <c r="AD67" s="260">
        <v>1.44</v>
      </c>
    </row>
    <row r="68" spans="11:30" ht="12.75">
      <c r="K68" s="26"/>
      <c r="M68" s="47"/>
      <c r="N68" s="4"/>
      <c r="O68" s="40"/>
      <c r="P68" s="40"/>
      <c r="Q68" s="19"/>
      <c r="R68" s="29"/>
      <c r="S68" s="29"/>
      <c r="T68" s="29"/>
      <c r="U68" s="29"/>
      <c r="V68" s="106"/>
      <c r="W68" s="106"/>
      <c r="X68" s="106"/>
      <c r="Y68" s="253" t="s">
        <v>195</v>
      </c>
      <c r="Z68" s="257">
        <v>33.2</v>
      </c>
      <c r="AA68" s="255">
        <v>1.36</v>
      </c>
      <c r="AB68" s="254">
        <v>15.6</v>
      </c>
      <c r="AC68" s="255">
        <v>2.44</v>
      </c>
      <c r="AD68" s="260">
        <v>3.23</v>
      </c>
    </row>
    <row r="69" spans="13:30" ht="12.75">
      <c r="M69" s="40"/>
      <c r="N69" s="20"/>
      <c r="O69" s="40"/>
      <c r="P69" s="19"/>
      <c r="Q69" s="19"/>
      <c r="R69" s="29"/>
      <c r="S69" s="29"/>
      <c r="T69" s="29"/>
      <c r="U69" s="29"/>
      <c r="V69" s="106"/>
      <c r="W69" s="106"/>
      <c r="X69" s="106"/>
      <c r="Y69" s="253" t="s">
        <v>196</v>
      </c>
      <c r="Z69" s="257">
        <v>32.8</v>
      </c>
      <c r="AA69" s="255">
        <v>1.24</v>
      </c>
      <c r="AB69" s="254">
        <v>15.5</v>
      </c>
      <c r="AC69" s="255">
        <v>2.24</v>
      </c>
      <c r="AD69" s="260">
        <v>3.03</v>
      </c>
    </row>
    <row r="70" spans="13:30" ht="12.75">
      <c r="M70" s="47"/>
      <c r="N70" s="4"/>
      <c r="O70" s="40"/>
      <c r="P70" s="19"/>
      <c r="Q70" s="19"/>
      <c r="R70" s="29"/>
      <c r="S70" s="29"/>
      <c r="T70" s="29"/>
      <c r="U70" s="29"/>
      <c r="V70" s="106"/>
      <c r="W70" s="106"/>
      <c r="X70" s="106"/>
      <c r="Y70" s="253" t="s">
        <v>197</v>
      </c>
      <c r="Z70" s="257">
        <v>32.4</v>
      </c>
      <c r="AA70" s="255">
        <v>1.14</v>
      </c>
      <c r="AB70" s="254">
        <v>15.4</v>
      </c>
      <c r="AC70" s="255">
        <v>2.05</v>
      </c>
      <c r="AD70" s="260">
        <v>2.84</v>
      </c>
    </row>
    <row r="71" spans="13:30" ht="12.75">
      <c r="M71" s="40"/>
      <c r="N71" s="20"/>
      <c r="O71" s="20"/>
      <c r="P71" s="19"/>
      <c r="Q71" s="19"/>
      <c r="R71" s="29"/>
      <c r="S71" s="29"/>
      <c r="T71" s="29"/>
      <c r="U71" s="29"/>
      <c r="V71" s="106"/>
      <c r="W71" s="106"/>
      <c r="X71" s="106"/>
      <c r="Y71" s="253" t="s">
        <v>198</v>
      </c>
      <c r="Z71" s="257">
        <v>32</v>
      </c>
      <c r="AA71" s="255">
        <v>1.02</v>
      </c>
      <c r="AB71" s="254">
        <v>15.3</v>
      </c>
      <c r="AC71" s="255">
        <v>1.85</v>
      </c>
      <c r="AD71" s="260">
        <v>2.64</v>
      </c>
    </row>
    <row r="72" spans="1:30" ht="12.75">
      <c r="A72" s="46"/>
      <c r="B72" s="8"/>
      <c r="C72" s="42"/>
      <c r="D72" s="42"/>
      <c r="E72" s="37"/>
      <c r="F72" s="37"/>
      <c r="G72" s="37"/>
      <c r="H72" s="37"/>
      <c r="I72" s="37"/>
      <c r="M72" s="87"/>
      <c r="N72" s="13"/>
      <c r="O72" s="79"/>
      <c r="P72" s="79"/>
      <c r="Q72" s="19"/>
      <c r="R72" s="29"/>
      <c r="S72" s="29"/>
      <c r="T72" s="29"/>
      <c r="U72" s="29"/>
      <c r="V72" s="106"/>
      <c r="W72" s="106"/>
      <c r="X72" s="106"/>
      <c r="Y72" s="253" t="s">
        <v>199</v>
      </c>
      <c r="Z72" s="257">
        <v>31.6</v>
      </c>
      <c r="AA72" s="256">
        <v>0.93</v>
      </c>
      <c r="AB72" s="254">
        <v>15.2</v>
      </c>
      <c r="AC72" s="255">
        <v>1.65</v>
      </c>
      <c r="AD72" s="260">
        <v>2.44</v>
      </c>
    </row>
    <row r="73" spans="1:30" ht="12.75">
      <c r="A73" s="46"/>
      <c r="B73" s="39"/>
      <c r="C73" s="42"/>
      <c r="D73" s="42"/>
      <c r="E73" s="37"/>
      <c r="F73" s="37"/>
      <c r="G73" s="37"/>
      <c r="H73" s="37"/>
      <c r="I73" s="37"/>
      <c r="M73" s="47"/>
      <c r="N73" s="7"/>
      <c r="O73" s="40"/>
      <c r="P73" s="40"/>
      <c r="Q73" s="19"/>
      <c r="R73" s="29"/>
      <c r="S73" s="29"/>
      <c r="T73" s="29"/>
      <c r="U73" s="29"/>
      <c r="V73" s="106"/>
      <c r="W73" s="106"/>
      <c r="X73" s="106"/>
      <c r="Y73" s="253" t="s">
        <v>200</v>
      </c>
      <c r="Z73" s="257">
        <v>31.3</v>
      </c>
      <c r="AA73" s="256">
        <v>0.83</v>
      </c>
      <c r="AB73" s="254">
        <v>15.1</v>
      </c>
      <c r="AC73" s="255">
        <v>1.5</v>
      </c>
      <c r="AD73" s="260">
        <v>2.29</v>
      </c>
    </row>
    <row r="74" spans="1:30" ht="12.75">
      <c r="A74" s="46"/>
      <c r="B74" s="39"/>
      <c r="C74" s="42"/>
      <c r="D74" s="37"/>
      <c r="E74" s="37"/>
      <c r="F74" s="37"/>
      <c r="G74" s="37"/>
      <c r="H74" s="43"/>
      <c r="I74" s="43"/>
      <c r="M74" s="47"/>
      <c r="N74" s="4"/>
      <c r="O74" s="40"/>
      <c r="P74" s="40"/>
      <c r="Q74" s="19"/>
      <c r="R74" s="29"/>
      <c r="S74" s="29"/>
      <c r="T74" s="29"/>
      <c r="U74" s="29"/>
      <c r="V74" s="106"/>
      <c r="W74" s="106"/>
      <c r="X74" s="106"/>
      <c r="Y74" s="253" t="s">
        <v>201</v>
      </c>
      <c r="Z74" s="257">
        <v>30.9</v>
      </c>
      <c r="AA74" s="256">
        <v>0.775</v>
      </c>
      <c r="AB74" s="254">
        <v>15.1</v>
      </c>
      <c r="AC74" s="255">
        <v>1.32</v>
      </c>
      <c r="AD74" s="260">
        <v>2.1</v>
      </c>
    </row>
    <row r="75" spans="1:30" ht="12.75">
      <c r="A75" s="46"/>
      <c r="B75" s="5"/>
      <c r="C75" s="42"/>
      <c r="D75" s="42"/>
      <c r="E75" s="37"/>
      <c r="F75" s="37"/>
      <c r="G75" s="37"/>
      <c r="H75" s="43"/>
      <c r="I75" s="37"/>
      <c r="M75" s="47"/>
      <c r="N75" s="4"/>
      <c r="O75" s="40"/>
      <c r="P75" s="40"/>
      <c r="Q75" s="19"/>
      <c r="R75" s="29"/>
      <c r="S75" s="29"/>
      <c r="T75" s="29"/>
      <c r="U75" s="29"/>
      <c r="V75" s="106"/>
      <c r="W75" s="106"/>
      <c r="X75" s="106"/>
      <c r="Y75" s="253" t="s">
        <v>202</v>
      </c>
      <c r="Z75" s="257">
        <v>30.7</v>
      </c>
      <c r="AA75" s="256">
        <v>0.71</v>
      </c>
      <c r="AB75" s="254">
        <v>15</v>
      </c>
      <c r="AC75" s="255">
        <v>1.19</v>
      </c>
      <c r="AD75" s="260">
        <v>1.97</v>
      </c>
    </row>
    <row r="76" spans="1:30" ht="12.75">
      <c r="A76" s="46"/>
      <c r="B76" s="5"/>
      <c r="C76" s="42"/>
      <c r="D76" s="42"/>
      <c r="E76" s="37"/>
      <c r="F76" s="37"/>
      <c r="G76" s="37"/>
      <c r="H76" s="85"/>
      <c r="I76" s="37"/>
      <c r="M76" s="29"/>
      <c r="N76" s="29"/>
      <c r="O76" s="88"/>
      <c r="P76" s="29"/>
      <c r="Q76" s="29"/>
      <c r="R76" s="29"/>
      <c r="S76" s="29"/>
      <c r="T76" s="29"/>
      <c r="U76" s="29"/>
      <c r="V76" s="106"/>
      <c r="W76" s="106"/>
      <c r="X76" s="106"/>
      <c r="Y76" s="253" t="s">
        <v>203</v>
      </c>
      <c r="Z76" s="257">
        <v>30.4</v>
      </c>
      <c r="AA76" s="256">
        <v>0.655</v>
      </c>
      <c r="AB76" s="254">
        <v>15</v>
      </c>
      <c r="AC76" s="255">
        <v>1.07</v>
      </c>
      <c r="AD76" s="260">
        <v>1.85</v>
      </c>
    </row>
    <row r="77" spans="1:30" ht="12.75">
      <c r="A77" s="46"/>
      <c r="B77" s="39"/>
      <c r="C77" s="42"/>
      <c r="D77" s="42"/>
      <c r="E77" s="37"/>
      <c r="F77" s="37"/>
      <c r="G77" s="37"/>
      <c r="H77" s="43"/>
      <c r="I77" s="43"/>
      <c r="M77" s="29"/>
      <c r="N77" s="29"/>
      <c r="O77" s="88"/>
      <c r="P77" s="29"/>
      <c r="Q77" s="29"/>
      <c r="R77" s="29"/>
      <c r="S77" s="29"/>
      <c r="T77" s="29"/>
      <c r="U77" s="29"/>
      <c r="V77" s="125"/>
      <c r="W77" s="125"/>
      <c r="X77" s="125"/>
      <c r="Y77" s="253" t="s">
        <v>204</v>
      </c>
      <c r="Z77" s="257">
        <v>30.7</v>
      </c>
      <c r="AA77" s="256">
        <v>0.65</v>
      </c>
      <c r="AB77" s="254">
        <v>10.5</v>
      </c>
      <c r="AC77" s="255">
        <v>1.18</v>
      </c>
      <c r="AD77" s="260">
        <v>1.83</v>
      </c>
    </row>
    <row r="78" spans="1:30" ht="12.75">
      <c r="A78" s="37"/>
      <c r="B78" s="37"/>
      <c r="C78" s="8"/>
      <c r="D78" s="37"/>
      <c r="E78" s="43"/>
      <c r="F78" s="43"/>
      <c r="G78" s="43"/>
      <c r="H78" s="43"/>
      <c r="I78" s="43"/>
      <c r="M78" s="29"/>
      <c r="N78" s="29"/>
      <c r="O78" s="88"/>
      <c r="P78" s="29"/>
      <c r="Q78" s="29"/>
      <c r="R78" s="29"/>
      <c r="S78" s="29"/>
      <c r="T78" s="29"/>
      <c r="U78" s="29"/>
      <c r="V78" s="107"/>
      <c r="W78" s="107"/>
      <c r="X78" s="107"/>
      <c r="Y78" s="253" t="s">
        <v>205</v>
      </c>
      <c r="Z78" s="257">
        <v>30.3</v>
      </c>
      <c r="AA78" s="256">
        <v>0.615</v>
      </c>
      <c r="AB78" s="254">
        <v>10.5</v>
      </c>
      <c r="AC78" s="255">
        <v>1</v>
      </c>
      <c r="AD78" s="260">
        <v>1.65</v>
      </c>
    </row>
    <row r="79" spans="1:30" ht="12.75">
      <c r="A79" s="46"/>
      <c r="B79" s="39"/>
      <c r="C79" s="42"/>
      <c r="D79" s="42"/>
      <c r="E79" s="37"/>
      <c r="F79" s="43"/>
      <c r="G79" s="43"/>
      <c r="H79" s="43"/>
      <c r="I79" s="43"/>
      <c r="M79" s="29"/>
      <c r="N79" s="29"/>
      <c r="O79" s="88"/>
      <c r="P79" s="29"/>
      <c r="Q79" s="29"/>
      <c r="R79" s="29"/>
      <c r="S79" s="29"/>
      <c r="T79" s="29"/>
      <c r="U79" s="29"/>
      <c r="V79" s="29"/>
      <c r="W79" s="29"/>
      <c r="X79" s="29"/>
      <c r="Y79" s="253" t="s">
        <v>206</v>
      </c>
      <c r="Z79" s="257">
        <v>30.2</v>
      </c>
      <c r="AA79" s="256">
        <v>0.585</v>
      </c>
      <c r="AB79" s="254">
        <v>10.5</v>
      </c>
      <c r="AC79" s="256">
        <v>0.93</v>
      </c>
      <c r="AD79" s="260">
        <v>1.58</v>
      </c>
    </row>
    <row r="80" spans="1:30" ht="12.75">
      <c r="A80" s="46"/>
      <c r="B80" s="5"/>
      <c r="C80" s="42"/>
      <c r="D80" s="42"/>
      <c r="E80" s="37"/>
      <c r="F80" s="43"/>
      <c r="G80" s="43"/>
      <c r="H80" s="43"/>
      <c r="I80" s="43"/>
      <c r="M80" s="29"/>
      <c r="N80" s="29"/>
      <c r="O80" s="88"/>
      <c r="P80" s="29"/>
      <c r="Q80" s="29"/>
      <c r="R80" s="29"/>
      <c r="S80" s="29"/>
      <c r="T80" s="29"/>
      <c r="U80" s="29"/>
      <c r="V80" s="123"/>
      <c r="W80" s="123"/>
      <c r="X80" s="123"/>
      <c r="Y80" s="253" t="s">
        <v>207</v>
      </c>
      <c r="Z80" s="257">
        <v>30</v>
      </c>
      <c r="AA80" s="256">
        <v>0.565</v>
      </c>
      <c r="AB80" s="254">
        <v>10.5</v>
      </c>
      <c r="AC80" s="256">
        <v>0.85</v>
      </c>
      <c r="AD80" s="260">
        <v>1.5</v>
      </c>
    </row>
    <row r="81" spans="1:30" ht="12.75">
      <c r="A81" s="46"/>
      <c r="B81" s="5"/>
      <c r="C81" s="42"/>
      <c r="D81" s="37"/>
      <c r="E81" s="37"/>
      <c r="F81" s="43"/>
      <c r="G81" s="43"/>
      <c r="H81" s="43"/>
      <c r="I81" s="43"/>
      <c r="M81" s="29"/>
      <c r="N81" s="29"/>
      <c r="O81" s="88"/>
      <c r="P81" s="29"/>
      <c r="Q81" s="29"/>
      <c r="R81" s="29"/>
      <c r="S81" s="29"/>
      <c r="T81" s="29"/>
      <c r="U81" s="29"/>
      <c r="V81" s="124"/>
      <c r="W81" s="124"/>
      <c r="X81" s="124"/>
      <c r="Y81" s="253" t="s">
        <v>208</v>
      </c>
      <c r="Z81" s="257">
        <v>29.8</v>
      </c>
      <c r="AA81" s="256">
        <v>0.545</v>
      </c>
      <c r="AB81" s="254">
        <v>10.5</v>
      </c>
      <c r="AC81" s="256">
        <v>0.76</v>
      </c>
      <c r="AD81" s="260">
        <v>1.41</v>
      </c>
    </row>
    <row r="82" spans="1:30" ht="12.75">
      <c r="A82" s="46"/>
      <c r="B82" s="5"/>
      <c r="C82" s="67"/>
      <c r="D82" s="42"/>
      <c r="E82" s="37"/>
      <c r="F82" s="43"/>
      <c r="G82" s="43"/>
      <c r="H82" s="43"/>
      <c r="I82" s="43"/>
      <c r="M82" s="29"/>
      <c r="N82" s="29"/>
      <c r="O82" s="88"/>
      <c r="P82" s="29"/>
      <c r="Q82" s="29"/>
      <c r="R82" s="29"/>
      <c r="S82" s="29"/>
      <c r="T82" s="29"/>
      <c r="U82" s="29"/>
      <c r="V82" s="125"/>
      <c r="W82" s="125"/>
      <c r="X82" s="125"/>
      <c r="Y82" s="253" t="s">
        <v>209</v>
      </c>
      <c r="Z82" s="257">
        <v>29.7</v>
      </c>
      <c r="AA82" s="256">
        <v>0.52</v>
      </c>
      <c r="AB82" s="254">
        <v>10.5</v>
      </c>
      <c r="AC82" s="256">
        <v>0.67</v>
      </c>
      <c r="AD82" s="260">
        <v>1.32</v>
      </c>
    </row>
    <row r="83" spans="1:30" ht="12.75">
      <c r="A83" s="46"/>
      <c r="B83" s="5"/>
      <c r="C83" s="67"/>
      <c r="D83" s="42"/>
      <c r="E83" s="37"/>
      <c r="F83" s="43"/>
      <c r="G83" s="43"/>
      <c r="H83" s="43"/>
      <c r="I83" s="43"/>
      <c r="M83" s="29"/>
      <c r="N83" s="29"/>
      <c r="O83" s="88"/>
      <c r="P83" s="29"/>
      <c r="Q83" s="29"/>
      <c r="R83" s="29"/>
      <c r="S83" s="29"/>
      <c r="T83" s="29"/>
      <c r="U83" s="29"/>
      <c r="V83" s="106"/>
      <c r="W83" s="106"/>
      <c r="X83" s="106"/>
      <c r="Y83" s="253" t="s">
        <v>210</v>
      </c>
      <c r="Z83" s="254">
        <v>29.5</v>
      </c>
      <c r="AA83" s="256">
        <v>0.47</v>
      </c>
      <c r="AB83" s="254">
        <v>10.4</v>
      </c>
      <c r="AC83" s="256">
        <v>0.61</v>
      </c>
      <c r="AD83" s="260">
        <v>1.26</v>
      </c>
    </row>
    <row r="84" spans="1:30" ht="12.75">
      <c r="A84" s="46"/>
      <c r="B84" s="5"/>
      <c r="C84" s="42"/>
      <c r="D84" s="42"/>
      <c r="E84" s="37"/>
      <c r="F84" s="43"/>
      <c r="G84" s="43"/>
      <c r="H84" s="85"/>
      <c r="I84" s="67"/>
      <c r="M84" s="29"/>
      <c r="N84" s="29"/>
      <c r="O84" s="88"/>
      <c r="P84" s="29"/>
      <c r="Q84" s="29"/>
      <c r="R84" s="29"/>
      <c r="S84" s="29"/>
      <c r="T84" s="29"/>
      <c r="U84" s="29"/>
      <c r="V84" s="106"/>
      <c r="W84" s="106"/>
      <c r="X84" s="106"/>
      <c r="Y84" s="253" t="s">
        <v>211</v>
      </c>
      <c r="Z84" s="254">
        <v>32.5</v>
      </c>
      <c r="AA84" s="255">
        <v>1.97</v>
      </c>
      <c r="AB84" s="254">
        <v>15.3</v>
      </c>
      <c r="AC84" s="255">
        <v>3.54</v>
      </c>
      <c r="AD84" s="260">
        <v>4.33</v>
      </c>
    </row>
    <row r="85" spans="1:30" ht="12.75">
      <c r="A85" s="43"/>
      <c r="B85" s="43"/>
      <c r="C85" s="43"/>
      <c r="D85" s="43"/>
      <c r="E85" s="43"/>
      <c r="F85" s="43"/>
      <c r="G85" s="43"/>
      <c r="H85" s="43"/>
      <c r="I85" s="43"/>
      <c r="M85" s="29"/>
      <c r="N85" s="29"/>
      <c r="O85" s="88"/>
      <c r="P85" s="29"/>
      <c r="Q85" s="29"/>
      <c r="R85" s="29"/>
      <c r="S85" s="29"/>
      <c r="T85" s="29"/>
      <c r="U85" s="29"/>
      <c r="V85" s="106"/>
      <c r="W85" s="106"/>
      <c r="X85" s="106"/>
      <c r="Y85" s="253" t="s">
        <v>212</v>
      </c>
      <c r="Z85" s="257">
        <v>30.4</v>
      </c>
      <c r="AA85" s="255">
        <v>1.38</v>
      </c>
      <c r="AB85" s="254">
        <v>14.7</v>
      </c>
      <c r="AC85" s="255">
        <v>2.48</v>
      </c>
      <c r="AD85" s="260">
        <v>3.27</v>
      </c>
    </row>
    <row r="86" spans="1:30" ht="12.75">
      <c r="A86" s="37"/>
      <c r="B86" s="8"/>
      <c r="C86" s="8"/>
      <c r="D86" s="37"/>
      <c r="E86" s="43"/>
      <c r="F86" s="43"/>
      <c r="G86" s="43"/>
      <c r="H86" s="43"/>
      <c r="I86" s="43"/>
      <c r="M86" s="29"/>
      <c r="N86" s="29"/>
      <c r="O86" s="88"/>
      <c r="P86" s="29"/>
      <c r="Q86" s="29"/>
      <c r="R86" s="29"/>
      <c r="S86" s="29"/>
      <c r="T86" s="29"/>
      <c r="U86" s="29"/>
      <c r="V86" s="106"/>
      <c r="W86" s="106"/>
      <c r="X86" s="106"/>
      <c r="Y86" s="253" t="s">
        <v>213</v>
      </c>
      <c r="Z86" s="257">
        <v>30</v>
      </c>
      <c r="AA86" s="255">
        <v>1.26</v>
      </c>
      <c r="AB86" s="254">
        <v>14.6</v>
      </c>
      <c r="AC86" s="255">
        <v>2.28</v>
      </c>
      <c r="AD86" s="260">
        <v>3.07</v>
      </c>
    </row>
    <row r="87" spans="1:30" ht="12.75">
      <c r="A87" s="46"/>
      <c r="B87" s="39"/>
      <c r="C87" s="42"/>
      <c r="D87" s="42"/>
      <c r="E87" s="43"/>
      <c r="F87" s="43"/>
      <c r="G87" s="43"/>
      <c r="H87" s="43"/>
      <c r="I87" s="43"/>
      <c r="M87" s="29"/>
      <c r="N87" s="29"/>
      <c r="O87" s="88"/>
      <c r="P87" s="29"/>
      <c r="Q87" s="29"/>
      <c r="R87" s="29"/>
      <c r="S87" s="29"/>
      <c r="T87" s="29"/>
      <c r="U87" s="29"/>
      <c r="V87" s="106"/>
      <c r="W87" s="106"/>
      <c r="X87" s="106"/>
      <c r="Y87" s="253" t="s">
        <v>214</v>
      </c>
      <c r="Z87" s="257">
        <v>29.6</v>
      </c>
      <c r="AA87" s="255">
        <v>1.16</v>
      </c>
      <c r="AB87" s="254">
        <v>14.4</v>
      </c>
      <c r="AC87" s="255">
        <v>2.09</v>
      </c>
      <c r="AD87" s="260">
        <v>2.88</v>
      </c>
    </row>
    <row r="88" spans="1:30" ht="12.75">
      <c r="A88" s="46"/>
      <c r="B88" s="5"/>
      <c r="C88" s="42"/>
      <c r="D88" s="42"/>
      <c r="E88" s="43"/>
      <c r="F88" s="43"/>
      <c r="G88" s="43"/>
      <c r="H88" s="43"/>
      <c r="I88" s="43"/>
      <c r="M88" s="87"/>
      <c r="N88" s="13"/>
      <c r="O88" s="79"/>
      <c r="P88" s="79"/>
      <c r="Q88" s="29"/>
      <c r="R88" s="29"/>
      <c r="S88" s="29"/>
      <c r="T88" s="29"/>
      <c r="U88" s="29"/>
      <c r="V88" s="106"/>
      <c r="W88" s="106"/>
      <c r="X88" s="106"/>
      <c r="Y88" s="253" t="s">
        <v>215</v>
      </c>
      <c r="Z88" s="257">
        <v>29.3</v>
      </c>
      <c r="AA88" s="255">
        <v>1.06</v>
      </c>
      <c r="AB88" s="254">
        <v>14.4</v>
      </c>
      <c r="AC88" s="255">
        <v>1.93</v>
      </c>
      <c r="AD88" s="260">
        <v>2.72</v>
      </c>
    </row>
    <row r="89" spans="1:30" ht="12.75">
      <c r="A89" s="46"/>
      <c r="B89" s="5"/>
      <c r="C89" s="42"/>
      <c r="D89" s="42"/>
      <c r="E89" s="43"/>
      <c r="F89" s="43"/>
      <c r="G89" s="43"/>
      <c r="H89" s="43"/>
      <c r="I89" s="43"/>
      <c r="M89" s="90"/>
      <c r="N89" s="13"/>
      <c r="O89" s="29"/>
      <c r="P89" s="78"/>
      <c r="Q89" s="29"/>
      <c r="R89" s="29"/>
      <c r="S89" s="29"/>
      <c r="T89" s="29"/>
      <c r="U89" s="29"/>
      <c r="V89" s="106"/>
      <c r="W89" s="106"/>
      <c r="X89" s="106"/>
      <c r="Y89" s="253" t="s">
        <v>216</v>
      </c>
      <c r="Z89" s="257">
        <v>29</v>
      </c>
      <c r="AA89" s="256">
        <v>0.98</v>
      </c>
      <c r="AB89" s="254">
        <v>14.3</v>
      </c>
      <c r="AC89" s="255">
        <v>1.77</v>
      </c>
      <c r="AD89" s="260">
        <v>2.56</v>
      </c>
    </row>
    <row r="90" spans="1:30" ht="12.75">
      <c r="A90" s="46"/>
      <c r="B90" s="5"/>
      <c r="C90" s="42"/>
      <c r="D90" s="37"/>
      <c r="E90" s="37"/>
      <c r="F90" s="37"/>
      <c r="G90" s="37"/>
      <c r="H90" s="43"/>
      <c r="I90" s="43"/>
      <c r="M90" s="87"/>
      <c r="N90" s="13"/>
      <c r="O90" s="79"/>
      <c r="P90" s="79"/>
      <c r="Q90" s="29"/>
      <c r="R90" s="29"/>
      <c r="S90" s="29"/>
      <c r="T90" s="29"/>
      <c r="U90" s="29"/>
      <c r="V90" s="106"/>
      <c r="W90" s="106"/>
      <c r="X90" s="106"/>
      <c r="Y90" s="253" t="s">
        <v>217</v>
      </c>
      <c r="Z90" s="257">
        <v>28.7</v>
      </c>
      <c r="AA90" s="256">
        <v>0.91</v>
      </c>
      <c r="AB90" s="254">
        <v>14.2</v>
      </c>
      <c r="AC90" s="255">
        <v>1.61</v>
      </c>
      <c r="AD90" s="260">
        <v>2.4</v>
      </c>
    </row>
    <row r="91" spans="1:30" ht="12.75">
      <c r="A91" s="46"/>
      <c r="B91" s="5"/>
      <c r="C91" s="67"/>
      <c r="D91" s="42"/>
      <c r="E91" s="43"/>
      <c r="F91" s="37"/>
      <c r="G91" s="37"/>
      <c r="H91" s="43"/>
      <c r="I91" s="43"/>
      <c r="M91" s="90"/>
      <c r="N91" s="13"/>
      <c r="O91" s="29"/>
      <c r="P91" s="78"/>
      <c r="Q91" s="29"/>
      <c r="R91" s="29"/>
      <c r="S91" s="29"/>
      <c r="T91" s="29"/>
      <c r="U91" s="29"/>
      <c r="V91" s="106"/>
      <c r="W91" s="106"/>
      <c r="X91" s="106"/>
      <c r="Y91" s="253" t="s">
        <v>218</v>
      </c>
      <c r="Z91" s="257">
        <v>28.4</v>
      </c>
      <c r="AA91" s="256">
        <v>0.83</v>
      </c>
      <c r="AB91" s="254">
        <v>14.1</v>
      </c>
      <c r="AC91" s="255">
        <v>1.5</v>
      </c>
      <c r="AD91" s="260">
        <v>2.29</v>
      </c>
    </row>
    <row r="92" spans="1:30" ht="12.75">
      <c r="A92" s="46"/>
      <c r="B92" s="5"/>
      <c r="C92" s="67"/>
      <c r="D92" s="42"/>
      <c r="E92" s="37"/>
      <c r="F92" s="37"/>
      <c r="G92" s="43"/>
      <c r="H92" s="43"/>
      <c r="I92" s="43"/>
      <c r="M92" s="90"/>
      <c r="N92" s="7"/>
      <c r="O92" s="29"/>
      <c r="P92" s="78"/>
      <c r="Q92" s="29"/>
      <c r="R92" s="29"/>
      <c r="S92" s="29"/>
      <c r="T92" s="29"/>
      <c r="U92" s="29"/>
      <c r="V92" s="106"/>
      <c r="W92" s="106"/>
      <c r="X92" s="106"/>
      <c r="Y92" s="253" t="s">
        <v>219</v>
      </c>
      <c r="Z92" s="257">
        <v>28.1</v>
      </c>
      <c r="AA92" s="256">
        <v>0.75</v>
      </c>
      <c r="AB92" s="254">
        <v>14</v>
      </c>
      <c r="AC92" s="255">
        <v>1.34</v>
      </c>
      <c r="AD92" s="260">
        <v>2.13</v>
      </c>
    </row>
    <row r="93" spans="1:30" ht="12.75">
      <c r="A93" s="46"/>
      <c r="B93" s="5"/>
      <c r="C93" s="42"/>
      <c r="D93" s="42"/>
      <c r="E93" s="37"/>
      <c r="F93" s="37"/>
      <c r="G93" s="43"/>
      <c r="H93" s="85"/>
      <c r="I93" s="67"/>
      <c r="M93" s="90"/>
      <c r="N93" s="13"/>
      <c r="O93" s="29"/>
      <c r="P93" s="40"/>
      <c r="Q93" s="29"/>
      <c r="R93" s="29"/>
      <c r="S93" s="29"/>
      <c r="T93" s="29"/>
      <c r="U93" s="29"/>
      <c r="V93" s="106"/>
      <c r="W93" s="106"/>
      <c r="X93" s="106"/>
      <c r="Y93" s="253" t="s">
        <v>220</v>
      </c>
      <c r="Z93" s="257">
        <v>27.8</v>
      </c>
      <c r="AA93" s="256">
        <v>0.725</v>
      </c>
      <c r="AB93" s="254">
        <v>14.1</v>
      </c>
      <c r="AC93" s="255">
        <v>1.19</v>
      </c>
      <c r="AD93" s="260">
        <v>1.98</v>
      </c>
    </row>
    <row r="94" spans="1:30" ht="12.75">
      <c r="A94" s="43"/>
      <c r="B94" s="43"/>
      <c r="C94" s="43"/>
      <c r="D94" s="43"/>
      <c r="E94" s="37"/>
      <c r="F94" s="37"/>
      <c r="G94" s="43"/>
      <c r="H94" s="43"/>
      <c r="I94" s="43"/>
      <c r="M94" s="87"/>
      <c r="N94" s="11"/>
      <c r="O94" s="79"/>
      <c r="P94" s="79"/>
      <c r="Q94" s="29"/>
      <c r="R94" s="29"/>
      <c r="S94" s="29"/>
      <c r="T94" s="29"/>
      <c r="U94" s="29"/>
      <c r="V94" s="106"/>
      <c r="W94" s="106"/>
      <c r="X94" s="106"/>
      <c r="Y94" s="253" t="s">
        <v>221</v>
      </c>
      <c r="Z94" s="257">
        <v>27.6</v>
      </c>
      <c r="AA94" s="256">
        <v>0.66</v>
      </c>
      <c r="AB94" s="254">
        <v>14</v>
      </c>
      <c r="AC94" s="255">
        <v>1.08</v>
      </c>
      <c r="AD94" s="260">
        <v>1.87</v>
      </c>
    </row>
    <row r="95" spans="1:30" ht="12.75">
      <c r="A95" s="43"/>
      <c r="B95" s="43"/>
      <c r="C95" s="43"/>
      <c r="D95" s="43"/>
      <c r="E95" s="37"/>
      <c r="F95" s="37"/>
      <c r="G95" s="37"/>
      <c r="H95" s="43"/>
      <c r="I95" s="43"/>
      <c r="M95" s="87"/>
      <c r="N95" s="11"/>
      <c r="O95" s="79"/>
      <c r="P95" s="79"/>
      <c r="Q95" s="29"/>
      <c r="R95" s="29"/>
      <c r="S95" s="29"/>
      <c r="T95" s="29"/>
      <c r="U95" s="29"/>
      <c r="V95" s="106"/>
      <c r="W95" s="106"/>
      <c r="X95" s="106"/>
      <c r="Y95" s="253" t="s">
        <v>222</v>
      </c>
      <c r="Z95" s="257">
        <v>27.4</v>
      </c>
      <c r="AA95" s="256">
        <v>0.605</v>
      </c>
      <c r="AB95" s="254">
        <v>14</v>
      </c>
      <c r="AC95" s="256">
        <v>0.975</v>
      </c>
      <c r="AD95" s="260">
        <v>1.76</v>
      </c>
    </row>
    <row r="96" spans="1:30" ht="12.75">
      <c r="A96" s="43"/>
      <c r="B96" s="43"/>
      <c r="C96" s="43"/>
      <c r="D96" s="43"/>
      <c r="E96" s="37"/>
      <c r="F96" s="37"/>
      <c r="G96" s="37"/>
      <c r="H96" s="37"/>
      <c r="I96" s="37"/>
      <c r="M96" s="90"/>
      <c r="N96" s="13"/>
      <c r="O96" s="29"/>
      <c r="P96" s="78"/>
      <c r="Q96" s="29"/>
      <c r="R96" s="29"/>
      <c r="S96" s="29"/>
      <c r="T96" s="29"/>
      <c r="U96" s="29"/>
      <c r="V96" s="106"/>
      <c r="W96" s="106"/>
      <c r="X96" s="106"/>
      <c r="Y96" s="253" t="s">
        <v>223</v>
      </c>
      <c r="Z96" s="257">
        <v>27.6</v>
      </c>
      <c r="AA96" s="256">
        <v>0.61</v>
      </c>
      <c r="AB96" s="254">
        <v>10</v>
      </c>
      <c r="AC96" s="255">
        <v>1.1</v>
      </c>
      <c r="AD96" s="260">
        <v>1.7</v>
      </c>
    </row>
    <row r="97" spans="1:30" ht="12.75">
      <c r="A97" s="43"/>
      <c r="B97" s="43"/>
      <c r="C97" s="43"/>
      <c r="D97" s="43"/>
      <c r="E97" s="37"/>
      <c r="F97" s="37"/>
      <c r="G97" s="37"/>
      <c r="H97" s="43"/>
      <c r="I97" s="43"/>
      <c r="M97" s="87"/>
      <c r="N97" s="9"/>
      <c r="O97" s="79"/>
      <c r="P97" s="29"/>
      <c r="Q97" s="29"/>
      <c r="R97" s="29"/>
      <c r="S97" s="29"/>
      <c r="T97" s="29"/>
      <c r="U97" s="29"/>
      <c r="V97" s="106"/>
      <c r="W97" s="106"/>
      <c r="X97" s="106"/>
      <c r="Y97" s="253" t="s">
        <v>224</v>
      </c>
      <c r="Z97" s="257">
        <v>27.3</v>
      </c>
      <c r="AA97" s="256">
        <v>0.57</v>
      </c>
      <c r="AB97" s="254">
        <v>10.1</v>
      </c>
      <c r="AC97" s="256">
        <v>0.93</v>
      </c>
      <c r="AD97" s="260">
        <v>1.53</v>
      </c>
    </row>
    <row r="98" spans="1:30" ht="12.75">
      <c r="A98" s="43"/>
      <c r="B98" s="43"/>
      <c r="C98" s="43"/>
      <c r="D98" s="43"/>
      <c r="E98" s="37"/>
      <c r="F98" s="37"/>
      <c r="G98" s="37"/>
      <c r="H98" s="43"/>
      <c r="I98" s="37"/>
      <c r="M98" s="29"/>
      <c r="N98" s="29"/>
      <c r="O98" s="29"/>
      <c r="P98" s="29"/>
      <c r="Q98" s="29"/>
      <c r="R98" s="29"/>
      <c r="S98" s="29"/>
      <c r="T98" s="29"/>
      <c r="U98" s="29"/>
      <c r="V98" s="106"/>
      <c r="W98" s="106"/>
      <c r="X98" s="106"/>
      <c r="Y98" s="253" t="s">
        <v>225</v>
      </c>
      <c r="Z98" s="257">
        <v>27.1</v>
      </c>
      <c r="AA98" s="256">
        <v>0.515</v>
      </c>
      <c r="AB98" s="254">
        <v>10</v>
      </c>
      <c r="AC98" s="256">
        <v>0.83</v>
      </c>
      <c r="AD98" s="260">
        <v>1.43</v>
      </c>
    </row>
    <row r="99" spans="1:30" ht="12.75">
      <c r="A99" s="43"/>
      <c r="B99" s="43"/>
      <c r="C99" s="43"/>
      <c r="D99" s="43"/>
      <c r="E99" s="43"/>
      <c r="F99" s="37"/>
      <c r="G99" s="37"/>
      <c r="H99" s="43"/>
      <c r="I99" s="43"/>
      <c r="M99" s="79"/>
      <c r="N99" s="29"/>
      <c r="O99" s="29"/>
      <c r="P99" s="79"/>
      <c r="Q99" s="29"/>
      <c r="R99" s="29"/>
      <c r="S99" s="29"/>
      <c r="T99" s="29"/>
      <c r="U99" s="29"/>
      <c r="V99" s="106"/>
      <c r="W99" s="106"/>
      <c r="X99" s="106"/>
      <c r="Y99" s="253" t="s">
        <v>226</v>
      </c>
      <c r="Z99" s="257">
        <v>26.9</v>
      </c>
      <c r="AA99" s="256">
        <v>0.49</v>
      </c>
      <c r="AB99" s="254">
        <v>10</v>
      </c>
      <c r="AC99" s="256">
        <v>0.745</v>
      </c>
      <c r="AD99" s="260">
        <v>1.34</v>
      </c>
    </row>
    <row r="100" spans="1:30" ht="12.75">
      <c r="A100" s="43"/>
      <c r="B100" s="43"/>
      <c r="C100" s="43"/>
      <c r="D100" s="43"/>
      <c r="E100" s="37"/>
      <c r="F100" s="37"/>
      <c r="G100" s="37"/>
      <c r="H100" s="60"/>
      <c r="I100" s="8"/>
      <c r="M100" s="87"/>
      <c r="N100" s="9"/>
      <c r="O100" s="79"/>
      <c r="P100" s="79"/>
      <c r="Q100" s="29"/>
      <c r="R100" s="29"/>
      <c r="S100" s="29"/>
      <c r="T100" s="29"/>
      <c r="U100" s="29"/>
      <c r="V100" s="106"/>
      <c r="W100" s="106"/>
      <c r="X100" s="106"/>
      <c r="Y100" s="253" t="s">
        <v>227</v>
      </c>
      <c r="Z100" s="257">
        <v>26.7</v>
      </c>
      <c r="AA100" s="256">
        <v>0.46</v>
      </c>
      <c r="AB100" s="254">
        <v>10</v>
      </c>
      <c r="AC100" s="256">
        <v>0.64</v>
      </c>
      <c r="AD100" s="260">
        <v>1.24</v>
      </c>
    </row>
    <row r="101" spans="1:30" ht="12.75">
      <c r="A101" s="43"/>
      <c r="B101" s="43"/>
      <c r="C101" s="43"/>
      <c r="D101" s="43"/>
      <c r="E101" s="43"/>
      <c r="F101" s="43"/>
      <c r="G101" s="43"/>
      <c r="H101" s="60"/>
      <c r="I101" s="95"/>
      <c r="M101" s="87"/>
      <c r="N101" s="9"/>
      <c r="O101" s="79"/>
      <c r="P101" s="79"/>
      <c r="Q101" s="29"/>
      <c r="R101" s="29"/>
      <c r="S101" s="29"/>
      <c r="T101" s="29"/>
      <c r="U101" s="29"/>
      <c r="V101" s="106"/>
      <c r="W101" s="106"/>
      <c r="X101" s="106"/>
      <c r="Y101" s="253" t="s">
        <v>228</v>
      </c>
      <c r="Z101" s="257">
        <v>28</v>
      </c>
      <c r="AA101" s="255">
        <v>1.52</v>
      </c>
      <c r="AB101" s="254">
        <v>13.7</v>
      </c>
      <c r="AC101" s="255">
        <v>2.72</v>
      </c>
      <c r="AD101" s="260">
        <v>3.22</v>
      </c>
    </row>
    <row r="102" spans="1:30" ht="12.75">
      <c r="A102" s="101"/>
      <c r="B102" s="43"/>
      <c r="C102" s="43"/>
      <c r="D102" s="43"/>
      <c r="E102" s="43"/>
      <c r="F102" s="43"/>
      <c r="G102" s="37"/>
      <c r="H102" s="60"/>
      <c r="I102" s="110"/>
      <c r="M102" s="87"/>
      <c r="N102" s="9"/>
      <c r="O102" s="79"/>
      <c r="P102" s="40"/>
      <c r="Q102" s="29"/>
      <c r="R102" s="29"/>
      <c r="S102" s="29"/>
      <c r="T102" s="29"/>
      <c r="U102" s="29"/>
      <c r="V102" s="106"/>
      <c r="W102" s="106"/>
      <c r="X102" s="106"/>
      <c r="Y102" s="253" t="s">
        <v>229</v>
      </c>
      <c r="Z102" s="257">
        <v>27.5</v>
      </c>
      <c r="AA102" s="255">
        <v>1.38</v>
      </c>
      <c r="AB102" s="254">
        <v>13.5</v>
      </c>
      <c r="AC102" s="255">
        <v>2.48</v>
      </c>
      <c r="AD102" s="260">
        <v>2.98</v>
      </c>
    </row>
    <row r="103" spans="1:30" ht="12.75">
      <c r="A103" s="37"/>
      <c r="B103" s="43"/>
      <c r="C103" s="43"/>
      <c r="D103" s="72"/>
      <c r="E103" s="43"/>
      <c r="F103" s="43"/>
      <c r="G103" s="43"/>
      <c r="H103" s="111"/>
      <c r="I103" s="8"/>
      <c r="M103" s="79"/>
      <c r="N103" s="29"/>
      <c r="O103" s="29"/>
      <c r="P103" s="79"/>
      <c r="Q103" s="29"/>
      <c r="R103" s="29"/>
      <c r="S103" s="29"/>
      <c r="T103" s="29"/>
      <c r="U103" s="29"/>
      <c r="V103" s="106"/>
      <c r="W103" s="106"/>
      <c r="X103" s="106"/>
      <c r="Y103" s="253" t="s">
        <v>230</v>
      </c>
      <c r="Z103" s="257">
        <v>27.1</v>
      </c>
      <c r="AA103" s="255">
        <v>1.26</v>
      </c>
      <c r="AB103" s="254">
        <v>13.4</v>
      </c>
      <c r="AC103" s="255">
        <v>2.28</v>
      </c>
      <c r="AD103" s="260">
        <v>2.78</v>
      </c>
    </row>
    <row r="104" spans="1:30" ht="12.75">
      <c r="A104" s="46"/>
      <c r="B104" s="105"/>
      <c r="C104" s="42"/>
      <c r="D104" s="42"/>
      <c r="E104" s="43"/>
      <c r="F104" s="43"/>
      <c r="G104" s="43"/>
      <c r="H104" s="60"/>
      <c r="I104" s="8"/>
      <c r="M104" s="87"/>
      <c r="N104" s="9"/>
      <c r="O104" s="79"/>
      <c r="P104" s="79"/>
      <c r="Q104" s="29"/>
      <c r="R104" s="29"/>
      <c r="S104" s="29"/>
      <c r="T104" s="29"/>
      <c r="U104" s="29"/>
      <c r="V104" s="125"/>
      <c r="W104" s="125"/>
      <c r="X104" s="125"/>
      <c r="Y104" s="253" t="s">
        <v>231</v>
      </c>
      <c r="Z104" s="257">
        <v>26.7</v>
      </c>
      <c r="AA104" s="255">
        <v>1.16</v>
      </c>
      <c r="AB104" s="254">
        <v>13.3</v>
      </c>
      <c r="AC104" s="255">
        <v>2.09</v>
      </c>
      <c r="AD104" s="260">
        <v>2.59</v>
      </c>
    </row>
    <row r="105" spans="1:30" ht="12.75">
      <c r="A105" s="46"/>
      <c r="B105" s="129"/>
      <c r="C105" s="42"/>
      <c r="D105" s="42"/>
      <c r="E105" s="43"/>
      <c r="F105" s="43"/>
      <c r="G105" s="43"/>
      <c r="H105" s="43"/>
      <c r="I105" s="43"/>
      <c r="M105" s="87"/>
      <c r="N105" s="9"/>
      <c r="O105" s="79"/>
      <c r="P105" s="79"/>
      <c r="Q105" s="29"/>
      <c r="R105" s="29"/>
      <c r="S105" s="29"/>
      <c r="T105" s="29"/>
      <c r="U105" s="29"/>
      <c r="V105" s="107"/>
      <c r="W105" s="107"/>
      <c r="X105" s="107"/>
      <c r="Y105" s="253" t="s">
        <v>232</v>
      </c>
      <c r="Z105" s="257">
        <v>26.3</v>
      </c>
      <c r="AA105" s="255">
        <v>1.04</v>
      </c>
      <c r="AB105" s="254">
        <v>13.2</v>
      </c>
      <c r="AC105" s="255">
        <v>1.89</v>
      </c>
      <c r="AD105" s="260">
        <v>2.39</v>
      </c>
    </row>
    <row r="106" spans="1:30" ht="12.75">
      <c r="A106" s="46"/>
      <c r="B106" s="39"/>
      <c r="C106" s="42"/>
      <c r="D106" s="42"/>
      <c r="E106" s="43"/>
      <c r="F106" s="43"/>
      <c r="G106" s="43"/>
      <c r="H106" s="43"/>
      <c r="I106" s="43"/>
      <c r="M106" s="87"/>
      <c r="N106" s="9"/>
      <c r="O106" s="79"/>
      <c r="P106" s="79"/>
      <c r="Q106" s="29"/>
      <c r="R106" s="29"/>
      <c r="S106" s="29"/>
      <c r="T106" s="29"/>
      <c r="U106" s="29"/>
      <c r="V106" s="29"/>
      <c r="W106" s="29"/>
      <c r="X106" s="29"/>
      <c r="Y106" s="253" t="s">
        <v>233</v>
      </c>
      <c r="Z106" s="257">
        <v>26</v>
      </c>
      <c r="AA106" s="256">
        <v>0.96</v>
      </c>
      <c r="AB106" s="254">
        <v>13.1</v>
      </c>
      <c r="AC106" s="255">
        <v>1.73</v>
      </c>
      <c r="AD106" s="260">
        <v>2.23</v>
      </c>
    </row>
    <row r="107" spans="1:30" ht="12.75">
      <c r="A107" s="46"/>
      <c r="B107" s="39"/>
      <c r="C107" s="99"/>
      <c r="D107" s="72"/>
      <c r="E107" s="43"/>
      <c r="F107" s="43"/>
      <c r="G107" s="43"/>
      <c r="H107" s="43"/>
      <c r="I107" s="43"/>
      <c r="M107" s="65"/>
      <c r="N107" s="20"/>
      <c r="O107" s="40"/>
      <c r="P107" s="79"/>
      <c r="Q107" s="29"/>
      <c r="R107" s="29"/>
      <c r="S107" s="29"/>
      <c r="T107" s="29"/>
      <c r="U107" s="29"/>
      <c r="V107" s="123"/>
      <c r="W107" s="123"/>
      <c r="X107" s="123"/>
      <c r="Y107" s="253" t="s">
        <v>234</v>
      </c>
      <c r="Z107" s="257">
        <v>25.7</v>
      </c>
      <c r="AA107" s="256">
        <v>0.87</v>
      </c>
      <c r="AB107" s="254">
        <v>13</v>
      </c>
      <c r="AC107" s="255">
        <v>1.57</v>
      </c>
      <c r="AD107" s="260">
        <v>2.07</v>
      </c>
    </row>
    <row r="108" spans="1:30" ht="12.75">
      <c r="A108" s="46"/>
      <c r="B108" s="5"/>
      <c r="C108" s="42"/>
      <c r="D108" s="42"/>
      <c r="E108" s="43"/>
      <c r="F108" s="43"/>
      <c r="G108" s="43"/>
      <c r="H108" s="43"/>
      <c r="I108" s="43"/>
      <c r="M108" s="29"/>
      <c r="N108" s="29"/>
      <c r="O108" s="29"/>
      <c r="P108" s="79"/>
      <c r="Q108" s="29"/>
      <c r="R108" s="29"/>
      <c r="S108" s="29"/>
      <c r="T108" s="29"/>
      <c r="U108" s="29"/>
      <c r="V108" s="124"/>
      <c r="W108" s="124"/>
      <c r="X108" s="124"/>
      <c r="Y108" s="253" t="s">
        <v>235</v>
      </c>
      <c r="Z108" s="257">
        <v>25.5</v>
      </c>
      <c r="AA108" s="256">
        <v>0.81</v>
      </c>
      <c r="AB108" s="254">
        <v>13</v>
      </c>
      <c r="AC108" s="255">
        <v>1.46</v>
      </c>
      <c r="AD108" s="260">
        <v>1.96</v>
      </c>
    </row>
    <row r="109" spans="1:30" ht="12.75">
      <c r="A109" s="46"/>
      <c r="B109" s="10"/>
      <c r="C109" s="42"/>
      <c r="D109" s="42"/>
      <c r="E109" s="43"/>
      <c r="F109" s="37"/>
      <c r="G109" s="37"/>
      <c r="H109" s="37"/>
      <c r="I109" s="37"/>
      <c r="M109" s="127"/>
      <c r="N109" s="102"/>
      <c r="O109" s="40"/>
      <c r="P109" s="79"/>
      <c r="Q109" s="29"/>
      <c r="R109" s="29"/>
      <c r="S109" s="29"/>
      <c r="T109" s="29"/>
      <c r="U109" s="29"/>
      <c r="V109" s="125"/>
      <c r="W109" s="125"/>
      <c r="X109" s="125"/>
      <c r="Y109" s="253" t="s">
        <v>236</v>
      </c>
      <c r="Z109" s="257">
        <v>25.2</v>
      </c>
      <c r="AA109" s="256">
        <v>0.75</v>
      </c>
      <c r="AB109" s="254">
        <v>12.9</v>
      </c>
      <c r="AC109" s="255">
        <v>1.34</v>
      </c>
      <c r="AD109" s="260">
        <v>1.84</v>
      </c>
    </row>
    <row r="110" spans="1:30" ht="12.75">
      <c r="A110" s="46"/>
      <c r="B110" s="5"/>
      <c r="C110" s="42"/>
      <c r="D110" s="42"/>
      <c r="E110" s="43"/>
      <c r="F110" s="37"/>
      <c r="G110" s="37"/>
      <c r="H110" s="37"/>
      <c r="I110" s="37"/>
      <c r="M110" s="127"/>
      <c r="N110" s="4"/>
      <c r="O110" s="40"/>
      <c r="P110" s="79"/>
      <c r="Q110" s="29"/>
      <c r="R110" s="29"/>
      <c r="S110" s="29"/>
      <c r="T110" s="29"/>
      <c r="U110" s="29"/>
      <c r="V110" s="106"/>
      <c r="W110" s="106"/>
      <c r="X110" s="106"/>
      <c r="Y110" s="253" t="s">
        <v>237</v>
      </c>
      <c r="Z110" s="257">
        <v>25</v>
      </c>
      <c r="AA110" s="256">
        <v>0.705</v>
      </c>
      <c r="AB110" s="254">
        <v>13</v>
      </c>
      <c r="AC110" s="255">
        <v>1.22</v>
      </c>
      <c r="AD110" s="260">
        <v>1.72</v>
      </c>
    </row>
    <row r="111" spans="1:30" ht="12.75">
      <c r="A111" s="46"/>
      <c r="B111" s="5"/>
      <c r="C111" s="42"/>
      <c r="D111" s="6"/>
      <c r="E111" s="43"/>
      <c r="F111" s="43"/>
      <c r="G111" s="43"/>
      <c r="H111" s="43"/>
      <c r="I111" s="43"/>
      <c r="M111" s="91"/>
      <c r="N111" s="4"/>
      <c r="O111" s="56"/>
      <c r="P111" s="79"/>
      <c r="Q111" s="29"/>
      <c r="R111" s="29"/>
      <c r="S111" s="29"/>
      <c r="T111" s="29"/>
      <c r="U111" s="29"/>
      <c r="V111" s="106"/>
      <c r="W111" s="106"/>
      <c r="X111" s="106"/>
      <c r="Y111" s="253" t="s">
        <v>238</v>
      </c>
      <c r="Z111" s="257">
        <v>24.7</v>
      </c>
      <c r="AA111" s="256">
        <v>0.65</v>
      </c>
      <c r="AB111" s="254">
        <v>12.9</v>
      </c>
      <c r="AC111" s="255">
        <v>1.09</v>
      </c>
      <c r="AD111" s="260">
        <v>1.59</v>
      </c>
    </row>
    <row r="112" spans="1:30" ht="12.75">
      <c r="A112" s="46"/>
      <c r="B112" s="5"/>
      <c r="C112" s="42"/>
      <c r="D112" s="42"/>
      <c r="E112" s="43"/>
      <c r="F112" s="43"/>
      <c r="G112" s="43"/>
      <c r="H112" s="43"/>
      <c r="I112" s="43"/>
      <c r="M112" s="29"/>
      <c r="N112" s="87"/>
      <c r="O112" s="79"/>
      <c r="P112" s="79"/>
      <c r="Q112" s="29"/>
      <c r="R112" s="29"/>
      <c r="S112" s="29"/>
      <c r="T112" s="29"/>
      <c r="U112" s="29"/>
      <c r="V112" s="106"/>
      <c r="W112" s="106"/>
      <c r="X112" s="106"/>
      <c r="Y112" s="253" t="s">
        <v>239</v>
      </c>
      <c r="Z112" s="257">
        <v>24.5</v>
      </c>
      <c r="AA112" s="256">
        <v>0.605</v>
      </c>
      <c r="AB112" s="254">
        <v>12.9</v>
      </c>
      <c r="AC112" s="256">
        <v>0.96</v>
      </c>
      <c r="AD112" s="260">
        <v>1.46</v>
      </c>
    </row>
    <row r="113" spans="1:30" ht="12.75">
      <c r="A113" s="46"/>
      <c r="B113" s="5"/>
      <c r="C113" s="42"/>
      <c r="D113" s="37"/>
      <c r="E113" s="43"/>
      <c r="F113" s="43"/>
      <c r="G113" s="43"/>
      <c r="H113" s="44"/>
      <c r="I113" s="43"/>
      <c r="M113" s="87"/>
      <c r="N113" s="9"/>
      <c r="O113" s="79"/>
      <c r="P113" s="79"/>
      <c r="Q113" s="29"/>
      <c r="R113" s="29"/>
      <c r="S113" s="4"/>
      <c r="T113" s="29"/>
      <c r="U113" s="29"/>
      <c r="V113" s="106"/>
      <c r="W113" s="106"/>
      <c r="X113" s="106"/>
      <c r="Y113" s="253" t="s">
        <v>240</v>
      </c>
      <c r="Z113" s="257">
        <v>24.3</v>
      </c>
      <c r="AA113" s="256">
        <v>0.55</v>
      </c>
      <c r="AB113" s="254">
        <v>12.8</v>
      </c>
      <c r="AC113" s="256">
        <v>0.85</v>
      </c>
      <c r="AD113" s="260">
        <v>1.35</v>
      </c>
    </row>
    <row r="114" spans="1:30" ht="12.75">
      <c r="A114" s="43"/>
      <c r="B114" s="43"/>
      <c r="C114" s="43"/>
      <c r="D114" s="43"/>
      <c r="E114" s="43"/>
      <c r="F114" s="43"/>
      <c r="G114" s="43"/>
      <c r="H114" s="43"/>
      <c r="I114" s="43"/>
      <c r="M114" s="87"/>
      <c r="N114" s="9"/>
      <c r="O114" s="79"/>
      <c r="P114" s="40"/>
      <c r="Q114" s="29"/>
      <c r="R114" s="29"/>
      <c r="S114" s="29"/>
      <c r="T114" s="29"/>
      <c r="U114" s="29"/>
      <c r="V114" s="106"/>
      <c r="W114" s="106"/>
      <c r="X114" s="106"/>
      <c r="Y114" s="253" t="s">
        <v>241</v>
      </c>
      <c r="Z114" s="257">
        <v>24.1</v>
      </c>
      <c r="AA114" s="256">
        <v>0.5</v>
      </c>
      <c r="AB114" s="254">
        <v>12.8</v>
      </c>
      <c r="AC114" s="256">
        <v>0.75</v>
      </c>
      <c r="AD114" s="260">
        <v>1.25</v>
      </c>
    </row>
    <row r="115" spans="1:30" ht="12.75">
      <c r="A115" s="101"/>
      <c r="B115" s="43"/>
      <c r="C115" s="60"/>
      <c r="D115" s="43"/>
      <c r="E115" s="43"/>
      <c r="F115" s="37"/>
      <c r="G115" s="43"/>
      <c r="H115" s="67"/>
      <c r="I115" s="67"/>
      <c r="M115" s="87"/>
      <c r="N115" s="9"/>
      <c r="O115" s="79"/>
      <c r="P115" s="79"/>
      <c r="Q115" s="29"/>
      <c r="R115" s="29"/>
      <c r="S115" s="29"/>
      <c r="T115" s="29"/>
      <c r="U115" s="29"/>
      <c r="V115" s="106"/>
      <c r="W115" s="106"/>
      <c r="X115" s="106"/>
      <c r="Y115" s="253" t="s">
        <v>242</v>
      </c>
      <c r="Z115" s="257">
        <v>24.5</v>
      </c>
      <c r="AA115" s="256">
        <v>0.55</v>
      </c>
      <c r="AB115" s="255">
        <v>9</v>
      </c>
      <c r="AC115" s="256">
        <v>0.98</v>
      </c>
      <c r="AD115" s="260">
        <v>1.48</v>
      </c>
    </row>
    <row r="116" spans="1:30" ht="12.75">
      <c r="A116" s="37"/>
      <c r="B116" s="43"/>
      <c r="C116" s="43"/>
      <c r="D116" s="49"/>
      <c r="E116" s="43"/>
      <c r="F116" s="43"/>
      <c r="G116" s="43"/>
      <c r="H116" s="67"/>
      <c r="I116" s="67"/>
      <c r="M116" s="87"/>
      <c r="N116" s="4"/>
      <c r="O116" s="79"/>
      <c r="P116" s="79"/>
      <c r="Q116" s="29"/>
      <c r="R116" s="29"/>
      <c r="S116" s="29"/>
      <c r="T116" s="29"/>
      <c r="U116" s="29"/>
      <c r="V116" s="106"/>
      <c r="W116" s="106"/>
      <c r="X116" s="106"/>
      <c r="Y116" s="253" t="s">
        <v>243</v>
      </c>
      <c r="Z116" s="257">
        <v>24.3</v>
      </c>
      <c r="AA116" s="256">
        <v>0.515</v>
      </c>
      <c r="AB116" s="255">
        <v>9.07</v>
      </c>
      <c r="AC116" s="256">
        <v>0.875</v>
      </c>
      <c r="AD116" s="260">
        <v>1.38</v>
      </c>
    </row>
    <row r="117" spans="1:30" ht="12.75">
      <c r="A117" s="70"/>
      <c r="B117" s="39"/>
      <c r="C117" s="49"/>
      <c r="D117" s="43"/>
      <c r="E117" s="43"/>
      <c r="F117" s="43"/>
      <c r="G117" s="43"/>
      <c r="H117" s="67"/>
      <c r="I117" s="67"/>
      <c r="M117" s="87"/>
      <c r="N117" s="9"/>
      <c r="O117" s="79"/>
      <c r="P117" s="19"/>
      <c r="Q117" s="29"/>
      <c r="R117" s="29"/>
      <c r="S117" s="29"/>
      <c r="T117" s="29"/>
      <c r="U117" s="29"/>
      <c r="V117" s="106"/>
      <c r="W117" s="106"/>
      <c r="X117" s="106"/>
      <c r="Y117" s="253" t="s">
        <v>244</v>
      </c>
      <c r="Z117" s="257">
        <v>24.1</v>
      </c>
      <c r="AA117" s="256">
        <v>0.47</v>
      </c>
      <c r="AB117" s="255">
        <v>9.02</v>
      </c>
      <c r="AC117" s="256">
        <v>0.77</v>
      </c>
      <c r="AD117" s="260">
        <v>1.27</v>
      </c>
    </row>
    <row r="118" spans="1:30" ht="12.75">
      <c r="A118" s="70"/>
      <c r="B118" s="39"/>
      <c r="C118" s="49"/>
      <c r="D118" s="43"/>
      <c r="E118" s="43"/>
      <c r="F118" s="37"/>
      <c r="G118" s="37"/>
      <c r="H118" s="67"/>
      <c r="I118" s="67"/>
      <c r="M118" s="87"/>
      <c r="N118" s="9"/>
      <c r="O118" s="79"/>
      <c r="P118" s="79"/>
      <c r="Q118" s="29"/>
      <c r="R118" s="29"/>
      <c r="S118" s="29"/>
      <c r="T118" s="29"/>
      <c r="U118" s="29"/>
      <c r="V118" s="106"/>
      <c r="W118" s="106"/>
      <c r="X118" s="106"/>
      <c r="Y118" s="253" t="s">
        <v>245</v>
      </c>
      <c r="Z118" s="257">
        <v>23.9</v>
      </c>
      <c r="AA118" s="256">
        <v>0.44</v>
      </c>
      <c r="AB118" s="255">
        <v>8.99</v>
      </c>
      <c r="AC118" s="256">
        <v>0.68</v>
      </c>
      <c r="AD118" s="260">
        <v>1.18</v>
      </c>
    </row>
    <row r="119" spans="1:30" ht="12.75">
      <c r="A119" s="70"/>
      <c r="B119" s="39"/>
      <c r="C119" s="49"/>
      <c r="D119" s="42"/>
      <c r="E119" s="43"/>
      <c r="F119" s="43"/>
      <c r="G119" s="43"/>
      <c r="H119" s="67"/>
      <c r="I119" s="67"/>
      <c r="M119" s="79"/>
      <c r="N119" s="29"/>
      <c r="O119" s="29"/>
      <c r="P119" s="79"/>
      <c r="Q119" s="29"/>
      <c r="R119" s="29"/>
      <c r="S119" s="29"/>
      <c r="T119" s="29"/>
      <c r="U119" s="29"/>
      <c r="V119" s="106"/>
      <c r="W119" s="106"/>
      <c r="X119" s="106"/>
      <c r="Y119" s="253" t="s">
        <v>246</v>
      </c>
      <c r="Z119" s="257">
        <v>23.7</v>
      </c>
      <c r="AA119" s="256">
        <v>0.415</v>
      </c>
      <c r="AB119" s="255">
        <v>8.97</v>
      </c>
      <c r="AC119" s="256">
        <v>0.585</v>
      </c>
      <c r="AD119" s="260">
        <v>1.09</v>
      </c>
    </row>
    <row r="120" spans="1:30" ht="12.75">
      <c r="A120" s="46"/>
      <c r="B120" s="39"/>
      <c r="C120" s="44"/>
      <c r="D120" s="72"/>
      <c r="E120" s="43"/>
      <c r="F120" s="43"/>
      <c r="G120" s="43"/>
      <c r="H120" s="67"/>
      <c r="I120" s="67"/>
      <c r="M120" s="87"/>
      <c r="N120" s="9"/>
      <c r="O120" s="79"/>
      <c r="P120" s="79"/>
      <c r="Q120" s="29"/>
      <c r="R120" s="29"/>
      <c r="S120" s="29"/>
      <c r="T120" s="29"/>
      <c r="U120" s="29"/>
      <c r="V120" s="106"/>
      <c r="W120" s="106"/>
      <c r="X120" s="106"/>
      <c r="Y120" s="253" t="s">
        <v>247</v>
      </c>
      <c r="Z120" s="257">
        <v>23.7</v>
      </c>
      <c r="AA120" s="256">
        <v>0.43</v>
      </c>
      <c r="AB120" s="255">
        <v>7.04</v>
      </c>
      <c r="AC120" s="256">
        <v>0.59</v>
      </c>
      <c r="AD120" s="260">
        <v>1.09</v>
      </c>
    </row>
    <row r="121" spans="1:30" ht="12.75">
      <c r="A121" s="46"/>
      <c r="B121" s="39"/>
      <c r="C121" s="85"/>
      <c r="D121" s="72"/>
      <c r="E121" s="43"/>
      <c r="F121" s="43"/>
      <c r="G121" s="43"/>
      <c r="H121" s="67"/>
      <c r="I121" s="67"/>
      <c r="M121" s="87"/>
      <c r="N121" s="9"/>
      <c r="O121" s="79"/>
      <c r="P121" s="79"/>
      <c r="Q121" s="29"/>
      <c r="R121" s="29"/>
      <c r="S121" s="29"/>
      <c r="T121" s="29"/>
      <c r="U121" s="29"/>
      <c r="V121" s="106"/>
      <c r="W121" s="106"/>
      <c r="X121" s="106"/>
      <c r="Y121" s="253" t="s">
        <v>248</v>
      </c>
      <c r="Z121" s="257">
        <v>23.6</v>
      </c>
      <c r="AA121" s="256">
        <v>0.395</v>
      </c>
      <c r="AB121" s="255">
        <v>7.01</v>
      </c>
      <c r="AC121" s="256">
        <v>0.505</v>
      </c>
      <c r="AD121" s="260">
        <v>1.01</v>
      </c>
    </row>
    <row r="122" spans="1:30" ht="12.75">
      <c r="A122" s="70"/>
      <c r="B122" s="129"/>
      <c r="C122" s="49"/>
      <c r="D122" s="49"/>
      <c r="E122" s="43"/>
      <c r="F122" s="43"/>
      <c r="G122" s="43"/>
      <c r="H122" s="67"/>
      <c r="I122" s="67"/>
      <c r="M122" s="90"/>
      <c r="N122" s="11"/>
      <c r="O122" s="79"/>
      <c r="P122" s="78"/>
      <c r="Q122" s="29"/>
      <c r="R122" s="29"/>
      <c r="S122" s="29"/>
      <c r="T122" s="29"/>
      <c r="U122" s="29"/>
      <c r="V122" s="106"/>
      <c r="W122" s="106"/>
      <c r="X122" s="106"/>
      <c r="Y122" s="253" t="s">
        <v>249</v>
      </c>
      <c r="Z122" s="257">
        <v>23</v>
      </c>
      <c r="AA122" s="256">
        <v>0.91</v>
      </c>
      <c r="AB122" s="254">
        <v>12.6</v>
      </c>
      <c r="AC122" s="255">
        <v>1.63</v>
      </c>
      <c r="AD122" s="260">
        <v>2.13</v>
      </c>
    </row>
    <row r="123" spans="1:30" ht="12.75">
      <c r="A123" s="46"/>
      <c r="B123" s="39"/>
      <c r="C123" s="99"/>
      <c r="D123" s="72"/>
      <c r="E123" s="43"/>
      <c r="F123" s="43"/>
      <c r="G123" s="43"/>
      <c r="H123" s="67"/>
      <c r="I123" s="67"/>
      <c r="M123" s="90"/>
      <c r="N123" s="7"/>
      <c r="O123" s="79"/>
      <c r="P123" s="78"/>
      <c r="Q123" s="29"/>
      <c r="R123" s="29"/>
      <c r="S123" s="29"/>
      <c r="T123" s="29"/>
      <c r="U123" s="29"/>
      <c r="V123" s="106"/>
      <c r="W123" s="106"/>
      <c r="X123" s="106"/>
      <c r="Y123" s="253" t="s">
        <v>250</v>
      </c>
      <c r="Z123" s="257">
        <v>22.7</v>
      </c>
      <c r="AA123" s="256">
        <v>0.83</v>
      </c>
      <c r="AB123" s="254">
        <v>12.5</v>
      </c>
      <c r="AC123" s="255">
        <v>1.48</v>
      </c>
      <c r="AD123" s="260">
        <v>1.98</v>
      </c>
    </row>
    <row r="124" spans="1:30" ht="12.75">
      <c r="A124" s="74"/>
      <c r="B124" s="39"/>
      <c r="C124" s="49"/>
      <c r="D124" s="62"/>
      <c r="E124" s="42"/>
      <c r="F124" s="43"/>
      <c r="G124" s="85"/>
      <c r="H124" s="43"/>
      <c r="I124" s="39"/>
      <c r="M124" s="79"/>
      <c r="N124" s="29"/>
      <c r="O124" s="29"/>
      <c r="P124" s="79"/>
      <c r="Q124" s="29"/>
      <c r="R124" s="29"/>
      <c r="S124" s="29"/>
      <c r="T124" s="29"/>
      <c r="U124" s="29"/>
      <c r="V124" s="106"/>
      <c r="W124" s="106"/>
      <c r="X124" s="106"/>
      <c r="Y124" s="253" t="s">
        <v>251</v>
      </c>
      <c r="Z124" s="257">
        <v>22.5</v>
      </c>
      <c r="AA124" s="256">
        <v>0.75</v>
      </c>
      <c r="AB124" s="254">
        <v>12.4</v>
      </c>
      <c r="AC124" s="255">
        <v>1.36</v>
      </c>
      <c r="AD124" s="260">
        <v>1.86</v>
      </c>
    </row>
    <row r="125" spans="1:30" ht="12.75">
      <c r="A125" s="74"/>
      <c r="B125" s="39"/>
      <c r="C125" s="49"/>
      <c r="D125" s="62"/>
      <c r="E125" s="42"/>
      <c r="F125" s="43"/>
      <c r="G125" s="43"/>
      <c r="H125" s="67"/>
      <c r="I125" s="67"/>
      <c r="M125" s="87"/>
      <c r="N125" s="9"/>
      <c r="O125" s="79"/>
      <c r="P125" s="79"/>
      <c r="Q125" s="29"/>
      <c r="R125" s="29"/>
      <c r="S125" s="29"/>
      <c r="T125" s="29"/>
      <c r="U125" s="29"/>
      <c r="V125" s="106"/>
      <c r="W125" s="106"/>
      <c r="X125" s="106"/>
      <c r="Y125" s="253" t="s">
        <v>252</v>
      </c>
      <c r="Z125" s="257">
        <v>22.1</v>
      </c>
      <c r="AA125" s="256">
        <v>0.72</v>
      </c>
      <c r="AB125" s="254">
        <v>12.5</v>
      </c>
      <c r="AC125" s="255">
        <v>1.15</v>
      </c>
      <c r="AD125" s="260">
        <v>1.65</v>
      </c>
    </row>
    <row r="126" spans="1:30" ht="12.75">
      <c r="A126" s="70"/>
      <c r="B126" s="5"/>
      <c r="C126" s="49"/>
      <c r="D126" s="49"/>
      <c r="E126" s="43"/>
      <c r="F126" s="43"/>
      <c r="G126" s="43"/>
      <c r="H126" s="43"/>
      <c r="I126" s="43"/>
      <c r="M126" s="87"/>
      <c r="N126" s="9"/>
      <c r="O126" s="79"/>
      <c r="P126" s="40"/>
      <c r="Q126" s="29"/>
      <c r="R126" s="29"/>
      <c r="S126" s="29"/>
      <c r="T126" s="29"/>
      <c r="U126" s="29"/>
      <c r="V126" s="106"/>
      <c r="W126" s="106"/>
      <c r="X126" s="106"/>
      <c r="Y126" s="253" t="s">
        <v>253</v>
      </c>
      <c r="Z126" s="257">
        <v>21.8</v>
      </c>
      <c r="AA126" s="256">
        <v>0.65</v>
      </c>
      <c r="AB126" s="254">
        <v>12.4</v>
      </c>
      <c r="AC126" s="255">
        <v>1.04</v>
      </c>
      <c r="AD126" s="260">
        <v>1.54</v>
      </c>
    </row>
    <row r="127" spans="1:30" ht="12.75">
      <c r="A127" s="43"/>
      <c r="B127" s="43"/>
      <c r="C127" s="43"/>
      <c r="D127" s="43"/>
      <c r="E127" s="43"/>
      <c r="F127" s="43"/>
      <c r="G127" s="43"/>
      <c r="H127" s="44"/>
      <c r="I127" s="39"/>
      <c r="M127" s="79"/>
      <c r="N127" s="29"/>
      <c r="O127" s="29"/>
      <c r="P127" s="79"/>
      <c r="Q127" s="29"/>
      <c r="R127" s="29"/>
      <c r="S127" s="29"/>
      <c r="T127" s="29"/>
      <c r="U127" s="29"/>
      <c r="V127" s="106"/>
      <c r="W127" s="106"/>
      <c r="X127" s="106"/>
      <c r="Y127" s="253" t="s">
        <v>254</v>
      </c>
      <c r="Z127" s="257">
        <v>21.7</v>
      </c>
      <c r="AA127" s="256">
        <v>0.6</v>
      </c>
      <c r="AB127" s="254">
        <v>12.4</v>
      </c>
      <c r="AC127" s="256">
        <v>0.96</v>
      </c>
      <c r="AD127" s="260">
        <v>1.46</v>
      </c>
    </row>
    <row r="128" spans="1:30" ht="12.75">
      <c r="A128" s="43"/>
      <c r="B128" s="43"/>
      <c r="C128" s="43"/>
      <c r="D128" s="43"/>
      <c r="E128" s="43"/>
      <c r="F128" s="43"/>
      <c r="G128" s="85"/>
      <c r="H128" s="43"/>
      <c r="I128" s="39"/>
      <c r="M128" s="87"/>
      <c r="N128" s="9"/>
      <c r="O128" s="79"/>
      <c r="P128" s="79"/>
      <c r="Q128" s="29"/>
      <c r="R128" s="29"/>
      <c r="S128" s="29"/>
      <c r="T128" s="29"/>
      <c r="U128" s="29"/>
      <c r="V128" s="106"/>
      <c r="W128" s="106"/>
      <c r="X128" s="106"/>
      <c r="Y128" s="253" t="s">
        <v>255</v>
      </c>
      <c r="Z128" s="257">
        <v>21.5</v>
      </c>
      <c r="AA128" s="256">
        <v>0.55</v>
      </c>
      <c r="AB128" s="254">
        <v>12.3</v>
      </c>
      <c r="AC128" s="256">
        <v>0.875</v>
      </c>
      <c r="AD128" s="260">
        <v>1.38</v>
      </c>
    </row>
    <row r="129" spans="1:30" ht="12.75">
      <c r="A129" s="43"/>
      <c r="B129" s="37"/>
      <c r="C129" s="8"/>
      <c r="D129" s="37"/>
      <c r="E129" s="43"/>
      <c r="F129" s="85"/>
      <c r="G129" s="43"/>
      <c r="H129" s="43"/>
      <c r="I129" s="43"/>
      <c r="M129" s="87"/>
      <c r="N129" s="9"/>
      <c r="O129" s="79"/>
      <c r="P129" s="79"/>
      <c r="Q129" s="29"/>
      <c r="R129" s="29"/>
      <c r="S129" s="29"/>
      <c r="T129" s="29"/>
      <c r="U129" s="29"/>
      <c r="V129" s="106"/>
      <c r="W129" s="106"/>
      <c r="X129" s="106"/>
      <c r="Y129" s="253" t="s">
        <v>256</v>
      </c>
      <c r="Z129" s="257">
        <v>21.4</v>
      </c>
      <c r="AA129" s="256">
        <v>0.5</v>
      </c>
      <c r="AB129" s="254">
        <v>12.3</v>
      </c>
      <c r="AC129" s="256">
        <v>0.8</v>
      </c>
      <c r="AD129" s="260">
        <v>1.3</v>
      </c>
    </row>
    <row r="130" spans="1:30" ht="12.75">
      <c r="A130" s="48"/>
      <c r="B130" s="43"/>
      <c r="C130" s="43"/>
      <c r="D130" s="43"/>
      <c r="E130" s="43"/>
      <c r="F130" s="43"/>
      <c r="G130" s="43"/>
      <c r="H130" s="43"/>
      <c r="I130" s="43"/>
      <c r="M130" s="65"/>
      <c r="N130" s="20"/>
      <c r="O130" s="40"/>
      <c r="P130" s="79"/>
      <c r="Q130" s="29"/>
      <c r="R130" s="29"/>
      <c r="S130" s="4"/>
      <c r="T130" s="29"/>
      <c r="U130" s="29"/>
      <c r="V130" s="106"/>
      <c r="W130" s="106"/>
      <c r="X130" s="106"/>
      <c r="Y130" s="253" t="s">
        <v>257</v>
      </c>
      <c r="Z130" s="257">
        <v>21.6</v>
      </c>
      <c r="AA130" s="256">
        <v>0.58</v>
      </c>
      <c r="AB130" s="255">
        <v>8.42</v>
      </c>
      <c r="AC130" s="256">
        <v>0.93</v>
      </c>
      <c r="AD130" s="260">
        <v>1.43</v>
      </c>
    </row>
    <row r="131" spans="1:30" ht="12.75">
      <c r="A131" s="42"/>
      <c r="B131" s="8"/>
      <c r="C131" s="42"/>
      <c r="D131" s="37"/>
      <c r="E131" s="43"/>
      <c r="F131" s="43"/>
      <c r="G131" s="43"/>
      <c r="H131" s="43"/>
      <c r="I131" s="43"/>
      <c r="M131" s="29"/>
      <c r="N131" s="29"/>
      <c r="O131" s="29"/>
      <c r="P131" s="79"/>
      <c r="Q131" s="29"/>
      <c r="R131" s="29"/>
      <c r="S131" s="29"/>
      <c r="T131" s="29"/>
      <c r="U131" s="29"/>
      <c r="V131" s="125"/>
      <c r="W131" s="125"/>
      <c r="X131" s="125"/>
      <c r="Y131" s="253" t="s">
        <v>258</v>
      </c>
      <c r="Z131" s="257">
        <v>21.4</v>
      </c>
      <c r="AA131" s="256">
        <v>0.515</v>
      </c>
      <c r="AB131" s="255">
        <v>8.36</v>
      </c>
      <c r="AC131" s="256">
        <v>0.835</v>
      </c>
      <c r="AD131" s="260">
        <v>1.34</v>
      </c>
    </row>
    <row r="132" spans="1:30" ht="12.75">
      <c r="A132" s="46"/>
      <c r="B132" s="5"/>
      <c r="C132" s="42"/>
      <c r="D132" s="42"/>
      <c r="E132" s="43"/>
      <c r="F132" s="43"/>
      <c r="G132" s="43"/>
      <c r="H132" s="67"/>
      <c r="I132" s="67"/>
      <c r="M132" s="93"/>
      <c r="N132" s="4"/>
      <c r="O132" s="103"/>
      <c r="P132" s="79"/>
      <c r="Q132" s="29"/>
      <c r="R132" s="29"/>
      <c r="S132" s="29"/>
      <c r="T132" s="29"/>
      <c r="U132" s="29"/>
      <c r="V132" s="107"/>
      <c r="W132" s="107"/>
      <c r="X132" s="107"/>
      <c r="Y132" s="253" t="s">
        <v>259</v>
      </c>
      <c r="Z132" s="257">
        <v>21.2</v>
      </c>
      <c r="AA132" s="256">
        <v>0.455</v>
      </c>
      <c r="AB132" s="255">
        <v>8.3</v>
      </c>
      <c r="AC132" s="256">
        <v>0.74</v>
      </c>
      <c r="AD132" s="260">
        <v>1.24</v>
      </c>
    </row>
    <row r="133" spans="1:30" ht="12.75">
      <c r="A133" s="46"/>
      <c r="B133" s="5"/>
      <c r="C133" s="42"/>
      <c r="D133" s="42"/>
      <c r="E133" s="43"/>
      <c r="F133" s="43"/>
      <c r="G133" s="43"/>
      <c r="H133" s="85"/>
      <c r="I133" s="43"/>
      <c r="M133" s="93"/>
      <c r="N133" s="4"/>
      <c r="O133" s="40"/>
      <c r="P133" s="79"/>
      <c r="Q133" s="29"/>
      <c r="R133" s="29"/>
      <c r="S133" s="29"/>
      <c r="T133" s="29"/>
      <c r="U133" s="29"/>
      <c r="V133" s="29"/>
      <c r="W133" s="29"/>
      <c r="X133" s="29"/>
      <c r="Y133" s="253" t="s">
        <v>260</v>
      </c>
      <c r="Z133" s="257">
        <v>21.1</v>
      </c>
      <c r="AA133" s="256">
        <v>0.43</v>
      </c>
      <c r="AB133" s="255">
        <v>8.27</v>
      </c>
      <c r="AC133" s="256">
        <v>0.685</v>
      </c>
      <c r="AD133" s="260">
        <v>1.19</v>
      </c>
    </row>
    <row r="134" spans="1:30" ht="12.75">
      <c r="A134" s="43"/>
      <c r="B134" s="43"/>
      <c r="C134" s="43"/>
      <c r="D134" s="43"/>
      <c r="E134" s="43"/>
      <c r="F134" s="43"/>
      <c r="G134" s="43"/>
      <c r="H134" s="67"/>
      <c r="I134" s="67"/>
      <c r="M134" s="29"/>
      <c r="N134" s="29"/>
      <c r="O134" s="29"/>
      <c r="P134" s="79"/>
      <c r="Q134" s="29"/>
      <c r="R134" s="29"/>
      <c r="S134" s="29"/>
      <c r="T134" s="29"/>
      <c r="U134" s="29"/>
      <c r="V134" s="123"/>
      <c r="W134" s="123"/>
      <c r="X134" s="123"/>
      <c r="Y134" s="253" t="s">
        <v>261</v>
      </c>
      <c r="Z134" s="257">
        <v>21</v>
      </c>
      <c r="AA134" s="256">
        <v>0.4</v>
      </c>
      <c r="AB134" s="255">
        <v>8.24</v>
      </c>
      <c r="AC134" s="256">
        <v>0.615</v>
      </c>
      <c r="AD134" s="260">
        <v>1.12</v>
      </c>
    </row>
    <row r="135" spans="1:30" ht="12.75">
      <c r="A135" s="42"/>
      <c r="B135" s="8"/>
      <c r="C135" s="42"/>
      <c r="D135" s="37"/>
      <c r="E135" s="43"/>
      <c r="F135" s="43"/>
      <c r="G135" s="43"/>
      <c r="H135" s="43"/>
      <c r="I135" s="37"/>
      <c r="M135" s="87"/>
      <c r="N135" s="13"/>
      <c r="O135" s="79"/>
      <c r="P135" s="79"/>
      <c r="Q135" s="29"/>
      <c r="R135" s="29"/>
      <c r="S135" s="29"/>
      <c r="T135" s="29"/>
      <c r="U135" s="29"/>
      <c r="V135" s="125"/>
      <c r="W135" s="125"/>
      <c r="X135" s="125"/>
      <c r="Y135" s="253" t="s">
        <v>262</v>
      </c>
      <c r="Z135" s="257">
        <v>20.8</v>
      </c>
      <c r="AA135" s="256">
        <v>0.375</v>
      </c>
      <c r="AB135" s="255">
        <v>8.22</v>
      </c>
      <c r="AC135" s="256">
        <v>0.522</v>
      </c>
      <c r="AD135" s="260">
        <v>1.02</v>
      </c>
    </row>
    <row r="136" spans="1:30" ht="12.75">
      <c r="A136" s="46"/>
      <c r="B136" s="5"/>
      <c r="C136" s="42"/>
      <c r="D136" s="37"/>
      <c r="E136" s="43"/>
      <c r="F136" s="43"/>
      <c r="G136" s="43"/>
      <c r="H136" s="85"/>
      <c r="I136" s="43"/>
      <c r="M136" s="87"/>
      <c r="N136" s="9"/>
      <c r="O136" s="79"/>
      <c r="P136" s="79"/>
      <c r="Q136" s="29"/>
      <c r="R136" s="29"/>
      <c r="S136" s="29"/>
      <c r="T136" s="29"/>
      <c r="U136" s="29"/>
      <c r="V136" s="125"/>
      <c r="W136" s="125"/>
      <c r="X136" s="125"/>
      <c r="Y136" s="253" t="s">
        <v>263</v>
      </c>
      <c r="Z136" s="257">
        <v>20.6</v>
      </c>
      <c r="AA136" s="256">
        <v>0.35</v>
      </c>
      <c r="AB136" s="255">
        <v>8.14</v>
      </c>
      <c r="AC136" s="256">
        <v>0.43</v>
      </c>
      <c r="AD136" s="261">
        <v>0.93</v>
      </c>
    </row>
    <row r="137" spans="1:30" ht="12.75">
      <c r="A137" s="43"/>
      <c r="B137" s="43"/>
      <c r="C137" s="43"/>
      <c r="D137" s="43"/>
      <c r="E137" s="43"/>
      <c r="F137" s="43"/>
      <c r="G137" s="43"/>
      <c r="H137" s="44"/>
      <c r="I137" s="37"/>
      <c r="M137" s="87"/>
      <c r="N137" s="9"/>
      <c r="O137" s="79"/>
      <c r="P137" s="79"/>
      <c r="Q137" s="29"/>
      <c r="R137" s="29"/>
      <c r="S137" s="29"/>
      <c r="T137" s="29"/>
      <c r="U137" s="29"/>
      <c r="V137" s="106"/>
      <c r="W137" s="106"/>
      <c r="X137" s="106"/>
      <c r="Y137" s="253" t="s">
        <v>264</v>
      </c>
      <c r="Z137" s="257">
        <v>21.1</v>
      </c>
      <c r="AA137" s="256">
        <v>0.405</v>
      </c>
      <c r="AB137" s="255">
        <v>6.56</v>
      </c>
      <c r="AC137" s="256">
        <v>0.65</v>
      </c>
      <c r="AD137" s="260">
        <v>1.15</v>
      </c>
    </row>
    <row r="138" spans="1:30" ht="12.75">
      <c r="A138" s="42"/>
      <c r="B138" s="8"/>
      <c r="C138" s="8"/>
      <c r="D138" s="37"/>
      <c r="E138" s="43"/>
      <c r="F138" s="37"/>
      <c r="G138" s="37"/>
      <c r="H138" s="37"/>
      <c r="I138" s="37"/>
      <c r="M138" s="87"/>
      <c r="N138" s="9"/>
      <c r="O138" s="79"/>
      <c r="P138" s="79"/>
      <c r="Q138" s="29"/>
      <c r="R138" s="29"/>
      <c r="S138" s="29"/>
      <c r="T138" s="29"/>
      <c r="U138" s="29"/>
      <c r="V138" s="106"/>
      <c r="W138" s="106"/>
      <c r="X138" s="106"/>
      <c r="Y138" s="253" t="s">
        <v>265</v>
      </c>
      <c r="Z138" s="257">
        <v>20.8</v>
      </c>
      <c r="AA138" s="256">
        <v>0.38</v>
      </c>
      <c r="AB138" s="255">
        <v>6.53</v>
      </c>
      <c r="AC138" s="256">
        <v>0.535</v>
      </c>
      <c r="AD138" s="260">
        <v>1.04</v>
      </c>
    </row>
    <row r="139" spans="1:30" ht="12.75">
      <c r="A139" s="46"/>
      <c r="B139" s="10"/>
      <c r="C139" s="42"/>
      <c r="D139" s="42"/>
      <c r="E139" s="37"/>
      <c r="F139" s="37"/>
      <c r="G139" s="37"/>
      <c r="H139" s="42"/>
      <c r="I139" s="37"/>
      <c r="M139" s="87"/>
      <c r="N139" s="4"/>
      <c r="O139" s="29"/>
      <c r="P139" s="79"/>
      <c r="Q139" s="29"/>
      <c r="R139" s="29"/>
      <c r="S139" s="29"/>
      <c r="T139" s="29"/>
      <c r="U139" s="29"/>
      <c r="V139" s="106"/>
      <c r="W139" s="106"/>
      <c r="X139" s="106"/>
      <c r="Y139" s="253" t="s">
        <v>266</v>
      </c>
      <c r="Z139" s="257">
        <v>20.7</v>
      </c>
      <c r="AA139" s="256">
        <v>0.35</v>
      </c>
      <c r="AB139" s="255">
        <v>6.5</v>
      </c>
      <c r="AC139" s="256">
        <v>0.45</v>
      </c>
      <c r="AD139" s="261">
        <v>0.95</v>
      </c>
    </row>
    <row r="140" spans="1:30" ht="12.75">
      <c r="A140" s="46"/>
      <c r="B140" s="39"/>
      <c r="C140" s="42"/>
      <c r="D140" s="42"/>
      <c r="E140" s="37"/>
      <c r="F140" s="37"/>
      <c r="G140" s="37"/>
      <c r="H140" s="37"/>
      <c r="I140" s="37"/>
      <c r="M140" s="87"/>
      <c r="N140" s="4"/>
      <c r="O140" s="29"/>
      <c r="P140" s="79"/>
      <c r="Q140" s="29"/>
      <c r="R140" s="29"/>
      <c r="S140" s="29"/>
      <c r="T140" s="29"/>
      <c r="U140" s="29"/>
      <c r="V140" s="106"/>
      <c r="W140" s="106"/>
      <c r="X140" s="106"/>
      <c r="Y140" s="253" t="s">
        <v>22</v>
      </c>
      <c r="Z140" s="254">
        <v>22.3</v>
      </c>
      <c r="AA140" s="255">
        <v>1.52</v>
      </c>
      <c r="AB140" s="254">
        <v>12</v>
      </c>
      <c r="AC140" s="255">
        <v>2.74</v>
      </c>
      <c r="AD140" s="260">
        <v>3.24</v>
      </c>
    </row>
    <row r="141" spans="1:30" ht="12.75">
      <c r="A141" s="46"/>
      <c r="B141" s="5"/>
      <c r="C141" s="42"/>
      <c r="D141" s="42"/>
      <c r="E141" s="37"/>
      <c r="F141" s="43"/>
      <c r="G141" s="43"/>
      <c r="H141" s="43"/>
      <c r="I141" s="43"/>
      <c r="M141" s="87"/>
      <c r="N141" s="4"/>
      <c r="O141" s="79"/>
      <c r="P141" s="56"/>
      <c r="Q141" s="29"/>
      <c r="R141" s="18"/>
      <c r="S141" s="88"/>
      <c r="T141" s="29"/>
      <c r="U141" s="29"/>
      <c r="V141" s="106"/>
      <c r="W141" s="106"/>
      <c r="X141" s="106"/>
      <c r="Y141" s="253" t="s">
        <v>12</v>
      </c>
      <c r="Z141" s="254">
        <v>21.9</v>
      </c>
      <c r="AA141" s="255">
        <v>1.4</v>
      </c>
      <c r="AB141" s="254">
        <v>11.9</v>
      </c>
      <c r="AC141" s="255">
        <v>2.5</v>
      </c>
      <c r="AD141" s="260">
        <v>3</v>
      </c>
    </row>
    <row r="142" spans="1:30" ht="12.75">
      <c r="A142" s="46"/>
      <c r="B142" s="5"/>
      <c r="C142" s="42"/>
      <c r="D142" s="42"/>
      <c r="E142" s="43"/>
      <c r="F142" s="43"/>
      <c r="G142" s="43"/>
      <c r="H142" s="85"/>
      <c r="I142" s="43"/>
      <c r="M142" s="87"/>
      <c r="N142" s="4"/>
      <c r="O142" s="79"/>
      <c r="P142" s="56"/>
      <c r="Q142" s="29"/>
      <c r="R142" s="4"/>
      <c r="S142" s="29"/>
      <c r="T142" s="29"/>
      <c r="U142" s="29"/>
      <c r="V142" s="106"/>
      <c r="W142" s="106"/>
      <c r="X142" s="106"/>
      <c r="Y142" s="253" t="s">
        <v>11</v>
      </c>
      <c r="Z142" s="254">
        <v>21.5</v>
      </c>
      <c r="AA142" s="255">
        <v>1.28</v>
      </c>
      <c r="AB142" s="254">
        <v>11.8</v>
      </c>
      <c r="AC142" s="255">
        <v>2.3</v>
      </c>
      <c r="AD142" s="260">
        <v>2.7</v>
      </c>
    </row>
    <row r="143" spans="1:30" ht="12.75">
      <c r="A143" s="70"/>
      <c r="B143" s="10"/>
      <c r="C143" s="43"/>
      <c r="D143" s="49"/>
      <c r="E143" s="43"/>
      <c r="F143" s="43"/>
      <c r="G143" s="43"/>
      <c r="H143" s="43"/>
      <c r="I143" s="43"/>
      <c r="M143" s="87"/>
      <c r="N143" s="9"/>
      <c r="O143" s="40"/>
      <c r="P143" s="40"/>
      <c r="Q143" s="29"/>
      <c r="R143" s="29"/>
      <c r="S143" s="29"/>
      <c r="T143" s="29"/>
      <c r="U143" s="29"/>
      <c r="V143" s="106"/>
      <c r="W143" s="106"/>
      <c r="X143" s="106"/>
      <c r="Y143" s="253" t="s">
        <v>19</v>
      </c>
      <c r="Z143" s="254">
        <v>21.1</v>
      </c>
      <c r="AA143" s="255">
        <v>1.16</v>
      </c>
      <c r="AB143" s="254">
        <v>11.7</v>
      </c>
      <c r="AC143" s="255">
        <v>2.11</v>
      </c>
      <c r="AD143" s="260">
        <v>2.51</v>
      </c>
    </row>
    <row r="144" spans="1:30" ht="12.75">
      <c r="A144" s="128"/>
      <c r="B144" s="10"/>
      <c r="C144" s="43"/>
      <c r="D144" s="62"/>
      <c r="E144" s="43"/>
      <c r="F144" s="43"/>
      <c r="G144" s="43"/>
      <c r="H144" s="43"/>
      <c r="I144" s="43"/>
      <c r="M144" s="87"/>
      <c r="N144" s="9"/>
      <c r="O144" s="79"/>
      <c r="P144" s="79"/>
      <c r="Q144" s="29"/>
      <c r="R144" s="29"/>
      <c r="S144" s="29"/>
      <c r="T144" s="29"/>
      <c r="U144" s="29"/>
      <c r="V144" s="106"/>
      <c r="W144" s="106"/>
      <c r="X144" s="106"/>
      <c r="Y144" s="253" t="s">
        <v>18</v>
      </c>
      <c r="Z144" s="254">
        <v>20.7</v>
      </c>
      <c r="AA144" s="255">
        <v>1.06</v>
      </c>
      <c r="AB144" s="254">
        <v>11.6</v>
      </c>
      <c r="AC144" s="255">
        <v>1.91</v>
      </c>
      <c r="AD144" s="260">
        <v>2.31</v>
      </c>
    </row>
    <row r="145" spans="1:30" ht="12.75">
      <c r="A145" s="70"/>
      <c r="B145" s="39"/>
      <c r="C145" s="43"/>
      <c r="D145" s="49"/>
      <c r="E145" s="43"/>
      <c r="F145" s="43"/>
      <c r="G145" s="43"/>
      <c r="H145" s="44"/>
      <c r="I145" s="43"/>
      <c r="M145" s="87"/>
      <c r="N145" s="4"/>
      <c r="O145" s="79"/>
      <c r="P145" s="56"/>
      <c r="Q145" s="29"/>
      <c r="R145" s="29"/>
      <c r="S145" s="29"/>
      <c r="T145" s="29"/>
      <c r="U145" s="29"/>
      <c r="V145" s="106"/>
      <c r="W145" s="106"/>
      <c r="X145" s="106"/>
      <c r="Y145" s="253" t="s">
        <v>17</v>
      </c>
      <c r="Z145" s="254">
        <v>20.4</v>
      </c>
      <c r="AA145" s="256">
        <v>0.96</v>
      </c>
      <c r="AB145" s="254">
        <v>11.5</v>
      </c>
      <c r="AC145" s="255">
        <v>1.75</v>
      </c>
      <c r="AD145" s="260">
        <v>2.15</v>
      </c>
    </row>
    <row r="146" spans="1:30" ht="12.75">
      <c r="A146" s="70"/>
      <c r="B146" s="39"/>
      <c r="C146" s="43"/>
      <c r="D146" s="49"/>
      <c r="E146" s="43"/>
      <c r="F146" s="43"/>
      <c r="G146" s="43"/>
      <c r="H146" s="43"/>
      <c r="I146" s="43"/>
      <c r="M146" s="87"/>
      <c r="N146" s="4"/>
      <c r="O146" s="79"/>
      <c r="P146" s="56"/>
      <c r="Q146" s="29"/>
      <c r="R146" s="29"/>
      <c r="S146" s="29"/>
      <c r="T146" s="29"/>
      <c r="U146" s="29"/>
      <c r="V146" s="106"/>
      <c r="W146" s="106"/>
      <c r="X146" s="106"/>
      <c r="Y146" s="253" t="s">
        <v>267</v>
      </c>
      <c r="Z146" s="257">
        <v>20</v>
      </c>
      <c r="AA146" s="256">
        <v>0.89</v>
      </c>
      <c r="AB146" s="254">
        <v>11.4</v>
      </c>
      <c r="AC146" s="255">
        <v>1.59</v>
      </c>
      <c r="AD146" s="260">
        <v>1.99</v>
      </c>
    </row>
    <row r="147" spans="1:30" ht="12.75">
      <c r="A147" s="74"/>
      <c r="B147" s="10"/>
      <c r="C147" s="43"/>
      <c r="D147" s="62"/>
      <c r="E147" s="43"/>
      <c r="F147" s="43"/>
      <c r="G147" s="43"/>
      <c r="H147" s="43"/>
      <c r="I147" s="43"/>
      <c r="M147" s="47"/>
      <c r="N147" s="4"/>
      <c r="O147" s="40"/>
      <c r="P147" s="56"/>
      <c r="Q147" s="29"/>
      <c r="R147" s="29"/>
      <c r="S147" s="40"/>
      <c r="T147" s="29"/>
      <c r="U147" s="29"/>
      <c r="V147" s="106"/>
      <c r="W147" s="106"/>
      <c r="X147" s="106"/>
      <c r="Y147" s="253" t="s">
        <v>268</v>
      </c>
      <c r="Z147" s="257">
        <v>19.7</v>
      </c>
      <c r="AA147" s="256">
        <v>0.81</v>
      </c>
      <c r="AB147" s="254">
        <v>11.3</v>
      </c>
      <c r="AC147" s="255">
        <v>1.44</v>
      </c>
      <c r="AD147" s="260">
        <v>1.84</v>
      </c>
    </row>
    <row r="148" spans="1:30" ht="12.75">
      <c r="A148" s="70"/>
      <c r="B148" s="5"/>
      <c r="C148" s="43"/>
      <c r="D148" s="43"/>
      <c r="E148" s="43"/>
      <c r="F148" s="43"/>
      <c r="G148" s="43"/>
      <c r="H148" s="43"/>
      <c r="I148" s="43"/>
      <c r="M148" s="47"/>
      <c r="N148" s="4"/>
      <c r="O148" s="40"/>
      <c r="P148" s="56"/>
      <c r="Q148" s="29"/>
      <c r="R148" s="79"/>
      <c r="S148" s="29"/>
      <c r="T148" s="29"/>
      <c r="U148" s="29"/>
      <c r="V148" s="106"/>
      <c r="W148" s="106"/>
      <c r="X148" s="106"/>
      <c r="Y148" s="253" t="s">
        <v>269</v>
      </c>
      <c r="Z148" s="257">
        <v>19.5</v>
      </c>
      <c r="AA148" s="256">
        <v>0.73</v>
      </c>
      <c r="AB148" s="254">
        <v>11.2</v>
      </c>
      <c r="AC148" s="255">
        <v>1.32</v>
      </c>
      <c r="AD148" s="260">
        <v>1.72</v>
      </c>
    </row>
    <row r="149" spans="1:30" ht="12.75">
      <c r="A149" s="75"/>
      <c r="B149" s="68"/>
      <c r="C149" s="68"/>
      <c r="D149" s="68"/>
      <c r="E149" s="68"/>
      <c r="F149" s="68"/>
      <c r="G149" s="68"/>
      <c r="H149" s="68"/>
      <c r="I149" s="3"/>
      <c r="M149" s="79"/>
      <c r="N149" s="29"/>
      <c r="O149" s="29"/>
      <c r="P149" s="79"/>
      <c r="Q149" s="29"/>
      <c r="R149" s="29"/>
      <c r="S149" s="29"/>
      <c r="T149" s="29"/>
      <c r="U149" s="29"/>
      <c r="V149" s="106"/>
      <c r="W149" s="106"/>
      <c r="X149" s="106"/>
      <c r="Y149" s="253" t="s">
        <v>270</v>
      </c>
      <c r="Z149" s="257">
        <v>19.3</v>
      </c>
      <c r="AA149" s="256">
        <v>0.67</v>
      </c>
      <c r="AB149" s="254">
        <v>11.2</v>
      </c>
      <c r="AC149" s="255">
        <v>1.2</v>
      </c>
      <c r="AD149" s="260">
        <v>1.6</v>
      </c>
    </row>
    <row r="150" spans="1:30" ht="12.75">
      <c r="A150" s="43"/>
      <c r="B150" s="43"/>
      <c r="C150" s="43"/>
      <c r="D150" s="43"/>
      <c r="E150" s="43"/>
      <c r="F150" s="43"/>
      <c r="G150" s="43"/>
      <c r="H150" s="43"/>
      <c r="I150" s="8"/>
      <c r="M150" s="47"/>
      <c r="N150" s="12"/>
      <c r="O150" s="79"/>
      <c r="P150" s="79"/>
      <c r="Q150" s="29"/>
      <c r="R150" s="29"/>
      <c r="S150" s="29"/>
      <c r="T150" s="29"/>
      <c r="U150" s="29"/>
      <c r="V150" s="106"/>
      <c r="W150" s="106"/>
      <c r="X150" s="106"/>
      <c r="Y150" s="253" t="s">
        <v>271</v>
      </c>
      <c r="Z150" s="257">
        <v>19</v>
      </c>
      <c r="AA150" s="256">
        <v>0.655</v>
      </c>
      <c r="AB150" s="254">
        <v>11.3</v>
      </c>
      <c r="AC150" s="255">
        <v>1.06</v>
      </c>
      <c r="AD150" s="260">
        <v>1.46</v>
      </c>
    </row>
    <row r="151" spans="1:30" ht="12.75">
      <c r="A151" s="43"/>
      <c r="B151" s="43"/>
      <c r="C151" s="43"/>
      <c r="D151" s="43"/>
      <c r="E151" s="43"/>
      <c r="F151" s="43"/>
      <c r="G151" s="43"/>
      <c r="H151" s="60"/>
      <c r="I151" s="95"/>
      <c r="M151" s="47"/>
      <c r="N151" s="12"/>
      <c r="O151" s="79"/>
      <c r="P151" s="79"/>
      <c r="Q151" s="29"/>
      <c r="R151" s="29"/>
      <c r="S151" s="29"/>
      <c r="T151" s="29"/>
      <c r="U151" s="29"/>
      <c r="V151" s="106"/>
      <c r="W151" s="106"/>
      <c r="X151" s="106"/>
      <c r="Y151" s="253" t="s">
        <v>272</v>
      </c>
      <c r="Z151" s="257">
        <v>18.7</v>
      </c>
      <c r="AA151" s="256">
        <v>0.59</v>
      </c>
      <c r="AB151" s="254">
        <v>11.2</v>
      </c>
      <c r="AC151" s="256">
        <v>0.94</v>
      </c>
      <c r="AD151" s="260">
        <v>1.34</v>
      </c>
    </row>
    <row r="152" spans="1:30" ht="12.75">
      <c r="A152" s="67"/>
      <c r="B152" s="67"/>
      <c r="C152" s="67"/>
      <c r="D152" s="67"/>
      <c r="E152" s="67"/>
      <c r="F152" s="67"/>
      <c r="G152" s="67"/>
      <c r="H152" s="60"/>
      <c r="I152" s="110"/>
      <c r="M152" s="47"/>
      <c r="N152" s="12"/>
      <c r="O152" s="79"/>
      <c r="P152" s="79"/>
      <c r="Q152" s="29"/>
      <c r="R152" s="29"/>
      <c r="S152" s="29"/>
      <c r="T152" s="29"/>
      <c r="U152" s="29"/>
      <c r="V152" s="106"/>
      <c r="W152" s="106"/>
      <c r="X152" s="106"/>
      <c r="Y152" s="253" t="s">
        <v>273</v>
      </c>
      <c r="Z152" s="257">
        <v>18.6</v>
      </c>
      <c r="AA152" s="256">
        <v>0.535</v>
      </c>
      <c r="AB152" s="254">
        <v>11.1</v>
      </c>
      <c r="AC152" s="256">
        <v>0.87</v>
      </c>
      <c r="AD152" s="260">
        <v>1.27</v>
      </c>
    </row>
    <row r="153" spans="1:30" ht="12.75">
      <c r="A153" s="67"/>
      <c r="B153" s="67"/>
      <c r="C153" s="67"/>
      <c r="D153" s="67"/>
      <c r="E153" s="67"/>
      <c r="F153" s="67"/>
      <c r="G153" s="67"/>
      <c r="H153" s="111"/>
      <c r="I153" s="8"/>
      <c r="M153" s="87"/>
      <c r="N153" s="13"/>
      <c r="O153" s="79"/>
      <c r="P153" s="79"/>
      <c r="Q153" s="29"/>
      <c r="R153" s="29"/>
      <c r="S153" s="29"/>
      <c r="T153" s="29"/>
      <c r="U153" s="29"/>
      <c r="V153" s="106"/>
      <c r="W153" s="106"/>
      <c r="X153" s="106"/>
      <c r="Y153" s="253" t="s">
        <v>274</v>
      </c>
      <c r="Z153" s="257">
        <v>18.4</v>
      </c>
      <c r="AA153" s="256">
        <v>0.48</v>
      </c>
      <c r="AB153" s="254">
        <v>11.1</v>
      </c>
      <c r="AC153" s="256">
        <v>0.77</v>
      </c>
      <c r="AD153" s="260">
        <v>1.17</v>
      </c>
    </row>
    <row r="154" spans="1:30" ht="12.75">
      <c r="A154" s="67"/>
      <c r="B154" s="83"/>
      <c r="C154" s="67"/>
      <c r="D154" s="67"/>
      <c r="E154" s="67"/>
      <c r="F154" s="67"/>
      <c r="G154" s="67"/>
      <c r="H154" s="60"/>
      <c r="I154" s="8"/>
      <c r="M154" s="90"/>
      <c r="N154" s="13"/>
      <c r="O154" s="29"/>
      <c r="P154" s="78"/>
      <c r="Q154" s="29"/>
      <c r="R154" s="29"/>
      <c r="S154" s="29"/>
      <c r="T154" s="29"/>
      <c r="U154" s="29"/>
      <c r="V154" s="106"/>
      <c r="W154" s="106"/>
      <c r="X154" s="106"/>
      <c r="Y154" s="253" t="s">
        <v>275</v>
      </c>
      <c r="Z154" s="257">
        <v>18.2</v>
      </c>
      <c r="AA154" s="256">
        <v>0.425</v>
      </c>
      <c r="AB154" s="254">
        <v>11</v>
      </c>
      <c r="AC154" s="256">
        <v>0.68</v>
      </c>
      <c r="AD154" s="260">
        <v>1.08</v>
      </c>
    </row>
    <row r="155" spans="1:30" ht="12.75">
      <c r="A155" s="67"/>
      <c r="B155" s="83"/>
      <c r="C155" s="67"/>
      <c r="D155" s="67"/>
      <c r="E155" s="67"/>
      <c r="F155" s="67"/>
      <c r="G155" s="67"/>
      <c r="H155" s="43"/>
      <c r="I155" s="43"/>
      <c r="M155" s="87"/>
      <c r="N155" s="88"/>
      <c r="O155" s="79"/>
      <c r="P155" s="79"/>
      <c r="Q155" s="29"/>
      <c r="R155" s="29"/>
      <c r="S155" s="29"/>
      <c r="T155" s="29"/>
      <c r="U155" s="29"/>
      <c r="V155" s="106"/>
      <c r="W155" s="106"/>
      <c r="X155" s="106"/>
      <c r="Y155" s="253" t="s">
        <v>276</v>
      </c>
      <c r="Z155" s="257">
        <v>18.5</v>
      </c>
      <c r="AA155" s="256">
        <v>0.495</v>
      </c>
      <c r="AB155" s="255">
        <v>7.64</v>
      </c>
      <c r="AC155" s="256">
        <v>0.81</v>
      </c>
      <c r="AD155" s="260">
        <v>1.21</v>
      </c>
    </row>
    <row r="156" spans="1:30" ht="12.75">
      <c r="A156" s="67"/>
      <c r="B156" s="83"/>
      <c r="C156" s="67"/>
      <c r="D156" s="67"/>
      <c r="E156" s="67"/>
      <c r="F156" s="67"/>
      <c r="G156" s="67"/>
      <c r="H156" s="67"/>
      <c r="I156" s="67"/>
      <c r="M156" s="87"/>
      <c r="N156" s="88"/>
      <c r="O156" s="79"/>
      <c r="P156" s="79"/>
      <c r="Q156" s="29"/>
      <c r="R156" s="29"/>
      <c r="S156" s="29"/>
      <c r="T156" s="29"/>
      <c r="U156" s="29"/>
      <c r="V156" s="106"/>
      <c r="W156" s="106"/>
      <c r="X156" s="106"/>
      <c r="Y156" s="253" t="s">
        <v>277</v>
      </c>
      <c r="Z156" s="257">
        <v>18.4</v>
      </c>
      <c r="AA156" s="256">
        <v>0.45</v>
      </c>
      <c r="AB156" s="255">
        <v>7.59</v>
      </c>
      <c r="AC156" s="256">
        <v>0.75</v>
      </c>
      <c r="AD156" s="260">
        <v>1.15</v>
      </c>
    </row>
    <row r="157" spans="1:30" ht="12.75">
      <c r="A157" s="67"/>
      <c r="B157" s="67"/>
      <c r="C157" s="67"/>
      <c r="D157" s="67"/>
      <c r="E157" s="67"/>
      <c r="F157" s="67"/>
      <c r="G157" s="67"/>
      <c r="H157" s="67"/>
      <c r="I157" s="67"/>
      <c r="M157" s="87"/>
      <c r="N157" s="13"/>
      <c r="O157" s="79"/>
      <c r="P157" s="79"/>
      <c r="Q157" s="29"/>
      <c r="R157" s="29"/>
      <c r="S157" s="29"/>
      <c r="T157" s="29"/>
      <c r="U157" s="29"/>
      <c r="V157" s="106"/>
      <c r="W157" s="106"/>
      <c r="X157" s="106"/>
      <c r="Y157" s="253" t="s">
        <v>278</v>
      </c>
      <c r="Z157" s="257">
        <v>18.2</v>
      </c>
      <c r="AA157" s="256">
        <v>0.415</v>
      </c>
      <c r="AB157" s="255">
        <v>7.56</v>
      </c>
      <c r="AC157" s="256">
        <v>0.695</v>
      </c>
      <c r="AD157" s="260">
        <v>1.1</v>
      </c>
    </row>
    <row r="158" spans="1:30" ht="12.75">
      <c r="A158" s="67"/>
      <c r="B158" s="83"/>
      <c r="C158" s="67"/>
      <c r="D158" s="67"/>
      <c r="E158" s="67"/>
      <c r="F158" s="67"/>
      <c r="G158" s="67"/>
      <c r="H158" s="67"/>
      <c r="I158" s="67"/>
      <c r="M158" s="90"/>
      <c r="N158" s="13"/>
      <c r="O158" s="29"/>
      <c r="P158" s="78"/>
      <c r="Q158" s="29"/>
      <c r="R158" s="29"/>
      <c r="S158" s="29"/>
      <c r="T158" s="29"/>
      <c r="U158" s="29"/>
      <c r="V158" s="106"/>
      <c r="W158" s="106"/>
      <c r="X158" s="106"/>
      <c r="Y158" s="253" t="s">
        <v>279</v>
      </c>
      <c r="Z158" s="257">
        <v>18.1</v>
      </c>
      <c r="AA158" s="256">
        <v>0.39</v>
      </c>
      <c r="AB158" s="255">
        <v>7.53</v>
      </c>
      <c r="AC158" s="256">
        <v>0.63</v>
      </c>
      <c r="AD158" s="260">
        <v>1.03</v>
      </c>
    </row>
    <row r="159" spans="1:30" ht="12.75">
      <c r="A159" s="46"/>
      <c r="B159" s="5"/>
      <c r="C159" s="42"/>
      <c r="D159" s="42"/>
      <c r="E159" s="43"/>
      <c r="F159" s="43"/>
      <c r="G159" s="43"/>
      <c r="H159" s="67"/>
      <c r="I159" s="67"/>
      <c r="M159" s="90"/>
      <c r="N159" s="7"/>
      <c r="O159" s="29"/>
      <c r="P159" s="78"/>
      <c r="Q159" s="29"/>
      <c r="R159" s="29"/>
      <c r="S159" s="29"/>
      <c r="T159" s="29"/>
      <c r="U159" s="29"/>
      <c r="V159" s="106"/>
      <c r="W159" s="106"/>
      <c r="X159" s="106"/>
      <c r="Y159" s="253" t="s">
        <v>280</v>
      </c>
      <c r="Z159" s="257">
        <v>18</v>
      </c>
      <c r="AA159" s="256">
        <v>0.355</v>
      </c>
      <c r="AB159" s="255">
        <v>7.5</v>
      </c>
      <c r="AC159" s="256">
        <v>0.57</v>
      </c>
      <c r="AD159" s="261">
        <v>0.972</v>
      </c>
    </row>
    <row r="160" spans="1:30" ht="12.75">
      <c r="A160" s="46"/>
      <c r="B160" s="5"/>
      <c r="C160" s="42"/>
      <c r="D160" s="42"/>
      <c r="E160" s="43"/>
      <c r="F160" s="43"/>
      <c r="G160" s="43"/>
      <c r="H160" s="67"/>
      <c r="I160" s="67"/>
      <c r="M160" s="90"/>
      <c r="N160" s="13"/>
      <c r="O160" s="29"/>
      <c r="P160" s="40"/>
      <c r="Q160" s="29"/>
      <c r="R160" s="29"/>
      <c r="S160" s="29"/>
      <c r="T160" s="29"/>
      <c r="U160" s="29"/>
      <c r="V160" s="106"/>
      <c r="W160" s="106"/>
      <c r="X160" s="106"/>
      <c r="Y160" s="253" t="s">
        <v>281</v>
      </c>
      <c r="Z160" s="257">
        <v>18.1</v>
      </c>
      <c r="AA160" s="256">
        <v>0.36</v>
      </c>
      <c r="AB160" s="255">
        <v>6.06</v>
      </c>
      <c r="AC160" s="256">
        <v>0.605</v>
      </c>
      <c r="AD160" s="260">
        <v>1.01</v>
      </c>
    </row>
    <row r="161" spans="1:30" ht="12.75">
      <c r="A161" s="73"/>
      <c r="B161" s="8"/>
      <c r="C161" s="42"/>
      <c r="D161" s="37"/>
      <c r="E161" s="37"/>
      <c r="F161" s="43"/>
      <c r="G161" s="43"/>
      <c r="H161" s="67"/>
      <c r="I161" s="67"/>
      <c r="M161" s="87"/>
      <c r="N161" s="11"/>
      <c r="O161" s="79"/>
      <c r="P161" s="79"/>
      <c r="Q161" s="29"/>
      <c r="R161" s="29"/>
      <c r="S161" s="29"/>
      <c r="T161" s="29"/>
      <c r="U161" s="29"/>
      <c r="V161" s="106"/>
      <c r="W161" s="106"/>
      <c r="X161" s="106"/>
      <c r="Y161" s="253" t="s">
        <v>282</v>
      </c>
      <c r="Z161" s="257">
        <v>17.9</v>
      </c>
      <c r="AA161" s="256">
        <v>0.315</v>
      </c>
      <c r="AB161" s="255">
        <v>6.02</v>
      </c>
      <c r="AC161" s="256">
        <v>0.525</v>
      </c>
      <c r="AD161" s="261">
        <v>0.927</v>
      </c>
    </row>
    <row r="162" spans="1:30" ht="12.75">
      <c r="A162" s="43"/>
      <c r="B162" s="43"/>
      <c r="C162" s="43"/>
      <c r="D162" s="43"/>
      <c r="E162" s="43"/>
      <c r="F162" s="43"/>
      <c r="G162" s="43"/>
      <c r="H162" s="67"/>
      <c r="I162" s="67"/>
      <c r="M162" s="87"/>
      <c r="N162" s="11"/>
      <c r="O162" s="79"/>
      <c r="P162" s="79"/>
      <c r="Q162" s="29"/>
      <c r="R162" s="29"/>
      <c r="S162" s="29"/>
      <c r="T162" s="29"/>
      <c r="U162" s="29"/>
      <c r="V162" s="106"/>
      <c r="W162" s="106"/>
      <c r="X162" s="106"/>
      <c r="Y162" s="253" t="s">
        <v>283</v>
      </c>
      <c r="Z162" s="257">
        <v>17.7</v>
      </c>
      <c r="AA162" s="256">
        <v>0.3</v>
      </c>
      <c r="AB162" s="255">
        <v>6</v>
      </c>
      <c r="AC162" s="256">
        <v>0.425</v>
      </c>
      <c r="AD162" s="261">
        <v>0.827</v>
      </c>
    </row>
    <row r="163" spans="1:30" ht="12.75">
      <c r="A163" s="94"/>
      <c r="B163" s="109"/>
      <c r="C163" s="42"/>
      <c r="D163" s="49"/>
      <c r="E163" s="37"/>
      <c r="F163" s="37"/>
      <c r="G163" s="37"/>
      <c r="H163" s="67"/>
      <c r="I163" s="67"/>
      <c r="M163" s="90"/>
      <c r="N163" s="13"/>
      <c r="O163" s="29"/>
      <c r="P163" s="78"/>
      <c r="Q163" s="29"/>
      <c r="R163" s="29"/>
      <c r="S163" s="29"/>
      <c r="T163" s="29"/>
      <c r="U163" s="29"/>
      <c r="V163" s="106"/>
      <c r="W163" s="106"/>
      <c r="X163" s="106"/>
      <c r="Y163" s="253" t="s">
        <v>284</v>
      </c>
      <c r="Z163" s="257">
        <v>17</v>
      </c>
      <c r="AA163" s="256">
        <v>0.585</v>
      </c>
      <c r="AB163" s="254">
        <v>10.4</v>
      </c>
      <c r="AC163" s="256">
        <v>0.985</v>
      </c>
      <c r="AD163" s="260">
        <v>1.39</v>
      </c>
    </row>
    <row r="164" spans="1:30" ht="12.75">
      <c r="A164" s="94"/>
      <c r="B164" s="5"/>
      <c r="C164" s="42"/>
      <c r="D164" s="49"/>
      <c r="E164" s="37"/>
      <c r="F164" s="37"/>
      <c r="G164" s="37"/>
      <c r="H164" s="67"/>
      <c r="I164" s="67"/>
      <c r="M164" s="87"/>
      <c r="N164" s="9"/>
      <c r="O164" s="79"/>
      <c r="P164" s="29"/>
      <c r="Q164" s="29"/>
      <c r="R164" s="29"/>
      <c r="S164" s="29"/>
      <c r="T164" s="29"/>
      <c r="U164" s="29"/>
      <c r="V164" s="125"/>
      <c r="W164" s="125"/>
      <c r="X164" s="125"/>
      <c r="Y164" s="253" t="s">
        <v>285</v>
      </c>
      <c r="Z164" s="257">
        <v>16.8</v>
      </c>
      <c r="AA164" s="256">
        <v>0.525</v>
      </c>
      <c r="AB164" s="254">
        <v>10.4</v>
      </c>
      <c r="AC164" s="256">
        <v>0.875</v>
      </c>
      <c r="AD164" s="260">
        <v>1.28</v>
      </c>
    </row>
    <row r="165" spans="1:30" ht="12.75">
      <c r="A165" s="50"/>
      <c r="B165" s="5"/>
      <c r="C165" s="6"/>
      <c r="D165" s="49"/>
      <c r="E165" s="37"/>
      <c r="F165" s="37"/>
      <c r="G165" s="37"/>
      <c r="H165" s="67"/>
      <c r="I165" s="67"/>
      <c r="M165" s="29"/>
      <c r="N165" s="29"/>
      <c r="O165" s="29"/>
      <c r="P165" s="29"/>
      <c r="Q165" s="29"/>
      <c r="R165" s="29"/>
      <c r="S165" s="29"/>
      <c r="T165" s="29"/>
      <c r="U165" s="29"/>
      <c r="V165" s="107"/>
      <c r="W165" s="107"/>
      <c r="X165" s="107"/>
      <c r="Y165" s="253" t="s">
        <v>286</v>
      </c>
      <c r="Z165" s="257">
        <v>16.5</v>
      </c>
      <c r="AA165" s="256">
        <v>0.455</v>
      </c>
      <c r="AB165" s="254">
        <v>10.3</v>
      </c>
      <c r="AC165" s="256">
        <v>0.76</v>
      </c>
      <c r="AD165" s="260">
        <v>1.16</v>
      </c>
    </row>
    <row r="166" spans="1:30" ht="12.75">
      <c r="A166" s="43"/>
      <c r="B166" s="70"/>
      <c r="C166" s="42"/>
      <c r="D166" s="37"/>
      <c r="E166" s="37"/>
      <c r="F166" s="37"/>
      <c r="G166" s="37"/>
      <c r="H166" s="67"/>
      <c r="I166" s="67"/>
      <c r="M166" s="29"/>
      <c r="N166" s="29"/>
      <c r="O166" s="29"/>
      <c r="P166" s="79"/>
      <c r="Q166" s="29"/>
      <c r="R166" s="29"/>
      <c r="S166" s="29"/>
      <c r="T166" s="29"/>
      <c r="U166" s="29"/>
      <c r="V166" s="79"/>
      <c r="W166" s="79"/>
      <c r="X166" s="79"/>
      <c r="Y166" s="253" t="s">
        <v>287</v>
      </c>
      <c r="Z166" s="257">
        <v>16.3</v>
      </c>
      <c r="AA166" s="256">
        <v>0.395</v>
      </c>
      <c r="AB166" s="254">
        <v>10.2</v>
      </c>
      <c r="AC166" s="256">
        <v>0.665</v>
      </c>
      <c r="AD166" s="260">
        <v>1.07</v>
      </c>
    </row>
    <row r="167" spans="1:30" ht="12.75">
      <c r="A167" s="70"/>
      <c r="B167" s="5"/>
      <c r="C167" s="42"/>
      <c r="D167" s="42"/>
      <c r="E167" s="37"/>
      <c r="F167" s="37"/>
      <c r="G167" s="37"/>
      <c r="H167" s="67"/>
      <c r="I167" s="67"/>
      <c r="M167" s="87"/>
      <c r="N167" s="11"/>
      <c r="O167" s="79"/>
      <c r="P167" s="40"/>
      <c r="Q167" s="29"/>
      <c r="R167" s="29"/>
      <c r="S167" s="29"/>
      <c r="T167" s="29"/>
      <c r="U167" s="29"/>
      <c r="V167" s="79"/>
      <c r="W167" s="79"/>
      <c r="X167" s="79"/>
      <c r="Y167" s="253" t="s">
        <v>288</v>
      </c>
      <c r="Z167" s="257">
        <v>16.4</v>
      </c>
      <c r="AA167" s="256">
        <v>0.43</v>
      </c>
      <c r="AB167" s="255">
        <v>7.12</v>
      </c>
      <c r="AC167" s="256">
        <v>0.715</v>
      </c>
      <c r="AD167" s="260">
        <v>1.12</v>
      </c>
    </row>
    <row r="168" spans="1:30" ht="12.75">
      <c r="A168" s="70"/>
      <c r="B168" s="5"/>
      <c r="C168" s="49"/>
      <c r="D168" s="42"/>
      <c r="E168" s="43"/>
      <c r="F168" s="37"/>
      <c r="G168" s="43"/>
      <c r="H168" s="67"/>
      <c r="I168" s="67"/>
      <c r="M168" s="41"/>
      <c r="N168" s="54"/>
      <c r="O168" s="23"/>
      <c r="P168" s="30"/>
      <c r="Y168" s="253" t="s">
        <v>289</v>
      </c>
      <c r="Z168" s="257">
        <v>16.3</v>
      </c>
      <c r="AA168" s="256">
        <v>0.38</v>
      </c>
      <c r="AB168" s="255">
        <v>7.07</v>
      </c>
      <c r="AC168" s="256">
        <v>0.63</v>
      </c>
      <c r="AD168" s="260">
        <v>1.03</v>
      </c>
    </row>
    <row r="169" spans="1:30" ht="12.75">
      <c r="A169" s="46"/>
      <c r="B169" s="66"/>
      <c r="C169" s="42"/>
      <c r="D169" s="42"/>
      <c r="E169" s="43"/>
      <c r="F169" s="43"/>
      <c r="G169" s="43"/>
      <c r="H169" s="67"/>
      <c r="I169" s="67"/>
      <c r="M169" s="41"/>
      <c r="N169" s="54"/>
      <c r="O169" s="23"/>
      <c r="P169" s="23"/>
      <c r="Y169" s="253" t="s">
        <v>290</v>
      </c>
      <c r="Z169" s="257">
        <v>16.1</v>
      </c>
      <c r="AA169" s="256">
        <v>0.345</v>
      </c>
      <c r="AB169" s="255">
        <v>7.04</v>
      </c>
      <c r="AC169" s="256">
        <v>0.565</v>
      </c>
      <c r="AD169" s="261">
        <v>0.967</v>
      </c>
    </row>
    <row r="170" spans="1:30" ht="12.75">
      <c r="A170" s="70"/>
      <c r="B170" s="5"/>
      <c r="C170" s="42"/>
      <c r="D170" s="42"/>
      <c r="E170" s="37"/>
      <c r="F170" s="43"/>
      <c r="G170" s="44"/>
      <c r="H170" s="67"/>
      <c r="I170" s="67"/>
      <c r="M170" s="41"/>
      <c r="N170" s="54"/>
      <c r="O170" s="23"/>
      <c r="P170" s="23"/>
      <c r="Y170" s="253" t="s">
        <v>291</v>
      </c>
      <c r="Z170" s="257">
        <v>16</v>
      </c>
      <c r="AA170" s="256">
        <v>0.305</v>
      </c>
      <c r="AB170" s="255">
        <v>7</v>
      </c>
      <c r="AC170" s="256">
        <v>0.505</v>
      </c>
      <c r="AD170" s="261">
        <v>0.907</v>
      </c>
    </row>
    <row r="171" spans="1:30" ht="12.75">
      <c r="A171" s="70"/>
      <c r="B171" s="5"/>
      <c r="C171" s="42"/>
      <c r="D171" s="43"/>
      <c r="E171" s="43"/>
      <c r="F171" s="43"/>
      <c r="G171" s="43"/>
      <c r="H171" s="67"/>
      <c r="I171" s="67"/>
      <c r="M171" s="25"/>
      <c r="N171" s="55"/>
      <c r="O171" s="23"/>
      <c r="P171" s="23"/>
      <c r="Y171" s="253" t="s">
        <v>292</v>
      </c>
      <c r="Z171" s="257">
        <v>15.9</v>
      </c>
      <c r="AA171" s="256">
        <v>0.295</v>
      </c>
      <c r="AB171" s="255">
        <v>6.99</v>
      </c>
      <c r="AC171" s="256">
        <v>0.43</v>
      </c>
      <c r="AD171" s="261">
        <v>0.832</v>
      </c>
    </row>
    <row r="172" spans="1:30" ht="12.75">
      <c r="A172" s="70"/>
      <c r="B172" s="5"/>
      <c r="C172" s="49"/>
      <c r="D172" s="42"/>
      <c r="E172" s="43"/>
      <c r="F172" s="43"/>
      <c r="G172" s="43"/>
      <c r="H172" s="67"/>
      <c r="I172" s="67"/>
      <c r="M172" s="58"/>
      <c r="N172" s="55"/>
      <c r="O172" s="21"/>
      <c r="P172" s="59"/>
      <c r="Y172" s="253" t="s">
        <v>293</v>
      </c>
      <c r="Z172" s="257">
        <v>15.9</v>
      </c>
      <c r="AA172" s="256">
        <v>0.275</v>
      </c>
      <c r="AB172" s="255">
        <v>5.53</v>
      </c>
      <c r="AC172" s="256">
        <v>0.44</v>
      </c>
      <c r="AD172" s="261">
        <v>0.842</v>
      </c>
    </row>
    <row r="173" spans="1:30" ht="12.75">
      <c r="A173" s="49"/>
      <c r="B173" s="43"/>
      <c r="C173" s="43"/>
      <c r="D173" s="49"/>
      <c r="E173" s="43"/>
      <c r="F173" s="43"/>
      <c r="G173" s="43"/>
      <c r="H173" s="67"/>
      <c r="I173" s="67"/>
      <c r="M173" s="25"/>
      <c r="N173" s="55"/>
      <c r="O173" s="23"/>
      <c r="P173" s="23"/>
      <c r="Y173" s="253" t="s">
        <v>294</v>
      </c>
      <c r="Z173" s="257">
        <v>15.7</v>
      </c>
      <c r="AA173" s="256">
        <v>0.25</v>
      </c>
      <c r="AB173" s="255">
        <v>5.5</v>
      </c>
      <c r="AC173" s="256">
        <v>0.345</v>
      </c>
      <c r="AD173" s="261">
        <v>0.747</v>
      </c>
    </row>
    <row r="174" spans="1:30" ht="12.75">
      <c r="A174" s="70"/>
      <c r="B174" s="5"/>
      <c r="C174" s="43"/>
      <c r="D174" s="49"/>
      <c r="E174" s="43"/>
      <c r="F174" s="43"/>
      <c r="G174" s="43"/>
      <c r="H174" s="67"/>
      <c r="I174" s="67"/>
      <c r="M174" s="58"/>
      <c r="N174" s="55"/>
      <c r="O174" s="21"/>
      <c r="P174" s="59"/>
      <c r="Y174" s="253" t="s">
        <v>295</v>
      </c>
      <c r="Z174" s="257">
        <v>22.4</v>
      </c>
      <c r="AA174" s="255">
        <v>3.07</v>
      </c>
      <c r="AB174" s="254">
        <v>17.9</v>
      </c>
      <c r="AC174" s="255">
        <v>4.91</v>
      </c>
      <c r="AD174" s="260">
        <v>5.51</v>
      </c>
    </row>
    <row r="175" spans="1:30" ht="12.75">
      <c r="A175" s="70"/>
      <c r="B175" s="5"/>
      <c r="C175" s="49"/>
      <c r="D175" s="49"/>
      <c r="E175" s="43"/>
      <c r="F175" s="43"/>
      <c r="G175" s="43"/>
      <c r="H175" s="67"/>
      <c r="I175" s="67"/>
      <c r="M175" s="58"/>
      <c r="N175" s="35"/>
      <c r="O175" s="21"/>
      <c r="P175" s="59"/>
      <c r="Y175" s="253" t="s">
        <v>296</v>
      </c>
      <c r="Z175" s="257">
        <v>21.6</v>
      </c>
      <c r="AA175" s="255">
        <v>2.83</v>
      </c>
      <c r="AB175" s="254">
        <v>17.7</v>
      </c>
      <c r="AC175" s="255">
        <v>4.52</v>
      </c>
      <c r="AD175" s="260">
        <v>5.12</v>
      </c>
    </row>
    <row r="176" spans="1:30" ht="12.75">
      <c r="A176" s="74"/>
      <c r="B176" s="39"/>
      <c r="C176" s="49"/>
      <c r="D176" s="62"/>
      <c r="E176" s="43"/>
      <c r="F176" s="43"/>
      <c r="G176" s="43"/>
      <c r="H176" s="67"/>
      <c r="I176" s="67"/>
      <c r="M176" s="58"/>
      <c r="N176" s="55"/>
      <c r="O176" s="21"/>
      <c r="P176" s="40"/>
      <c r="Y176" s="253" t="s">
        <v>297</v>
      </c>
      <c r="Z176" s="257">
        <v>20.9</v>
      </c>
      <c r="AA176" s="255">
        <v>2.6</v>
      </c>
      <c r="AB176" s="254">
        <v>17.4</v>
      </c>
      <c r="AC176" s="255">
        <v>4.16</v>
      </c>
      <c r="AD176" s="260">
        <v>4.76</v>
      </c>
    </row>
    <row r="177" spans="1:30" ht="12.75">
      <c r="A177" s="74"/>
      <c r="B177" s="39"/>
      <c r="C177" s="49"/>
      <c r="D177" s="62"/>
      <c r="E177" s="43"/>
      <c r="F177" s="43"/>
      <c r="G177" s="43"/>
      <c r="H177" s="67"/>
      <c r="I177" s="67"/>
      <c r="M177" s="25"/>
      <c r="N177" s="32"/>
      <c r="O177" s="23"/>
      <c r="P177" s="23"/>
      <c r="Y177" s="253" t="s">
        <v>298</v>
      </c>
      <c r="Z177" s="257">
        <v>20.2</v>
      </c>
      <c r="AA177" s="255">
        <v>2.38</v>
      </c>
      <c r="AB177" s="254">
        <v>17.2</v>
      </c>
      <c r="AC177" s="255">
        <v>3.82</v>
      </c>
      <c r="AD177" s="260">
        <v>4.42</v>
      </c>
    </row>
    <row r="178" spans="1:30" ht="12.75">
      <c r="A178" s="43"/>
      <c r="B178" s="43"/>
      <c r="C178" s="43"/>
      <c r="D178" s="43"/>
      <c r="E178" s="43"/>
      <c r="F178" s="43"/>
      <c r="G178" s="85"/>
      <c r="H178" s="67"/>
      <c r="I178" s="67"/>
      <c r="M178" s="25"/>
      <c r="N178" s="32"/>
      <c r="O178" s="23"/>
      <c r="P178" s="23"/>
      <c r="Y178" s="253" t="s">
        <v>299</v>
      </c>
      <c r="Z178" s="257">
        <v>19.6</v>
      </c>
      <c r="AA178" s="255">
        <v>2.19</v>
      </c>
      <c r="AB178" s="254">
        <v>17</v>
      </c>
      <c r="AC178" s="255">
        <v>3.5</v>
      </c>
      <c r="AD178" s="260">
        <v>4.1</v>
      </c>
    </row>
    <row r="179" spans="1:30" ht="12.75">
      <c r="A179" s="49"/>
      <c r="B179" s="43"/>
      <c r="C179" s="43"/>
      <c r="D179" s="43"/>
      <c r="E179" s="43"/>
      <c r="F179" s="85"/>
      <c r="G179" s="43"/>
      <c r="H179" s="67"/>
      <c r="I179" s="67"/>
      <c r="M179" s="58"/>
      <c r="N179" s="55"/>
      <c r="O179" s="21"/>
      <c r="P179" s="59"/>
      <c r="Y179" s="253" t="s">
        <v>300</v>
      </c>
      <c r="Z179" s="257">
        <v>19</v>
      </c>
      <c r="AA179" s="255">
        <v>2.02</v>
      </c>
      <c r="AB179" s="254">
        <v>16.8</v>
      </c>
      <c r="AC179" s="255">
        <v>3.21</v>
      </c>
      <c r="AD179" s="260">
        <v>3.81</v>
      </c>
    </row>
    <row r="180" spans="1:30" ht="12.75">
      <c r="A180" s="70"/>
      <c r="B180" s="5"/>
      <c r="C180" s="49"/>
      <c r="D180" s="42"/>
      <c r="E180" s="43"/>
      <c r="F180" s="43"/>
      <c r="G180" s="43"/>
      <c r="H180" s="67"/>
      <c r="I180" s="67"/>
      <c r="M180" s="25"/>
      <c r="N180" s="34"/>
      <c r="O180" s="23"/>
      <c r="P180" s="29"/>
      <c r="Y180" s="253" t="s">
        <v>301</v>
      </c>
      <c r="Z180" s="257">
        <v>18.7</v>
      </c>
      <c r="AA180" s="255">
        <v>1.88</v>
      </c>
      <c r="AB180" s="254">
        <v>16.7</v>
      </c>
      <c r="AC180" s="255">
        <v>3.04</v>
      </c>
      <c r="AD180" s="260">
        <v>3.63</v>
      </c>
    </row>
    <row r="181" spans="1:30" ht="12.75">
      <c r="A181" s="70"/>
      <c r="B181" s="5"/>
      <c r="C181" s="49"/>
      <c r="D181" s="42"/>
      <c r="E181" s="43"/>
      <c r="F181" s="43"/>
      <c r="G181" s="43"/>
      <c r="H181" s="67"/>
      <c r="I181" s="67"/>
      <c r="O181" s="21"/>
      <c r="P181" s="29"/>
      <c r="Y181" s="253" t="s">
        <v>302</v>
      </c>
      <c r="Z181" s="257">
        <v>18.3</v>
      </c>
      <c r="AA181" s="255">
        <v>1.77</v>
      </c>
      <c r="AB181" s="254">
        <v>16.6</v>
      </c>
      <c r="AC181" s="255">
        <v>2.85</v>
      </c>
      <c r="AD181" s="260">
        <v>3.44</v>
      </c>
    </row>
    <row r="182" spans="1:30" ht="12.75">
      <c r="A182" s="42"/>
      <c r="B182" s="43"/>
      <c r="C182" s="37"/>
      <c r="D182" s="42"/>
      <c r="E182" s="37"/>
      <c r="F182" s="37"/>
      <c r="G182" s="44"/>
      <c r="H182" s="67"/>
      <c r="I182" s="67"/>
      <c r="M182" s="23"/>
      <c r="O182" s="21"/>
      <c r="P182" s="23"/>
      <c r="Y182" s="253" t="s">
        <v>303</v>
      </c>
      <c r="Z182" s="257">
        <v>17.9</v>
      </c>
      <c r="AA182" s="255">
        <v>1.66</v>
      </c>
      <c r="AB182" s="254">
        <v>16.5</v>
      </c>
      <c r="AC182" s="255">
        <v>2.66</v>
      </c>
      <c r="AD182" s="260">
        <v>3.26</v>
      </c>
    </row>
    <row r="183" spans="1:30" ht="12.75">
      <c r="A183" s="46"/>
      <c r="B183" s="66"/>
      <c r="C183" s="42"/>
      <c r="D183" s="42"/>
      <c r="E183" s="37"/>
      <c r="F183" s="37"/>
      <c r="G183" s="37"/>
      <c r="H183" s="67"/>
      <c r="I183" s="67"/>
      <c r="M183" s="25"/>
      <c r="N183" s="32"/>
      <c r="O183" s="23"/>
      <c r="P183" s="23"/>
      <c r="Y183" s="253" t="s">
        <v>304</v>
      </c>
      <c r="Z183" s="257">
        <v>17.5</v>
      </c>
      <c r="AA183" s="255">
        <v>1.54</v>
      </c>
      <c r="AB183" s="254">
        <v>16.4</v>
      </c>
      <c r="AC183" s="255">
        <v>2.47</v>
      </c>
      <c r="AD183" s="260">
        <v>3.07</v>
      </c>
    </row>
    <row r="184" spans="1:30" ht="12.75">
      <c r="A184" s="46"/>
      <c r="B184" s="66"/>
      <c r="C184" s="42"/>
      <c r="D184" s="42"/>
      <c r="E184" s="37"/>
      <c r="F184" s="37"/>
      <c r="G184" s="37"/>
      <c r="H184" s="67"/>
      <c r="I184" s="67"/>
      <c r="M184" s="25"/>
      <c r="N184" s="34"/>
      <c r="O184" s="23"/>
      <c r="P184" s="23"/>
      <c r="Y184" s="253" t="s">
        <v>305</v>
      </c>
      <c r="Z184" s="257">
        <v>17.1</v>
      </c>
      <c r="AA184" s="255">
        <v>1.41</v>
      </c>
      <c r="AB184" s="254">
        <v>16.2</v>
      </c>
      <c r="AC184" s="255">
        <v>2.26</v>
      </c>
      <c r="AD184" s="260">
        <v>2.86</v>
      </c>
    </row>
    <row r="185" spans="1:30" ht="12.75">
      <c r="A185" s="37"/>
      <c r="B185" s="43"/>
      <c r="C185" s="37"/>
      <c r="D185" s="37"/>
      <c r="E185" s="37"/>
      <c r="F185" s="37"/>
      <c r="G185" s="43"/>
      <c r="H185" s="67"/>
      <c r="I185" s="67"/>
      <c r="M185" s="25"/>
      <c r="N185" s="34"/>
      <c r="O185" s="23"/>
      <c r="P185" s="23"/>
      <c r="Y185" s="253" t="s">
        <v>306</v>
      </c>
      <c r="Z185" s="257">
        <v>16.7</v>
      </c>
      <c r="AA185" s="255">
        <v>1.29</v>
      </c>
      <c r="AB185" s="254">
        <v>16.1</v>
      </c>
      <c r="AC185" s="255">
        <v>2.07</v>
      </c>
      <c r="AD185" s="260">
        <v>2.67</v>
      </c>
    </row>
    <row r="186" spans="1:30" ht="12.75">
      <c r="A186" s="73"/>
      <c r="B186" s="8"/>
      <c r="C186" s="42"/>
      <c r="D186" s="43"/>
      <c r="E186" s="43"/>
      <c r="F186" s="43"/>
      <c r="G186" s="43"/>
      <c r="H186" s="67"/>
      <c r="I186" s="67"/>
      <c r="M186" s="25"/>
      <c r="N186" s="34"/>
      <c r="O186" s="23"/>
      <c r="P186" s="30"/>
      <c r="Y186" s="253" t="s">
        <v>307</v>
      </c>
      <c r="Z186" s="257">
        <v>16.4</v>
      </c>
      <c r="AA186" s="255">
        <v>1.18</v>
      </c>
      <c r="AB186" s="254">
        <v>16</v>
      </c>
      <c r="AC186" s="255">
        <v>1.89</v>
      </c>
      <c r="AD186" s="260">
        <v>2.49</v>
      </c>
    </row>
    <row r="187" spans="1:30" ht="12.75">
      <c r="A187" s="43"/>
      <c r="B187" s="43"/>
      <c r="C187" s="43"/>
      <c r="D187" s="43"/>
      <c r="E187" s="43"/>
      <c r="F187" s="43"/>
      <c r="G187" s="43"/>
      <c r="H187" s="67"/>
      <c r="I187" s="67"/>
      <c r="M187" s="23"/>
      <c r="O187" s="21"/>
      <c r="P187" s="23"/>
      <c r="Y187" s="253" t="s">
        <v>308</v>
      </c>
      <c r="Z187" s="257">
        <v>16</v>
      </c>
      <c r="AA187" s="255">
        <v>1.07</v>
      </c>
      <c r="AB187" s="254">
        <v>15.9</v>
      </c>
      <c r="AC187" s="255">
        <v>1.72</v>
      </c>
      <c r="AD187" s="260">
        <v>2.32</v>
      </c>
    </row>
    <row r="188" spans="1:30" ht="12.75">
      <c r="A188" s="89"/>
      <c r="B188" s="5"/>
      <c r="C188" s="82"/>
      <c r="D188" s="42"/>
      <c r="E188" s="43"/>
      <c r="F188" s="43"/>
      <c r="G188" s="43"/>
      <c r="H188" s="67"/>
      <c r="I188" s="67"/>
      <c r="M188" s="25"/>
      <c r="N188" s="32"/>
      <c r="O188" s="23"/>
      <c r="P188" s="23"/>
      <c r="Y188" s="253" t="s">
        <v>309</v>
      </c>
      <c r="Z188" s="257">
        <v>15.7</v>
      </c>
      <c r="AA188" s="256">
        <v>0.98</v>
      </c>
      <c r="AB188" s="254">
        <v>15.8</v>
      </c>
      <c r="AC188" s="255">
        <v>1.56</v>
      </c>
      <c r="AD188" s="260">
        <v>2.16</v>
      </c>
    </row>
    <row r="189" spans="1:30" ht="12.75">
      <c r="A189" s="89"/>
      <c r="B189" s="5"/>
      <c r="C189" s="42"/>
      <c r="D189" s="42"/>
      <c r="E189" s="43"/>
      <c r="F189" s="43"/>
      <c r="G189" s="43"/>
      <c r="H189" s="67"/>
      <c r="I189" s="67"/>
      <c r="M189" s="25"/>
      <c r="N189" s="34"/>
      <c r="O189" s="23"/>
      <c r="P189" s="23"/>
      <c r="Y189" s="253" t="s">
        <v>310</v>
      </c>
      <c r="Z189" s="257">
        <v>15.5</v>
      </c>
      <c r="AA189" s="256">
        <v>0.89</v>
      </c>
      <c r="AB189" s="254">
        <v>15.7</v>
      </c>
      <c r="AC189" s="255">
        <v>1.44</v>
      </c>
      <c r="AD189" s="260">
        <v>2.04</v>
      </c>
    </row>
    <row r="190" spans="1:30" ht="12.75">
      <c r="A190" s="42"/>
      <c r="B190" s="43"/>
      <c r="C190" s="43"/>
      <c r="D190" s="43"/>
      <c r="E190" s="43"/>
      <c r="F190" s="43"/>
      <c r="G190" s="43"/>
      <c r="H190" s="67"/>
      <c r="I190" s="67"/>
      <c r="M190" s="25"/>
      <c r="N190" s="34"/>
      <c r="O190" s="23"/>
      <c r="P190" s="23"/>
      <c r="Y190" s="253" t="s">
        <v>311</v>
      </c>
      <c r="Z190" s="257">
        <v>15.2</v>
      </c>
      <c r="AA190" s="256">
        <v>0.83</v>
      </c>
      <c r="AB190" s="254">
        <v>15.7</v>
      </c>
      <c r="AC190" s="255">
        <v>1.31</v>
      </c>
      <c r="AD190" s="260">
        <v>1.91</v>
      </c>
    </row>
    <row r="191" spans="1:30" ht="12.75">
      <c r="A191" s="70"/>
      <c r="B191" s="10"/>
      <c r="C191" s="49"/>
      <c r="D191" s="43"/>
      <c r="E191" s="43"/>
      <c r="F191" s="43"/>
      <c r="G191" s="43"/>
      <c r="H191" s="67"/>
      <c r="I191" s="67"/>
      <c r="M191" s="25"/>
      <c r="N191" s="34"/>
      <c r="O191" s="23"/>
      <c r="P191" s="23"/>
      <c r="Y191" s="253" t="s">
        <v>312</v>
      </c>
      <c r="Z191" s="257">
        <v>15</v>
      </c>
      <c r="AA191" s="256">
        <v>0.745</v>
      </c>
      <c r="AB191" s="254">
        <v>15.6</v>
      </c>
      <c r="AC191" s="255">
        <v>1.19</v>
      </c>
      <c r="AD191" s="260">
        <v>1.79</v>
      </c>
    </row>
    <row r="192" spans="1:30" ht="12.75">
      <c r="A192" s="70"/>
      <c r="B192" s="5"/>
      <c r="C192" s="49"/>
      <c r="D192" s="49"/>
      <c r="E192" s="43"/>
      <c r="F192" s="43"/>
      <c r="G192" s="43"/>
      <c r="H192" s="67"/>
      <c r="I192" s="67"/>
      <c r="M192" s="23"/>
      <c r="O192" s="21"/>
      <c r="P192" s="81"/>
      <c r="Y192" s="253" t="s">
        <v>313</v>
      </c>
      <c r="Z192" s="257">
        <v>14.8</v>
      </c>
      <c r="AA192" s="256">
        <v>0.68</v>
      </c>
      <c r="AB192" s="254">
        <v>15.5</v>
      </c>
      <c r="AC192" s="255">
        <v>1.09</v>
      </c>
      <c r="AD192" s="260">
        <v>1.69</v>
      </c>
    </row>
    <row r="193" spans="1:30" ht="12.75">
      <c r="A193" s="46"/>
      <c r="B193" s="66"/>
      <c r="C193" s="42"/>
      <c r="D193" s="49"/>
      <c r="E193" s="43"/>
      <c r="F193" s="43"/>
      <c r="G193" s="43"/>
      <c r="H193" s="67"/>
      <c r="I193" s="67"/>
      <c r="M193" s="25"/>
      <c r="N193" s="34"/>
      <c r="O193" s="23"/>
      <c r="P193" s="23"/>
      <c r="Y193" s="253" t="s">
        <v>314</v>
      </c>
      <c r="Z193" s="257">
        <v>14.7</v>
      </c>
      <c r="AA193" s="256">
        <v>0.645</v>
      </c>
      <c r="AB193" s="254">
        <v>14.7</v>
      </c>
      <c r="AC193" s="255">
        <v>1.03</v>
      </c>
      <c r="AD193" s="260">
        <v>1.63</v>
      </c>
    </row>
    <row r="194" spans="1:30" ht="12.75">
      <c r="A194" s="70"/>
      <c r="B194" s="5"/>
      <c r="C194" s="42"/>
      <c r="D194" s="49"/>
      <c r="E194" s="43"/>
      <c r="F194" s="43"/>
      <c r="G194" s="43"/>
      <c r="H194" s="67"/>
      <c r="I194" s="67"/>
      <c r="M194" s="25"/>
      <c r="N194" s="34"/>
      <c r="O194" s="23"/>
      <c r="P194" s="23"/>
      <c r="Y194" s="253" t="s">
        <v>315</v>
      </c>
      <c r="Z194" s="257">
        <v>14.5</v>
      </c>
      <c r="AA194" s="256">
        <v>0.59</v>
      </c>
      <c r="AB194" s="254">
        <v>14.7</v>
      </c>
      <c r="AC194" s="256">
        <v>0.94</v>
      </c>
      <c r="AD194" s="260">
        <v>1.54</v>
      </c>
    </row>
    <row r="195" spans="1:30" ht="12.75">
      <c r="A195" s="70"/>
      <c r="B195" s="5"/>
      <c r="C195" s="49"/>
      <c r="D195" s="42"/>
      <c r="E195" s="43"/>
      <c r="F195" s="43"/>
      <c r="G195" s="43"/>
      <c r="H195" s="67"/>
      <c r="I195" s="67"/>
      <c r="M195" s="25"/>
      <c r="N195" s="34"/>
      <c r="O195" s="23"/>
      <c r="P195" s="23"/>
      <c r="Y195" s="253" t="s">
        <v>316</v>
      </c>
      <c r="Z195" s="257">
        <v>14.3</v>
      </c>
      <c r="AA195" s="256">
        <v>0.525</v>
      </c>
      <c r="AB195" s="254">
        <v>14.6</v>
      </c>
      <c r="AC195" s="256">
        <v>0.86</v>
      </c>
      <c r="AD195" s="260">
        <v>1.46</v>
      </c>
    </row>
    <row r="196" spans="1:30" ht="12.75">
      <c r="A196" s="70"/>
      <c r="B196" s="5"/>
      <c r="C196" s="42"/>
      <c r="D196" s="42"/>
      <c r="E196" s="43"/>
      <c r="F196" s="43"/>
      <c r="G196" s="43"/>
      <c r="H196" s="67"/>
      <c r="I196" s="67"/>
      <c r="M196" s="25"/>
      <c r="N196" s="34"/>
      <c r="O196" s="23"/>
      <c r="P196" s="23"/>
      <c r="Y196" s="253" t="s">
        <v>317</v>
      </c>
      <c r="Z196" s="257">
        <v>14.2</v>
      </c>
      <c r="AA196" s="256">
        <v>0.485</v>
      </c>
      <c r="AB196" s="254">
        <v>14.6</v>
      </c>
      <c r="AC196" s="256">
        <v>0.78</v>
      </c>
      <c r="AD196" s="260">
        <v>1.38</v>
      </c>
    </row>
    <row r="197" spans="1:30" ht="12.75">
      <c r="A197" s="70"/>
      <c r="B197" s="5"/>
      <c r="C197" s="49"/>
      <c r="D197" s="49"/>
      <c r="E197" s="43"/>
      <c r="F197" s="43"/>
      <c r="G197" s="43"/>
      <c r="H197" s="67"/>
      <c r="I197" s="67"/>
      <c r="M197" s="23"/>
      <c r="O197" s="21"/>
      <c r="P197" s="23"/>
      <c r="Y197" s="253" t="s">
        <v>318</v>
      </c>
      <c r="Z197" s="257">
        <v>14</v>
      </c>
      <c r="AA197" s="256">
        <v>0.44</v>
      </c>
      <c r="AB197" s="254">
        <v>14.5</v>
      </c>
      <c r="AC197" s="256">
        <v>0.71</v>
      </c>
      <c r="AD197" s="260">
        <v>1.31</v>
      </c>
    </row>
    <row r="198" spans="1:30" ht="12.75">
      <c r="A198" s="70"/>
      <c r="B198" s="5"/>
      <c r="C198" s="49"/>
      <c r="D198" s="67"/>
      <c r="E198" s="43"/>
      <c r="F198" s="43"/>
      <c r="G198" s="43"/>
      <c r="H198" s="67"/>
      <c r="I198" s="67"/>
      <c r="M198" s="25"/>
      <c r="N198" s="34"/>
      <c r="O198" s="23"/>
      <c r="P198" s="23"/>
      <c r="Y198" s="253" t="s">
        <v>319</v>
      </c>
      <c r="Z198" s="257">
        <v>14.3</v>
      </c>
      <c r="AA198" s="256">
        <v>0.51</v>
      </c>
      <c r="AB198" s="254">
        <v>10.1</v>
      </c>
      <c r="AC198" s="256">
        <v>0.855</v>
      </c>
      <c r="AD198" s="260">
        <v>1.45</v>
      </c>
    </row>
    <row r="199" spans="1:30" ht="12.75">
      <c r="A199" s="46"/>
      <c r="B199" s="5"/>
      <c r="C199" s="42"/>
      <c r="D199" s="42"/>
      <c r="E199" s="43"/>
      <c r="F199" s="43"/>
      <c r="G199" s="43"/>
      <c r="H199" s="67"/>
      <c r="I199" s="67"/>
      <c r="M199" s="25"/>
      <c r="N199" s="34"/>
      <c r="O199" s="23"/>
      <c r="P199" s="23"/>
      <c r="Y199" s="253" t="s">
        <v>320</v>
      </c>
      <c r="Z199" s="257">
        <v>14.2</v>
      </c>
      <c r="AA199" s="256">
        <v>0.45</v>
      </c>
      <c r="AB199" s="254">
        <v>10.1</v>
      </c>
      <c r="AC199" s="256">
        <v>0.785</v>
      </c>
      <c r="AD199" s="260">
        <v>1.38</v>
      </c>
    </row>
    <row r="200" spans="1:30" ht="12.75">
      <c r="A200" s="43"/>
      <c r="B200" s="43"/>
      <c r="C200" s="43"/>
      <c r="D200" s="43"/>
      <c r="E200" s="43"/>
      <c r="F200" s="43"/>
      <c r="G200" s="43"/>
      <c r="H200" s="43"/>
      <c r="I200" s="8"/>
      <c r="O200" s="21"/>
      <c r="P200" s="23"/>
      <c r="Y200" s="253" t="s">
        <v>321</v>
      </c>
      <c r="Z200" s="257">
        <v>14</v>
      </c>
      <c r="AA200" s="256">
        <v>0.415</v>
      </c>
      <c r="AB200" s="254">
        <v>10</v>
      </c>
      <c r="AC200" s="256">
        <v>0.72</v>
      </c>
      <c r="AD200" s="260">
        <v>1.31</v>
      </c>
    </row>
    <row r="201" spans="1:30" ht="12.75">
      <c r="A201" s="52"/>
      <c r="B201" s="52"/>
      <c r="C201" s="52"/>
      <c r="D201" s="52"/>
      <c r="E201" s="52"/>
      <c r="F201" s="52"/>
      <c r="G201" s="52"/>
      <c r="H201" s="52"/>
      <c r="I201" s="113"/>
      <c r="M201" s="25"/>
      <c r="N201" s="34"/>
      <c r="O201" s="23"/>
      <c r="P201" s="23"/>
      <c r="Y201" s="253" t="s">
        <v>322</v>
      </c>
      <c r="Z201" s="257">
        <v>13.9</v>
      </c>
      <c r="AA201" s="256">
        <v>0.375</v>
      </c>
      <c r="AB201" s="254">
        <v>10</v>
      </c>
      <c r="AC201" s="256">
        <v>0.645</v>
      </c>
      <c r="AD201" s="260">
        <v>1.24</v>
      </c>
    </row>
    <row r="202" spans="1:30" ht="12.75">
      <c r="A202" s="114"/>
      <c r="B202" s="52"/>
      <c r="C202" s="52"/>
      <c r="D202" s="52"/>
      <c r="E202" s="52"/>
      <c r="F202" s="52"/>
      <c r="G202" s="52"/>
      <c r="H202" s="52"/>
      <c r="I202" s="115"/>
      <c r="M202" s="25"/>
      <c r="N202" s="32"/>
      <c r="O202" s="23"/>
      <c r="P202" s="23"/>
      <c r="Y202" s="253" t="s">
        <v>323</v>
      </c>
      <c r="Z202" s="257">
        <v>13.9</v>
      </c>
      <c r="AA202" s="256">
        <v>0.37</v>
      </c>
      <c r="AB202" s="255">
        <v>8.06</v>
      </c>
      <c r="AC202" s="256">
        <v>0.66</v>
      </c>
      <c r="AD202" s="260">
        <v>1.25</v>
      </c>
    </row>
    <row r="203" spans="1:30" ht="12.75">
      <c r="A203" s="52"/>
      <c r="B203" s="52"/>
      <c r="C203" s="52"/>
      <c r="D203" s="52"/>
      <c r="E203" s="52"/>
      <c r="F203" s="52"/>
      <c r="G203" s="52"/>
      <c r="H203" s="116"/>
      <c r="I203" s="67"/>
      <c r="M203" s="58"/>
      <c r="N203" s="35"/>
      <c r="O203" s="23"/>
      <c r="P203" s="59"/>
      <c r="Y203" s="253" t="s">
        <v>324</v>
      </c>
      <c r="Z203" s="257">
        <v>13.8</v>
      </c>
      <c r="AA203" s="256">
        <v>0.34</v>
      </c>
      <c r="AB203" s="255">
        <v>8.03</v>
      </c>
      <c r="AC203" s="256">
        <v>0.595</v>
      </c>
      <c r="AD203" s="260">
        <v>1.19</v>
      </c>
    </row>
    <row r="204" spans="1:30" ht="12.75">
      <c r="A204" s="67"/>
      <c r="B204" s="117"/>
      <c r="C204" s="52"/>
      <c r="D204" s="52"/>
      <c r="E204" s="52"/>
      <c r="F204" s="52"/>
      <c r="G204" s="52"/>
      <c r="H204" s="52"/>
      <c r="I204" s="67"/>
      <c r="M204" s="58"/>
      <c r="N204" s="35"/>
      <c r="O204" s="23"/>
      <c r="P204" s="59"/>
      <c r="Y204" s="253" t="s">
        <v>325</v>
      </c>
      <c r="Z204" s="257">
        <v>13.7</v>
      </c>
      <c r="AA204" s="256">
        <v>0.305</v>
      </c>
      <c r="AB204" s="255">
        <v>8</v>
      </c>
      <c r="AC204" s="256">
        <v>0.53</v>
      </c>
      <c r="AD204" s="260">
        <v>1.12</v>
      </c>
    </row>
    <row r="205" spans="1:30" ht="12.75">
      <c r="A205" s="67"/>
      <c r="B205" s="117"/>
      <c r="C205" s="52"/>
      <c r="D205" s="52"/>
      <c r="E205" s="52"/>
      <c r="F205" s="52"/>
      <c r="G205" s="52"/>
      <c r="H205" s="52"/>
      <c r="I205" s="52"/>
      <c r="M205" s="45"/>
      <c r="O205" s="21"/>
      <c r="P205" s="23"/>
      <c r="Y205" s="253" t="s">
        <v>326</v>
      </c>
      <c r="Z205" s="257">
        <v>14.1</v>
      </c>
      <c r="AA205" s="256">
        <v>0.31</v>
      </c>
      <c r="AB205" s="255">
        <v>6.77</v>
      </c>
      <c r="AC205" s="256">
        <v>0.515</v>
      </c>
      <c r="AD205" s="261">
        <v>0.915</v>
      </c>
    </row>
    <row r="206" spans="1:30" ht="12.75">
      <c r="A206" s="67"/>
      <c r="B206" s="117"/>
      <c r="C206" s="52"/>
      <c r="D206" s="52"/>
      <c r="E206" s="52"/>
      <c r="F206" s="52"/>
      <c r="G206" s="52"/>
      <c r="H206" s="52"/>
      <c r="I206" s="52"/>
      <c r="M206" s="25"/>
      <c r="N206" s="32"/>
      <c r="O206" s="23"/>
      <c r="P206" s="23"/>
      <c r="Y206" s="253" t="s">
        <v>327</v>
      </c>
      <c r="Z206" s="257">
        <v>14</v>
      </c>
      <c r="AA206" s="256">
        <v>0.285</v>
      </c>
      <c r="AB206" s="255">
        <v>6.75</v>
      </c>
      <c r="AC206" s="256">
        <v>0.455</v>
      </c>
      <c r="AD206" s="261">
        <v>0.855</v>
      </c>
    </row>
    <row r="207" spans="1:30" ht="12.75">
      <c r="A207" s="52"/>
      <c r="B207" s="117"/>
      <c r="C207" s="52"/>
      <c r="D207" s="52"/>
      <c r="E207" s="52"/>
      <c r="F207" s="52"/>
      <c r="G207" s="52"/>
      <c r="H207" s="52"/>
      <c r="I207" s="52"/>
      <c r="M207" s="25"/>
      <c r="N207" s="34"/>
      <c r="O207" s="23"/>
      <c r="P207" s="23"/>
      <c r="Y207" s="253" t="s">
        <v>328</v>
      </c>
      <c r="Z207" s="257">
        <v>13.8</v>
      </c>
      <c r="AA207" s="256">
        <v>0.27</v>
      </c>
      <c r="AB207" s="255">
        <v>6.73</v>
      </c>
      <c r="AC207" s="256">
        <v>0.385</v>
      </c>
      <c r="AD207" s="261">
        <v>0.785</v>
      </c>
    </row>
    <row r="208" spans="1:30" ht="12.75">
      <c r="A208" s="112"/>
      <c r="B208" s="117"/>
      <c r="C208" s="52"/>
      <c r="D208" s="112"/>
      <c r="E208" s="52"/>
      <c r="F208" s="52"/>
      <c r="G208" s="52"/>
      <c r="H208" s="52"/>
      <c r="I208" s="52"/>
      <c r="M208" s="25"/>
      <c r="N208" s="32"/>
      <c r="O208" s="23"/>
      <c r="P208" s="23"/>
      <c r="Y208" s="253" t="s">
        <v>329</v>
      </c>
      <c r="Z208" s="257">
        <v>13.9</v>
      </c>
      <c r="AA208" s="256">
        <v>0.255</v>
      </c>
      <c r="AB208" s="255">
        <v>5.03</v>
      </c>
      <c r="AC208" s="256">
        <v>0.42</v>
      </c>
      <c r="AD208" s="261">
        <v>0.82</v>
      </c>
    </row>
    <row r="209" spans="1:30" ht="12.75">
      <c r="A209" s="52"/>
      <c r="B209" s="117"/>
      <c r="C209" s="52"/>
      <c r="D209" s="52"/>
      <c r="E209" s="52"/>
      <c r="F209" s="52"/>
      <c r="G209" s="52"/>
      <c r="H209" s="52"/>
      <c r="I209" s="52"/>
      <c r="M209" s="58"/>
      <c r="N209" s="32"/>
      <c r="O209" s="23"/>
      <c r="P209" s="59"/>
      <c r="Y209" s="253" t="s">
        <v>330</v>
      </c>
      <c r="Z209" s="257">
        <v>13.7</v>
      </c>
      <c r="AA209" s="256">
        <v>0.23</v>
      </c>
      <c r="AB209" s="255">
        <v>5</v>
      </c>
      <c r="AC209" s="256">
        <v>0.335</v>
      </c>
      <c r="AD209" s="261">
        <v>0.735</v>
      </c>
    </row>
    <row r="210" spans="1:30" ht="12.75">
      <c r="A210" s="112"/>
      <c r="B210" s="117"/>
      <c r="C210" s="52"/>
      <c r="D210" s="112"/>
      <c r="E210" s="52"/>
      <c r="F210" s="52"/>
      <c r="G210" s="52"/>
      <c r="H210" s="52"/>
      <c r="I210" s="52"/>
      <c r="M210" s="58"/>
      <c r="N210" s="35"/>
      <c r="O210" s="23"/>
      <c r="P210" s="59"/>
      <c r="Y210" s="253" t="s">
        <v>331</v>
      </c>
      <c r="Z210" s="257">
        <v>16.8</v>
      </c>
      <c r="AA210" s="255">
        <v>1.78</v>
      </c>
      <c r="AB210" s="254">
        <v>13.4</v>
      </c>
      <c r="AC210" s="255">
        <v>2.96</v>
      </c>
      <c r="AD210" s="260">
        <v>3.55</v>
      </c>
    </row>
    <row r="211" spans="1:30" ht="12.75">
      <c r="A211" s="112"/>
      <c r="B211" s="84"/>
      <c r="C211" s="52"/>
      <c r="D211" s="112"/>
      <c r="E211" s="52"/>
      <c r="F211" s="52"/>
      <c r="G211" s="52"/>
      <c r="H211" s="52"/>
      <c r="I211" s="52"/>
      <c r="M211" s="19"/>
      <c r="O211" s="21"/>
      <c r="P211" s="23"/>
      <c r="Y211" s="253" t="s">
        <v>332</v>
      </c>
      <c r="Z211" s="257">
        <v>16.3</v>
      </c>
      <c r="AA211" s="255">
        <v>1.63</v>
      </c>
      <c r="AB211" s="254">
        <v>13.2</v>
      </c>
      <c r="AC211" s="255">
        <v>2.71</v>
      </c>
      <c r="AD211" s="260">
        <v>3.3</v>
      </c>
    </row>
    <row r="212" spans="1:30" ht="12.75">
      <c r="A212" s="112"/>
      <c r="B212" s="117"/>
      <c r="C212" s="52"/>
      <c r="D212" s="67"/>
      <c r="E212" s="52"/>
      <c r="F212" s="52"/>
      <c r="G212" s="52"/>
      <c r="H212" s="52"/>
      <c r="I212" s="52"/>
      <c r="M212" s="25"/>
      <c r="N212" s="34"/>
      <c r="O212" s="23"/>
      <c r="P212" s="23"/>
      <c r="Y212" s="253" t="s">
        <v>333</v>
      </c>
      <c r="Z212" s="257">
        <v>15.9</v>
      </c>
      <c r="AA212" s="255">
        <v>1.53</v>
      </c>
      <c r="AB212" s="254">
        <v>13.1</v>
      </c>
      <c r="AC212" s="255">
        <v>2.47</v>
      </c>
      <c r="AD212" s="260">
        <v>3.07</v>
      </c>
    </row>
    <row r="213" spans="1:30" ht="12.75">
      <c r="A213" s="52"/>
      <c r="B213" s="84"/>
      <c r="C213" s="52"/>
      <c r="D213" s="52"/>
      <c r="E213" s="52"/>
      <c r="F213" s="52"/>
      <c r="G213" s="52"/>
      <c r="H213" s="67"/>
      <c r="I213" s="52"/>
      <c r="M213" s="25"/>
      <c r="N213" s="34"/>
      <c r="O213" s="23"/>
      <c r="P213" s="23"/>
      <c r="Y213" s="253" t="s">
        <v>334</v>
      </c>
      <c r="Z213" s="257">
        <v>15.4</v>
      </c>
      <c r="AA213" s="255">
        <v>1.4</v>
      </c>
      <c r="AB213" s="254">
        <v>13</v>
      </c>
      <c r="AC213" s="255">
        <v>2.25</v>
      </c>
      <c r="AD213" s="260">
        <v>2.85</v>
      </c>
    </row>
    <row r="214" spans="1:30" ht="12.75">
      <c r="A214" s="52"/>
      <c r="B214" s="84"/>
      <c r="C214" s="52"/>
      <c r="D214" s="52"/>
      <c r="E214" s="52"/>
      <c r="F214" s="52"/>
      <c r="G214" s="52"/>
      <c r="H214" s="52"/>
      <c r="I214" s="52"/>
      <c r="M214" s="19"/>
      <c r="O214" s="21"/>
      <c r="P214" s="23"/>
      <c r="Y214" s="253" t="s">
        <v>335</v>
      </c>
      <c r="Z214" s="257">
        <v>15.1</v>
      </c>
      <c r="AA214" s="255">
        <v>1.29</v>
      </c>
      <c r="AB214" s="254">
        <v>12.9</v>
      </c>
      <c r="AC214" s="255">
        <v>2.07</v>
      </c>
      <c r="AD214" s="260">
        <v>2.67</v>
      </c>
    </row>
    <row r="215" spans="1:30" ht="12.75">
      <c r="A215" s="112"/>
      <c r="B215" s="117"/>
      <c r="C215" s="52"/>
      <c r="D215" s="112"/>
      <c r="E215" s="52"/>
      <c r="F215" s="52"/>
      <c r="G215" s="52"/>
      <c r="H215" s="67"/>
      <c r="I215" s="52"/>
      <c r="M215" s="25"/>
      <c r="N215" s="26"/>
      <c r="O215" s="23"/>
      <c r="P215" s="23"/>
      <c r="Y215" s="253" t="s">
        <v>336</v>
      </c>
      <c r="Z215" s="257">
        <v>14.7</v>
      </c>
      <c r="AA215" s="255">
        <v>1.18</v>
      </c>
      <c r="AB215" s="254">
        <v>12.8</v>
      </c>
      <c r="AC215" s="255">
        <v>1.9</v>
      </c>
      <c r="AD215" s="260">
        <v>2.5</v>
      </c>
    </row>
    <row r="216" spans="1:30" ht="12.75">
      <c r="A216" s="52"/>
      <c r="B216" s="83"/>
      <c r="C216" s="52"/>
      <c r="D216" s="52"/>
      <c r="E216" s="52"/>
      <c r="F216" s="52"/>
      <c r="G216" s="52"/>
      <c r="H216" s="67"/>
      <c r="I216" s="52"/>
      <c r="M216" s="25"/>
      <c r="N216" s="26"/>
      <c r="O216" s="23"/>
      <c r="P216" s="23"/>
      <c r="Y216" s="253" t="s">
        <v>337</v>
      </c>
      <c r="Z216" s="257">
        <v>14.4</v>
      </c>
      <c r="AA216" s="255">
        <v>1.06</v>
      </c>
      <c r="AB216" s="254">
        <v>12.7</v>
      </c>
      <c r="AC216" s="255">
        <v>1.74</v>
      </c>
      <c r="AD216" s="260">
        <v>2.33</v>
      </c>
    </row>
    <row r="217" spans="1:30" ht="12.75">
      <c r="A217" s="52"/>
      <c r="B217" s="52"/>
      <c r="C217" s="52"/>
      <c r="D217" s="52"/>
      <c r="E217" s="52"/>
      <c r="F217" s="52"/>
      <c r="G217" s="52"/>
      <c r="H217" s="67"/>
      <c r="I217" s="52"/>
      <c r="M217" s="25"/>
      <c r="N217" s="34"/>
      <c r="O217" s="23"/>
      <c r="P217" s="23"/>
      <c r="Y217" s="253" t="s">
        <v>338</v>
      </c>
      <c r="Z217" s="257">
        <v>14</v>
      </c>
      <c r="AA217" s="256">
        <v>0.96</v>
      </c>
      <c r="AB217" s="254">
        <v>12.6</v>
      </c>
      <c r="AC217" s="255">
        <v>1.56</v>
      </c>
      <c r="AD217" s="260">
        <v>2.16</v>
      </c>
    </row>
    <row r="218" spans="1:30" ht="12.75">
      <c r="A218" s="52"/>
      <c r="B218" s="52"/>
      <c r="C218" s="52"/>
      <c r="D218" s="52"/>
      <c r="E218" s="52"/>
      <c r="F218" s="52"/>
      <c r="G218" s="52"/>
      <c r="H218" s="52"/>
      <c r="I218" s="52"/>
      <c r="M218" s="25"/>
      <c r="N218" s="34"/>
      <c r="O218" s="23"/>
      <c r="P218" s="23"/>
      <c r="Y218" s="253" t="s">
        <v>339</v>
      </c>
      <c r="Z218" s="257">
        <v>13.7</v>
      </c>
      <c r="AA218" s="256">
        <v>0.87</v>
      </c>
      <c r="AB218" s="254">
        <v>12.5</v>
      </c>
      <c r="AC218" s="255">
        <v>1.4</v>
      </c>
      <c r="AD218" s="260">
        <v>2</v>
      </c>
    </row>
    <row r="219" spans="1:30" ht="12.75">
      <c r="A219" s="67"/>
      <c r="B219" s="117"/>
      <c r="C219" s="67"/>
      <c r="D219" s="67"/>
      <c r="E219" s="52"/>
      <c r="F219" s="52"/>
      <c r="G219" s="52"/>
      <c r="H219" s="52"/>
      <c r="I219" s="52"/>
      <c r="M219" s="25"/>
      <c r="N219" s="34"/>
      <c r="O219" s="23"/>
      <c r="P219" s="23"/>
      <c r="Y219" s="253" t="s">
        <v>340</v>
      </c>
      <c r="Z219" s="257">
        <v>13.4</v>
      </c>
      <c r="AA219" s="256">
        <v>0.79</v>
      </c>
      <c r="AB219" s="254">
        <v>12.4</v>
      </c>
      <c r="AC219" s="255">
        <v>1.25</v>
      </c>
      <c r="AD219" s="260">
        <v>1.85</v>
      </c>
    </row>
    <row r="220" spans="1:30" ht="12.75">
      <c r="A220" s="67"/>
      <c r="B220" s="117"/>
      <c r="C220" s="52"/>
      <c r="D220" s="67"/>
      <c r="E220" s="52"/>
      <c r="F220" s="52"/>
      <c r="G220" s="52"/>
      <c r="H220" s="52"/>
      <c r="I220" s="52"/>
      <c r="Y220" s="253" t="s">
        <v>341</v>
      </c>
      <c r="Z220" s="257">
        <v>13.1</v>
      </c>
      <c r="AA220" s="256">
        <v>0.71</v>
      </c>
      <c r="AB220" s="254">
        <v>12.3</v>
      </c>
      <c r="AC220" s="255">
        <v>1.11</v>
      </c>
      <c r="AD220" s="260">
        <v>1.7</v>
      </c>
    </row>
    <row r="221" spans="1:30" ht="12.75">
      <c r="A221" s="67"/>
      <c r="B221" s="117"/>
      <c r="C221" s="52"/>
      <c r="D221" s="52"/>
      <c r="E221" s="52"/>
      <c r="F221" s="52"/>
      <c r="G221" s="52"/>
      <c r="H221" s="52"/>
      <c r="I221" s="52"/>
      <c r="Y221" s="253" t="s">
        <v>342</v>
      </c>
      <c r="Z221" s="257">
        <v>12.9</v>
      </c>
      <c r="AA221" s="256">
        <v>0.61</v>
      </c>
      <c r="AB221" s="254">
        <v>12.2</v>
      </c>
      <c r="AC221" s="256">
        <v>0.99</v>
      </c>
      <c r="AD221" s="260">
        <v>1.59</v>
      </c>
    </row>
    <row r="222" spans="1:30" ht="12.75">
      <c r="A222" s="67"/>
      <c r="B222" s="117"/>
      <c r="C222" s="52"/>
      <c r="D222" s="52"/>
      <c r="E222" s="52"/>
      <c r="F222" s="52"/>
      <c r="G222" s="52"/>
      <c r="H222" s="52"/>
      <c r="I222" s="52"/>
      <c r="Y222" s="253" t="s">
        <v>343</v>
      </c>
      <c r="Z222" s="257">
        <v>12.7</v>
      </c>
      <c r="AA222" s="256">
        <v>0.55</v>
      </c>
      <c r="AB222" s="254">
        <v>12.2</v>
      </c>
      <c r="AC222" s="256">
        <v>0.9</v>
      </c>
      <c r="AD222" s="260">
        <v>1.5</v>
      </c>
    </row>
    <row r="223" spans="1:30" ht="12.75">
      <c r="A223" s="52"/>
      <c r="B223" s="117"/>
      <c r="C223" s="52"/>
      <c r="D223" s="52"/>
      <c r="E223" s="52"/>
      <c r="F223" s="52"/>
      <c r="G223" s="52"/>
      <c r="H223" s="52"/>
      <c r="I223" s="52"/>
      <c r="Y223" s="253" t="s">
        <v>344</v>
      </c>
      <c r="Z223" s="257">
        <v>12.5</v>
      </c>
      <c r="AA223" s="256">
        <v>0.515</v>
      </c>
      <c r="AB223" s="254">
        <v>12.1</v>
      </c>
      <c r="AC223" s="256">
        <v>0.81</v>
      </c>
      <c r="AD223" s="260">
        <v>1.41</v>
      </c>
    </row>
    <row r="224" spans="1:30" ht="12.75">
      <c r="A224" s="112"/>
      <c r="B224" s="117"/>
      <c r="C224" s="52"/>
      <c r="D224" s="112"/>
      <c r="E224" s="52"/>
      <c r="F224" s="52"/>
      <c r="G224" s="52"/>
      <c r="H224" s="52"/>
      <c r="I224" s="52"/>
      <c r="Y224" s="253" t="s">
        <v>345</v>
      </c>
      <c r="Z224" s="257">
        <v>12.4</v>
      </c>
      <c r="AA224" s="256">
        <v>0.47</v>
      </c>
      <c r="AB224" s="254">
        <v>12.1</v>
      </c>
      <c r="AC224" s="256">
        <v>0.735</v>
      </c>
      <c r="AD224" s="260">
        <v>1.33</v>
      </c>
    </row>
    <row r="225" spans="1:30" ht="12.75">
      <c r="A225" s="52"/>
      <c r="B225" s="117"/>
      <c r="C225" s="52"/>
      <c r="D225" s="52"/>
      <c r="E225" s="52"/>
      <c r="F225" s="52"/>
      <c r="G225" s="52"/>
      <c r="H225" s="52"/>
      <c r="I225" s="52"/>
      <c r="Y225" s="253" t="s">
        <v>346</v>
      </c>
      <c r="Z225" s="257">
        <v>12.3</v>
      </c>
      <c r="AA225" s="256">
        <v>0.43</v>
      </c>
      <c r="AB225" s="254">
        <v>12</v>
      </c>
      <c r="AC225" s="256">
        <v>0.67</v>
      </c>
      <c r="AD225" s="260">
        <v>1.27</v>
      </c>
    </row>
    <row r="226" spans="1:30" ht="12.75">
      <c r="A226" s="112"/>
      <c r="B226" s="117"/>
      <c r="C226" s="52"/>
      <c r="D226" s="112"/>
      <c r="E226" s="52"/>
      <c r="F226" s="52"/>
      <c r="G226" s="52"/>
      <c r="H226" s="52"/>
      <c r="I226" s="52"/>
      <c r="Y226" s="253" t="s">
        <v>347</v>
      </c>
      <c r="Z226" s="257">
        <v>12.1</v>
      </c>
      <c r="AA226" s="256">
        <v>0.39</v>
      </c>
      <c r="AB226" s="254">
        <v>12</v>
      </c>
      <c r="AC226" s="256">
        <v>0.605</v>
      </c>
      <c r="AD226" s="260">
        <v>1.2</v>
      </c>
    </row>
    <row r="227" spans="1:30" ht="12.75">
      <c r="A227" s="112"/>
      <c r="B227" s="84"/>
      <c r="C227" s="52"/>
      <c r="D227" s="112"/>
      <c r="E227" s="52"/>
      <c r="F227" s="52"/>
      <c r="G227" s="52"/>
      <c r="H227" s="52"/>
      <c r="I227" s="67"/>
      <c r="Y227" s="253" t="s">
        <v>348</v>
      </c>
      <c r="Z227" s="257">
        <v>12.2</v>
      </c>
      <c r="AA227" s="256">
        <v>0.36</v>
      </c>
      <c r="AB227" s="254">
        <v>10</v>
      </c>
      <c r="AC227" s="256">
        <v>0.64</v>
      </c>
      <c r="AD227" s="260">
        <v>1.24</v>
      </c>
    </row>
    <row r="228" spans="1:30" ht="12.75">
      <c r="A228" s="112"/>
      <c r="B228" s="117"/>
      <c r="C228" s="52"/>
      <c r="D228" s="67"/>
      <c r="E228" s="52"/>
      <c r="F228" s="52"/>
      <c r="G228" s="52"/>
      <c r="H228" s="52"/>
      <c r="I228" s="67"/>
      <c r="Y228" s="253" t="s">
        <v>349</v>
      </c>
      <c r="Z228" s="257">
        <v>12.1</v>
      </c>
      <c r="AA228" s="256">
        <v>0.345</v>
      </c>
      <c r="AB228" s="254">
        <v>10</v>
      </c>
      <c r="AC228" s="256">
        <v>0.575</v>
      </c>
      <c r="AD228" s="260">
        <v>1.18</v>
      </c>
    </row>
    <row r="229" spans="1:30" ht="12.75">
      <c r="A229" s="52"/>
      <c r="B229" s="84"/>
      <c r="C229" s="52"/>
      <c r="D229" s="52"/>
      <c r="E229" s="52"/>
      <c r="F229" s="52"/>
      <c r="G229" s="52"/>
      <c r="H229" s="67"/>
      <c r="I229" s="67"/>
      <c r="Y229" s="253" t="s">
        <v>350</v>
      </c>
      <c r="Z229" s="257">
        <v>12.2</v>
      </c>
      <c r="AA229" s="256">
        <v>0.37</v>
      </c>
      <c r="AB229" s="255">
        <v>8.08</v>
      </c>
      <c r="AC229" s="256">
        <v>0.64</v>
      </c>
      <c r="AD229" s="260">
        <v>1.14</v>
      </c>
    </row>
    <row r="230" spans="1:30" ht="12.75">
      <c r="A230" s="52"/>
      <c r="B230" s="84"/>
      <c r="C230" s="52"/>
      <c r="D230" s="52"/>
      <c r="E230" s="52"/>
      <c r="F230" s="52"/>
      <c r="G230" s="52"/>
      <c r="H230" s="52"/>
      <c r="I230" s="67"/>
      <c r="Y230" s="253" t="s">
        <v>351</v>
      </c>
      <c r="Z230" s="257">
        <v>12.1</v>
      </c>
      <c r="AA230" s="256">
        <v>0.335</v>
      </c>
      <c r="AB230" s="255">
        <v>8.05</v>
      </c>
      <c r="AC230" s="256">
        <v>0.575</v>
      </c>
      <c r="AD230" s="260">
        <v>1.08</v>
      </c>
    </row>
    <row r="231" spans="1:30" ht="12.75">
      <c r="A231" s="112"/>
      <c r="B231" s="117"/>
      <c r="C231" s="52"/>
      <c r="D231" s="112"/>
      <c r="E231" s="52"/>
      <c r="F231" s="52"/>
      <c r="G231" s="52"/>
      <c r="H231" s="52"/>
      <c r="I231" s="67"/>
      <c r="Y231" s="253" t="s">
        <v>352</v>
      </c>
      <c r="Z231" s="257">
        <v>11.9</v>
      </c>
      <c r="AA231" s="256">
        <v>0.295</v>
      </c>
      <c r="AB231" s="255">
        <v>8.01</v>
      </c>
      <c r="AC231" s="256">
        <v>0.515</v>
      </c>
      <c r="AD231" s="260">
        <v>1.02</v>
      </c>
    </row>
    <row r="232" spans="1:30" ht="12.75">
      <c r="A232" s="52"/>
      <c r="B232" s="83"/>
      <c r="C232" s="52"/>
      <c r="D232" s="52"/>
      <c r="E232" s="52"/>
      <c r="F232" s="52"/>
      <c r="G232" s="52"/>
      <c r="H232" s="52"/>
      <c r="I232" s="67"/>
      <c r="Y232" s="253" t="s">
        <v>353</v>
      </c>
      <c r="Z232" s="257">
        <v>12.5</v>
      </c>
      <c r="AA232" s="256">
        <v>0.3</v>
      </c>
      <c r="AB232" s="255">
        <v>6.56</v>
      </c>
      <c r="AC232" s="256">
        <v>0.52</v>
      </c>
      <c r="AD232" s="261">
        <v>0.82</v>
      </c>
    </row>
    <row r="233" spans="1:30" ht="12.75">
      <c r="A233" s="52"/>
      <c r="B233" s="52"/>
      <c r="C233" s="52"/>
      <c r="D233" s="52"/>
      <c r="E233" s="52"/>
      <c r="F233" s="52"/>
      <c r="G233" s="52"/>
      <c r="H233" s="67"/>
      <c r="I233" s="67"/>
      <c r="Y233" s="253" t="s">
        <v>354</v>
      </c>
      <c r="Z233" s="257">
        <v>12.3</v>
      </c>
      <c r="AA233" s="256">
        <v>0.26</v>
      </c>
      <c r="AB233" s="255">
        <v>6.52</v>
      </c>
      <c r="AC233" s="256">
        <v>0.44</v>
      </c>
      <c r="AD233" s="261">
        <v>0.74</v>
      </c>
    </row>
    <row r="234" spans="1:30" ht="12.75">
      <c r="A234" s="67"/>
      <c r="B234" s="52"/>
      <c r="C234" s="52"/>
      <c r="D234" s="52"/>
      <c r="E234" s="52"/>
      <c r="F234" s="52"/>
      <c r="G234" s="52"/>
      <c r="H234" s="52"/>
      <c r="I234" s="52"/>
      <c r="Y234" s="253" t="s">
        <v>355</v>
      </c>
      <c r="Z234" s="257">
        <v>12.2</v>
      </c>
      <c r="AA234" s="256">
        <v>0.23</v>
      </c>
      <c r="AB234" s="255">
        <v>6.49</v>
      </c>
      <c r="AC234" s="256">
        <v>0.38</v>
      </c>
      <c r="AD234" s="261">
        <v>0.68</v>
      </c>
    </row>
    <row r="235" spans="1:30" ht="12.75">
      <c r="A235" s="67"/>
      <c r="B235" s="118"/>
      <c r="C235" s="67"/>
      <c r="D235" s="67"/>
      <c r="E235" s="67"/>
      <c r="F235" s="67"/>
      <c r="G235" s="67"/>
      <c r="H235" s="67"/>
      <c r="I235" s="52"/>
      <c r="Y235" s="253" t="s">
        <v>356</v>
      </c>
      <c r="Z235" s="257">
        <v>12.3</v>
      </c>
      <c r="AA235" s="256">
        <v>0.26</v>
      </c>
      <c r="AB235" s="255">
        <v>4.03</v>
      </c>
      <c r="AC235" s="256">
        <v>0.425</v>
      </c>
      <c r="AD235" s="261">
        <v>0.725</v>
      </c>
    </row>
    <row r="236" spans="1:30" ht="12.75">
      <c r="A236" s="67"/>
      <c r="B236" s="83"/>
      <c r="C236" s="67"/>
      <c r="D236" s="67"/>
      <c r="E236" s="67"/>
      <c r="F236" s="67"/>
      <c r="G236" s="67"/>
      <c r="H236" s="67"/>
      <c r="I236" s="67"/>
      <c r="Y236" s="253" t="s">
        <v>357</v>
      </c>
      <c r="Z236" s="257">
        <v>12.2</v>
      </c>
      <c r="AA236" s="256">
        <v>0.235</v>
      </c>
      <c r="AB236" s="255">
        <v>4.01</v>
      </c>
      <c r="AC236" s="256">
        <v>0.35</v>
      </c>
      <c r="AD236" s="261">
        <v>0.65</v>
      </c>
    </row>
    <row r="237" spans="1:30" ht="12.75">
      <c r="A237" s="67"/>
      <c r="B237" s="83"/>
      <c r="C237" s="67"/>
      <c r="D237" s="67"/>
      <c r="E237" s="67"/>
      <c r="F237" s="67"/>
      <c r="G237" s="67"/>
      <c r="H237" s="67"/>
      <c r="I237" s="67"/>
      <c r="Y237" s="253" t="s">
        <v>358</v>
      </c>
      <c r="Z237" s="257">
        <v>12</v>
      </c>
      <c r="AA237" s="256">
        <v>0.22</v>
      </c>
      <c r="AB237" s="255">
        <v>3.99</v>
      </c>
      <c r="AC237" s="256">
        <v>0.265</v>
      </c>
      <c r="AD237" s="261">
        <v>0.565</v>
      </c>
    </row>
    <row r="238" spans="1:30" ht="12.75">
      <c r="A238" s="67"/>
      <c r="B238" s="83"/>
      <c r="C238" s="67"/>
      <c r="D238" s="67"/>
      <c r="E238" s="67"/>
      <c r="F238" s="67"/>
      <c r="G238" s="67"/>
      <c r="H238" s="67"/>
      <c r="I238" s="67"/>
      <c r="Y238" s="253" t="s">
        <v>359</v>
      </c>
      <c r="Z238" s="257">
        <v>11.9</v>
      </c>
      <c r="AA238" s="256">
        <v>0.2</v>
      </c>
      <c r="AB238" s="255">
        <v>3.97</v>
      </c>
      <c r="AC238" s="256">
        <v>0.225</v>
      </c>
      <c r="AD238" s="261">
        <v>0.525</v>
      </c>
    </row>
    <row r="239" spans="1:30" ht="12.75">
      <c r="A239" s="67"/>
      <c r="B239" s="67"/>
      <c r="C239" s="67"/>
      <c r="D239" s="67"/>
      <c r="E239" s="67"/>
      <c r="F239" s="67"/>
      <c r="G239" s="67"/>
      <c r="H239" s="67"/>
      <c r="I239" s="67"/>
      <c r="Y239" s="253" t="s">
        <v>360</v>
      </c>
      <c r="Z239" s="257">
        <v>11.4</v>
      </c>
      <c r="AA239" s="256">
        <v>0.755</v>
      </c>
      <c r="AB239" s="254">
        <v>10.4</v>
      </c>
      <c r="AC239" s="255">
        <v>1.25</v>
      </c>
      <c r="AD239" s="260">
        <v>1.75</v>
      </c>
    </row>
    <row r="240" spans="1:30" ht="12.75">
      <c r="A240" s="67"/>
      <c r="B240" s="118"/>
      <c r="C240" s="67"/>
      <c r="D240" s="67"/>
      <c r="E240" s="52"/>
      <c r="F240" s="52"/>
      <c r="G240" s="52"/>
      <c r="H240" s="52"/>
      <c r="I240" s="67"/>
      <c r="Y240" s="253" t="s">
        <v>361</v>
      </c>
      <c r="Z240" s="257">
        <v>11.1</v>
      </c>
      <c r="AA240" s="256">
        <v>0.68</v>
      </c>
      <c r="AB240" s="254">
        <v>10.3</v>
      </c>
      <c r="AC240" s="255">
        <v>1.12</v>
      </c>
      <c r="AD240" s="260">
        <v>1.62</v>
      </c>
    </row>
    <row r="241" spans="1:30" ht="12.75">
      <c r="A241" s="67"/>
      <c r="B241" s="83"/>
      <c r="C241" s="67"/>
      <c r="D241" s="67"/>
      <c r="E241" s="67"/>
      <c r="F241" s="67"/>
      <c r="G241" s="67"/>
      <c r="H241" s="67"/>
      <c r="I241" s="67"/>
      <c r="Y241" s="253" t="s">
        <v>362</v>
      </c>
      <c r="Z241" s="257">
        <v>10.8</v>
      </c>
      <c r="AA241" s="256">
        <v>0.605</v>
      </c>
      <c r="AB241" s="254">
        <v>10.3</v>
      </c>
      <c r="AC241" s="256">
        <v>0.99</v>
      </c>
      <c r="AD241" s="260">
        <v>1.49</v>
      </c>
    </row>
    <row r="242" spans="1:30" ht="12.75">
      <c r="A242" s="67"/>
      <c r="B242" s="83"/>
      <c r="C242" s="67"/>
      <c r="D242" s="67"/>
      <c r="E242" s="67"/>
      <c r="F242" s="67"/>
      <c r="G242" s="67"/>
      <c r="H242" s="67"/>
      <c r="I242" s="67"/>
      <c r="Y242" s="253" t="s">
        <v>363</v>
      </c>
      <c r="Z242" s="257">
        <v>10.6</v>
      </c>
      <c r="AA242" s="256">
        <v>0.53</v>
      </c>
      <c r="AB242" s="254">
        <v>10.2</v>
      </c>
      <c r="AC242" s="256">
        <v>0.87</v>
      </c>
      <c r="AD242" s="260">
        <v>1.37</v>
      </c>
    </row>
    <row r="243" spans="1:30" ht="12.75">
      <c r="A243" s="67"/>
      <c r="B243" s="83"/>
      <c r="C243" s="67"/>
      <c r="D243" s="67"/>
      <c r="E243" s="67"/>
      <c r="F243" s="67"/>
      <c r="G243" s="67"/>
      <c r="H243" s="67"/>
      <c r="I243" s="67"/>
      <c r="Y243" s="253" t="s">
        <v>364</v>
      </c>
      <c r="Z243" s="257">
        <v>10.4</v>
      </c>
      <c r="AA243" s="256">
        <v>0.47</v>
      </c>
      <c r="AB243" s="254">
        <v>10.1</v>
      </c>
      <c r="AC243" s="256">
        <v>0.77</v>
      </c>
      <c r="AD243" s="260">
        <v>1.27</v>
      </c>
    </row>
    <row r="244" spans="1:30" ht="12.75">
      <c r="A244" s="67"/>
      <c r="B244" s="52"/>
      <c r="C244" s="52"/>
      <c r="D244" s="52"/>
      <c r="E244" s="52"/>
      <c r="F244" s="52"/>
      <c r="G244" s="52"/>
      <c r="H244" s="67"/>
      <c r="I244" s="52"/>
      <c r="Y244" s="253" t="s">
        <v>365</v>
      </c>
      <c r="Z244" s="257">
        <v>10.2</v>
      </c>
      <c r="AA244" s="256">
        <v>0.42</v>
      </c>
      <c r="AB244" s="254">
        <v>10.1</v>
      </c>
      <c r="AC244" s="256">
        <v>0.68</v>
      </c>
      <c r="AD244" s="260">
        <v>1.18</v>
      </c>
    </row>
    <row r="245" spans="1:30" ht="12.75">
      <c r="A245" s="67"/>
      <c r="B245" s="83"/>
      <c r="C245" s="67"/>
      <c r="D245" s="67"/>
      <c r="E245" s="52"/>
      <c r="F245" s="52"/>
      <c r="G245" s="52"/>
      <c r="H245" s="52"/>
      <c r="I245" s="52"/>
      <c r="Y245" s="253" t="s">
        <v>366</v>
      </c>
      <c r="Z245" s="257">
        <v>10.1</v>
      </c>
      <c r="AA245" s="256">
        <v>0.37</v>
      </c>
      <c r="AB245" s="254">
        <v>10</v>
      </c>
      <c r="AC245" s="256">
        <v>0.615</v>
      </c>
      <c r="AD245" s="260">
        <v>1.12</v>
      </c>
    </row>
    <row r="246" spans="1:30" ht="12.75">
      <c r="A246" s="67"/>
      <c r="B246" s="83"/>
      <c r="C246" s="67"/>
      <c r="D246" s="67"/>
      <c r="E246" s="52"/>
      <c r="F246" s="52"/>
      <c r="G246" s="52"/>
      <c r="H246" s="52"/>
      <c r="I246" s="52"/>
      <c r="Y246" s="253" t="s">
        <v>367</v>
      </c>
      <c r="Z246" s="257">
        <v>10</v>
      </c>
      <c r="AA246" s="256">
        <v>0.34</v>
      </c>
      <c r="AB246" s="254">
        <v>10</v>
      </c>
      <c r="AC246" s="256">
        <v>0.56</v>
      </c>
      <c r="AD246" s="260">
        <v>1.06</v>
      </c>
    </row>
    <row r="247" spans="1:30" ht="12.75">
      <c r="A247" s="67"/>
      <c r="B247" s="83"/>
      <c r="C247" s="67"/>
      <c r="D247" s="67"/>
      <c r="E247" s="52"/>
      <c r="F247" s="52"/>
      <c r="G247" s="52"/>
      <c r="H247" s="52"/>
      <c r="I247" s="52"/>
      <c r="Y247" s="253" t="s">
        <v>368</v>
      </c>
      <c r="Z247" s="257">
        <v>10.1</v>
      </c>
      <c r="AA247" s="256">
        <v>0.35</v>
      </c>
      <c r="AB247" s="255">
        <v>8.02</v>
      </c>
      <c r="AC247" s="256">
        <v>0.62</v>
      </c>
      <c r="AD247" s="260">
        <v>1.12</v>
      </c>
    </row>
    <row r="248" spans="1:30" ht="12.75">
      <c r="A248" s="67"/>
      <c r="B248" s="83"/>
      <c r="C248" s="67"/>
      <c r="D248" s="67"/>
      <c r="E248" s="52"/>
      <c r="F248" s="52"/>
      <c r="G248" s="52"/>
      <c r="H248" s="52"/>
      <c r="I248" s="52"/>
      <c r="Y248" s="253" t="s">
        <v>369</v>
      </c>
      <c r="Z248" s="258">
        <v>9.92</v>
      </c>
      <c r="AA248" s="256">
        <v>0.315</v>
      </c>
      <c r="AB248" s="255">
        <v>7.99</v>
      </c>
      <c r="AC248" s="256">
        <v>0.53</v>
      </c>
      <c r="AD248" s="260">
        <v>1.03</v>
      </c>
    </row>
    <row r="249" spans="1:30" ht="12.75">
      <c r="A249" s="52"/>
      <c r="B249" s="52"/>
      <c r="C249" s="52"/>
      <c r="D249" s="52"/>
      <c r="E249" s="52"/>
      <c r="F249" s="52"/>
      <c r="G249" s="52"/>
      <c r="H249" s="67"/>
      <c r="I249" s="52"/>
      <c r="Y249" s="253" t="s">
        <v>370</v>
      </c>
      <c r="Z249" s="258">
        <v>9.73</v>
      </c>
      <c r="AA249" s="256">
        <v>0.29</v>
      </c>
      <c r="AB249" s="255">
        <v>7.96</v>
      </c>
      <c r="AC249" s="256">
        <v>0.435</v>
      </c>
      <c r="AD249" s="261">
        <v>0.935</v>
      </c>
    </row>
    <row r="250" spans="1:30" ht="12.75">
      <c r="A250" s="52"/>
      <c r="B250" s="52"/>
      <c r="C250" s="52"/>
      <c r="D250" s="52"/>
      <c r="E250" s="52"/>
      <c r="F250" s="52"/>
      <c r="G250" s="52"/>
      <c r="H250" s="52"/>
      <c r="I250" s="67"/>
      <c r="Y250" s="253" t="s">
        <v>371</v>
      </c>
      <c r="Z250" s="257">
        <v>10.5</v>
      </c>
      <c r="AA250" s="256">
        <v>0.3</v>
      </c>
      <c r="AB250" s="255">
        <v>5.81</v>
      </c>
      <c r="AC250" s="256">
        <v>0.51</v>
      </c>
      <c r="AD250" s="261">
        <v>0.81</v>
      </c>
    </row>
    <row r="251" spans="1:30" ht="12.75">
      <c r="A251" s="52"/>
      <c r="B251" s="52"/>
      <c r="C251" s="52"/>
      <c r="D251" s="52"/>
      <c r="E251" s="52"/>
      <c r="F251" s="52"/>
      <c r="G251" s="52"/>
      <c r="H251" s="52"/>
      <c r="I251" s="113"/>
      <c r="Y251" s="253" t="s">
        <v>372</v>
      </c>
      <c r="Z251" s="257">
        <v>10.3</v>
      </c>
      <c r="AA251" s="256">
        <v>0.26</v>
      </c>
      <c r="AB251" s="255">
        <v>5.77</v>
      </c>
      <c r="AC251" s="256">
        <v>0.44</v>
      </c>
      <c r="AD251" s="261">
        <v>0.74</v>
      </c>
    </row>
    <row r="252" spans="1:30" ht="12.75">
      <c r="A252" s="52"/>
      <c r="B252" s="52"/>
      <c r="C252" s="52"/>
      <c r="D252" s="52"/>
      <c r="E252" s="52"/>
      <c r="F252" s="52"/>
      <c r="G252" s="52"/>
      <c r="H252" s="52"/>
      <c r="I252" s="115"/>
      <c r="Y252" s="253" t="s">
        <v>373</v>
      </c>
      <c r="Z252" s="257">
        <v>10.2</v>
      </c>
      <c r="AA252" s="256">
        <v>0.24</v>
      </c>
      <c r="AB252" s="255">
        <v>5.75</v>
      </c>
      <c r="AC252" s="256">
        <v>0.36</v>
      </c>
      <c r="AD252" s="261">
        <v>0.66</v>
      </c>
    </row>
    <row r="253" spans="1:30" ht="12.75">
      <c r="A253" s="114"/>
      <c r="B253" s="52"/>
      <c r="C253" s="52"/>
      <c r="D253" s="52"/>
      <c r="E253" s="52"/>
      <c r="F253" s="52"/>
      <c r="G253" s="52"/>
      <c r="H253" s="116"/>
      <c r="I253" s="67"/>
      <c r="Y253" s="253" t="s">
        <v>374</v>
      </c>
      <c r="Z253" s="257">
        <v>10.2</v>
      </c>
      <c r="AA253" s="256">
        <v>0.25</v>
      </c>
      <c r="AB253" s="255">
        <v>4.02</v>
      </c>
      <c r="AC253" s="256">
        <v>0.395</v>
      </c>
      <c r="AD253" s="261">
        <v>0.695</v>
      </c>
    </row>
    <row r="254" spans="1:30" ht="12.75">
      <c r="A254" s="67"/>
      <c r="B254" s="67"/>
      <c r="C254" s="52"/>
      <c r="D254" s="52"/>
      <c r="E254" s="52"/>
      <c r="F254" s="52"/>
      <c r="G254" s="52"/>
      <c r="H254" s="52"/>
      <c r="I254" s="67"/>
      <c r="Y254" s="253" t="s">
        <v>375</v>
      </c>
      <c r="Z254" s="257">
        <v>10.1</v>
      </c>
      <c r="AA254" s="256">
        <v>0.24</v>
      </c>
      <c r="AB254" s="255">
        <v>4.01</v>
      </c>
      <c r="AC254" s="256">
        <v>0.33</v>
      </c>
      <c r="AD254" s="261">
        <v>0.63</v>
      </c>
    </row>
    <row r="255" spans="1:30" ht="12.75">
      <c r="A255" s="67"/>
      <c r="B255" s="119"/>
      <c r="C255" s="67"/>
      <c r="D255" s="67"/>
      <c r="E255" s="52"/>
      <c r="F255" s="52"/>
      <c r="G255" s="52"/>
      <c r="H255" s="52"/>
      <c r="I255" s="52"/>
      <c r="Y255" s="253" t="s">
        <v>376</v>
      </c>
      <c r="Z255" s="257">
        <v>10</v>
      </c>
      <c r="AA255" s="256">
        <v>0.23</v>
      </c>
      <c r="AB255" s="255">
        <v>4</v>
      </c>
      <c r="AC255" s="256">
        <v>0.27</v>
      </c>
      <c r="AD255" s="261">
        <v>0.57</v>
      </c>
    </row>
    <row r="256" spans="1:30" ht="12.75">
      <c r="A256" s="67"/>
      <c r="B256" s="119"/>
      <c r="C256" s="67"/>
      <c r="D256" s="67"/>
      <c r="E256" s="52"/>
      <c r="F256" s="52"/>
      <c r="G256" s="52"/>
      <c r="H256" s="67"/>
      <c r="I256" s="52"/>
      <c r="Y256" s="253" t="s">
        <v>377</v>
      </c>
      <c r="Z256" s="258">
        <v>9.87</v>
      </c>
      <c r="AA256" s="256">
        <v>0.19</v>
      </c>
      <c r="AB256" s="255">
        <v>3.96</v>
      </c>
      <c r="AC256" s="256">
        <v>0.21</v>
      </c>
      <c r="AD256" s="261">
        <v>0.51</v>
      </c>
    </row>
    <row r="257" spans="1:30" ht="12.75">
      <c r="A257" s="52"/>
      <c r="B257" s="52"/>
      <c r="C257" s="52"/>
      <c r="D257" s="52"/>
      <c r="E257" s="52"/>
      <c r="F257" s="52"/>
      <c r="G257" s="52"/>
      <c r="H257" s="52"/>
      <c r="I257" s="52"/>
      <c r="Y257" s="253" t="s">
        <v>378</v>
      </c>
      <c r="Z257" s="258">
        <v>9</v>
      </c>
      <c r="AA257" s="256">
        <v>0.57</v>
      </c>
      <c r="AB257" s="255">
        <v>8.28</v>
      </c>
      <c r="AC257" s="256">
        <v>0.935</v>
      </c>
      <c r="AD257" s="260">
        <v>1.33</v>
      </c>
    </row>
    <row r="258" spans="1:30" ht="12.75">
      <c r="A258" s="52"/>
      <c r="B258" s="83"/>
      <c r="C258" s="52"/>
      <c r="D258" s="67"/>
      <c r="E258" s="52"/>
      <c r="F258" s="52"/>
      <c r="G258" s="52"/>
      <c r="H258" s="52"/>
      <c r="I258" s="52"/>
      <c r="Y258" s="253" t="s">
        <v>379</v>
      </c>
      <c r="Z258" s="258">
        <v>8.75</v>
      </c>
      <c r="AA258" s="256">
        <v>0.51</v>
      </c>
      <c r="AB258" s="255">
        <v>8.22</v>
      </c>
      <c r="AC258" s="256">
        <v>0.81</v>
      </c>
      <c r="AD258" s="260">
        <v>1.2</v>
      </c>
    </row>
    <row r="259" spans="1:30" ht="12.75">
      <c r="A259" s="52"/>
      <c r="B259" s="84"/>
      <c r="C259" s="52"/>
      <c r="D259" s="52"/>
      <c r="E259" s="52"/>
      <c r="F259" s="52"/>
      <c r="G259" s="52"/>
      <c r="H259" s="52"/>
      <c r="I259" s="52"/>
      <c r="Y259" s="253" t="s">
        <v>380</v>
      </c>
      <c r="Z259" s="258">
        <v>8.5</v>
      </c>
      <c r="AA259" s="256">
        <v>0.4</v>
      </c>
      <c r="AB259" s="255">
        <v>8.11</v>
      </c>
      <c r="AC259" s="256">
        <v>0.685</v>
      </c>
      <c r="AD259" s="260">
        <v>1.08</v>
      </c>
    </row>
    <row r="260" spans="1:30" ht="12.75">
      <c r="A260" s="112"/>
      <c r="B260" s="84"/>
      <c r="C260" s="52"/>
      <c r="D260" s="112"/>
      <c r="E260" s="52"/>
      <c r="F260" s="52"/>
      <c r="G260" s="52"/>
      <c r="H260" s="67"/>
      <c r="I260" s="52"/>
      <c r="Y260" s="253" t="s">
        <v>381</v>
      </c>
      <c r="Z260" s="258">
        <v>8.25</v>
      </c>
      <c r="AA260" s="256">
        <v>0.36</v>
      </c>
      <c r="AB260" s="255">
        <v>8.07</v>
      </c>
      <c r="AC260" s="256">
        <v>0.56</v>
      </c>
      <c r="AD260" s="261">
        <v>0.954</v>
      </c>
    </row>
    <row r="261" spans="1:30" ht="12.75">
      <c r="A261" s="112"/>
      <c r="B261" s="84"/>
      <c r="C261" s="52"/>
      <c r="D261" s="112"/>
      <c r="E261" s="52"/>
      <c r="F261" s="52"/>
      <c r="G261" s="52"/>
      <c r="H261" s="52"/>
      <c r="I261" s="52"/>
      <c r="Y261" s="253" t="s">
        <v>382</v>
      </c>
      <c r="Z261" s="258">
        <v>8.12</v>
      </c>
      <c r="AA261" s="256">
        <v>0.31</v>
      </c>
      <c r="AB261" s="255">
        <v>8.02</v>
      </c>
      <c r="AC261" s="256">
        <v>0.495</v>
      </c>
      <c r="AD261" s="261">
        <v>0.889</v>
      </c>
    </row>
    <row r="262" spans="1:30" ht="12.75">
      <c r="A262" s="52"/>
      <c r="B262" s="52"/>
      <c r="C262" s="52"/>
      <c r="D262" s="52"/>
      <c r="E262" s="52"/>
      <c r="F262" s="52"/>
      <c r="G262" s="67"/>
      <c r="H262" s="52"/>
      <c r="I262" s="52"/>
      <c r="Y262" s="253" t="s">
        <v>383</v>
      </c>
      <c r="Z262" s="258">
        <v>8</v>
      </c>
      <c r="AA262" s="256">
        <v>0.285</v>
      </c>
      <c r="AB262" s="255">
        <v>8</v>
      </c>
      <c r="AC262" s="256">
        <v>0.435</v>
      </c>
      <c r="AD262" s="261">
        <v>0.829</v>
      </c>
    </row>
    <row r="263" spans="1:30" ht="12.75">
      <c r="A263" s="67"/>
      <c r="B263" s="52"/>
      <c r="C263" s="52"/>
      <c r="D263" s="52"/>
      <c r="E263" s="52"/>
      <c r="F263" s="67"/>
      <c r="G263" s="52"/>
      <c r="H263" s="52"/>
      <c r="I263" s="52"/>
      <c r="Y263" s="253" t="s">
        <v>384</v>
      </c>
      <c r="Z263" s="258">
        <v>8.06</v>
      </c>
      <c r="AA263" s="256">
        <v>0.285</v>
      </c>
      <c r="AB263" s="255">
        <v>6.54</v>
      </c>
      <c r="AC263" s="256">
        <v>0.465</v>
      </c>
      <c r="AD263" s="261">
        <v>0.859</v>
      </c>
    </row>
    <row r="264" spans="1:30" ht="12.75">
      <c r="A264" s="52"/>
      <c r="B264" s="84"/>
      <c r="C264" s="52"/>
      <c r="D264" s="52"/>
      <c r="E264" s="52"/>
      <c r="F264" s="52"/>
      <c r="G264" s="52"/>
      <c r="H264" s="52"/>
      <c r="I264" s="52"/>
      <c r="Y264" s="253" t="s">
        <v>385</v>
      </c>
      <c r="Z264" s="258">
        <v>7.93</v>
      </c>
      <c r="AA264" s="256">
        <v>0.245</v>
      </c>
      <c r="AB264" s="255">
        <v>6.5</v>
      </c>
      <c r="AC264" s="256">
        <v>0.4</v>
      </c>
      <c r="AD264" s="261">
        <v>0.794</v>
      </c>
    </row>
    <row r="265" spans="1:30" ht="12.75">
      <c r="A265" s="52"/>
      <c r="B265" s="83"/>
      <c r="C265" s="52"/>
      <c r="D265" s="52"/>
      <c r="E265" s="52"/>
      <c r="F265" s="52"/>
      <c r="G265" s="52"/>
      <c r="H265" s="52"/>
      <c r="I265" s="52"/>
      <c r="Y265" s="253" t="s">
        <v>386</v>
      </c>
      <c r="Z265" s="258">
        <v>8.28</v>
      </c>
      <c r="AA265" s="256">
        <v>0.25</v>
      </c>
      <c r="AB265" s="255">
        <v>5.27</v>
      </c>
      <c r="AC265" s="256">
        <v>0.4</v>
      </c>
      <c r="AD265" s="261">
        <v>0.7</v>
      </c>
    </row>
    <row r="266" spans="1:30" ht="12.75">
      <c r="A266" s="52"/>
      <c r="B266" s="84"/>
      <c r="C266" s="52"/>
      <c r="D266" s="52"/>
      <c r="E266" s="52"/>
      <c r="F266" s="52"/>
      <c r="G266" s="52"/>
      <c r="H266" s="52"/>
      <c r="I266" s="52"/>
      <c r="Y266" s="253" t="s">
        <v>387</v>
      </c>
      <c r="Z266" s="258">
        <v>8.14</v>
      </c>
      <c r="AA266" s="256">
        <v>0.23</v>
      </c>
      <c r="AB266" s="255">
        <v>5.25</v>
      </c>
      <c r="AC266" s="256">
        <v>0.33</v>
      </c>
      <c r="AD266" s="261">
        <v>0.63</v>
      </c>
    </row>
    <row r="267" spans="1:30" ht="12.75">
      <c r="A267" s="112"/>
      <c r="B267" s="84"/>
      <c r="C267" s="52"/>
      <c r="D267" s="112"/>
      <c r="E267" s="52"/>
      <c r="F267" s="52"/>
      <c r="G267" s="52"/>
      <c r="H267" s="67"/>
      <c r="I267" s="52"/>
      <c r="Y267" s="253" t="s">
        <v>388</v>
      </c>
      <c r="Z267" s="258">
        <v>8.11</v>
      </c>
      <c r="AA267" s="256">
        <v>0.245</v>
      </c>
      <c r="AB267" s="255">
        <v>4.01</v>
      </c>
      <c r="AC267" s="256">
        <v>0.315</v>
      </c>
      <c r="AD267" s="261">
        <v>0.615</v>
      </c>
    </row>
    <row r="268" spans="1:30" ht="12.75">
      <c r="A268" s="112"/>
      <c r="B268" s="84"/>
      <c r="C268" s="52"/>
      <c r="D268" s="112"/>
      <c r="E268" s="52"/>
      <c r="F268" s="52"/>
      <c r="G268" s="52"/>
      <c r="H268" s="52"/>
      <c r="I268" s="52"/>
      <c r="Y268" s="253" t="s">
        <v>389</v>
      </c>
      <c r="Z268" s="258">
        <v>7.99</v>
      </c>
      <c r="AA268" s="256">
        <v>0.23</v>
      </c>
      <c r="AB268" s="255">
        <v>4</v>
      </c>
      <c r="AC268" s="256">
        <v>0.255</v>
      </c>
      <c r="AD268" s="261">
        <v>0.555</v>
      </c>
    </row>
    <row r="269" spans="1:30" ht="12.75">
      <c r="A269" s="52"/>
      <c r="B269" s="52"/>
      <c r="C269" s="52"/>
      <c r="D269" s="52"/>
      <c r="E269" s="52"/>
      <c r="F269" s="52"/>
      <c r="G269" s="67"/>
      <c r="H269" s="52"/>
      <c r="I269" s="52"/>
      <c r="Y269" s="253" t="s">
        <v>390</v>
      </c>
      <c r="Z269" s="258">
        <v>7.89</v>
      </c>
      <c r="AA269" s="256">
        <v>0.17</v>
      </c>
      <c r="AB269" s="255">
        <v>3.94</v>
      </c>
      <c r="AC269" s="256">
        <v>0.205</v>
      </c>
      <c r="AD269" s="261">
        <v>0.505</v>
      </c>
    </row>
    <row r="270" spans="1:30" ht="12.75">
      <c r="A270" s="67"/>
      <c r="B270" s="67"/>
      <c r="C270" s="67"/>
      <c r="D270" s="67"/>
      <c r="E270" s="67"/>
      <c r="F270" s="67"/>
      <c r="G270" s="52"/>
      <c r="H270" s="52"/>
      <c r="I270" s="52"/>
      <c r="Y270" s="253" t="s">
        <v>391</v>
      </c>
      <c r="Z270" s="255">
        <v>6.38</v>
      </c>
      <c r="AA270" s="256">
        <v>0.32</v>
      </c>
      <c r="AB270" s="255">
        <v>6.08</v>
      </c>
      <c r="AC270" s="256">
        <v>0.455</v>
      </c>
      <c r="AD270" s="261">
        <v>0.705</v>
      </c>
    </row>
    <row r="271" spans="1:30" ht="12.75">
      <c r="A271" s="67"/>
      <c r="B271" s="83"/>
      <c r="C271" s="67"/>
      <c r="D271" s="67"/>
      <c r="E271" s="67"/>
      <c r="F271" s="52"/>
      <c r="G271" s="52"/>
      <c r="H271" s="52"/>
      <c r="I271" s="52"/>
      <c r="Y271" s="253" t="s">
        <v>392</v>
      </c>
      <c r="Z271" s="255">
        <v>6.2</v>
      </c>
      <c r="AA271" s="256">
        <v>0.26</v>
      </c>
      <c r="AB271" s="255">
        <v>6.02</v>
      </c>
      <c r="AC271" s="256">
        <v>0.365</v>
      </c>
      <c r="AD271" s="261">
        <v>0.615</v>
      </c>
    </row>
    <row r="272" spans="1:30" ht="12.75">
      <c r="A272" s="67"/>
      <c r="B272" s="83"/>
      <c r="C272" s="67"/>
      <c r="D272" s="67"/>
      <c r="E272" s="67"/>
      <c r="F272" s="52"/>
      <c r="G272" s="52"/>
      <c r="H272" s="67"/>
      <c r="I272" s="52"/>
      <c r="Y272" s="253" t="s">
        <v>393</v>
      </c>
      <c r="Z272" s="255">
        <v>5.99</v>
      </c>
      <c r="AA272" s="256">
        <v>0.23</v>
      </c>
      <c r="AB272" s="255">
        <v>5.99</v>
      </c>
      <c r="AC272" s="256">
        <v>0.26</v>
      </c>
      <c r="AD272" s="261">
        <v>0.51</v>
      </c>
    </row>
    <row r="273" spans="1:30" ht="12.75">
      <c r="A273" s="52"/>
      <c r="B273" s="52"/>
      <c r="C273" s="52"/>
      <c r="D273" s="52"/>
      <c r="E273" s="52"/>
      <c r="F273" s="52"/>
      <c r="G273" s="52"/>
      <c r="H273" s="52"/>
      <c r="I273" s="52"/>
      <c r="Y273" s="253" t="s">
        <v>394</v>
      </c>
      <c r="Z273" s="255">
        <v>6.28</v>
      </c>
      <c r="AA273" s="256">
        <v>0.26</v>
      </c>
      <c r="AB273" s="255">
        <v>4.03</v>
      </c>
      <c r="AC273" s="256">
        <v>0.405</v>
      </c>
      <c r="AD273" s="261">
        <v>0.655</v>
      </c>
    </row>
    <row r="274" spans="1:30" ht="12.75">
      <c r="A274" s="67"/>
      <c r="B274" s="67"/>
      <c r="C274" s="67"/>
      <c r="D274" s="67"/>
      <c r="E274" s="67"/>
      <c r="F274" s="52"/>
      <c r="G274" s="52"/>
      <c r="H274" s="52"/>
      <c r="I274" s="52"/>
      <c r="Y274" s="253" t="s">
        <v>395</v>
      </c>
      <c r="Z274" s="255">
        <v>6.03</v>
      </c>
      <c r="AA274" s="256">
        <v>0.23</v>
      </c>
      <c r="AB274" s="255">
        <v>4</v>
      </c>
      <c r="AC274" s="256">
        <v>0.28</v>
      </c>
      <c r="AD274" s="261">
        <v>0.53</v>
      </c>
    </row>
    <row r="275" spans="1:30" ht="12.75">
      <c r="A275" s="67"/>
      <c r="B275" s="117"/>
      <c r="C275" s="67"/>
      <c r="D275" s="67"/>
      <c r="E275" s="67"/>
      <c r="F275" s="52"/>
      <c r="G275" s="52"/>
      <c r="H275" s="52"/>
      <c r="I275" s="52"/>
      <c r="Y275" s="253" t="s">
        <v>396</v>
      </c>
      <c r="Z275" s="255">
        <v>5.9</v>
      </c>
      <c r="AA275" s="256">
        <v>0.17</v>
      </c>
      <c r="AB275" s="255">
        <v>3.94</v>
      </c>
      <c r="AC275" s="256">
        <v>0.215</v>
      </c>
      <c r="AD275" s="261">
        <v>0.465</v>
      </c>
    </row>
    <row r="276" spans="1:30" ht="12.75">
      <c r="A276" s="67"/>
      <c r="B276" s="83"/>
      <c r="C276" s="67"/>
      <c r="D276" s="67"/>
      <c r="E276" s="67"/>
      <c r="F276" s="52"/>
      <c r="G276" s="52"/>
      <c r="H276" s="52"/>
      <c r="I276" s="52"/>
      <c r="Y276" s="253" t="s">
        <v>397</v>
      </c>
      <c r="Z276" s="255">
        <v>5.83</v>
      </c>
      <c r="AA276" s="256">
        <v>0.17</v>
      </c>
      <c r="AB276" s="255">
        <v>3.94</v>
      </c>
      <c r="AC276" s="256">
        <v>0.195</v>
      </c>
      <c r="AD276" s="261">
        <v>0.445</v>
      </c>
    </row>
    <row r="277" spans="1:30" ht="12.75">
      <c r="A277" s="67"/>
      <c r="B277" s="83"/>
      <c r="C277" s="67"/>
      <c r="D277" s="67"/>
      <c r="E277" s="67"/>
      <c r="F277" s="52"/>
      <c r="G277" s="52"/>
      <c r="H277" s="52"/>
      <c r="I277" s="52"/>
      <c r="Y277" s="253" t="s">
        <v>398</v>
      </c>
      <c r="Z277" s="258">
        <v>5.15</v>
      </c>
      <c r="AA277" s="256">
        <v>0.27</v>
      </c>
      <c r="AB277" s="255">
        <v>5.03</v>
      </c>
      <c r="AC277" s="256">
        <v>0.43</v>
      </c>
      <c r="AD277" s="261">
        <v>0.73</v>
      </c>
    </row>
    <row r="278" spans="1:30" ht="12.75">
      <c r="A278" s="67"/>
      <c r="B278" s="83"/>
      <c r="C278" s="67"/>
      <c r="D278" s="67"/>
      <c r="E278" s="67"/>
      <c r="F278" s="52"/>
      <c r="G278" s="52"/>
      <c r="H278" s="67"/>
      <c r="I278" s="52"/>
      <c r="Y278" s="253" t="s">
        <v>399</v>
      </c>
      <c r="Z278" s="258">
        <v>5.01</v>
      </c>
      <c r="AA278" s="256">
        <v>0.24</v>
      </c>
      <c r="AB278" s="255">
        <v>5</v>
      </c>
      <c r="AC278" s="256">
        <v>0.36</v>
      </c>
      <c r="AD278" s="261">
        <v>0.66</v>
      </c>
    </row>
    <row r="279" spans="1:30" ht="12.75">
      <c r="A279" s="52"/>
      <c r="B279" s="52"/>
      <c r="C279" s="52"/>
      <c r="D279" s="52"/>
      <c r="E279" s="52"/>
      <c r="F279" s="52"/>
      <c r="G279" s="52"/>
      <c r="H279" s="52"/>
      <c r="I279" s="52"/>
      <c r="Y279" s="253" t="s">
        <v>400</v>
      </c>
      <c r="Z279" s="255">
        <v>4.16</v>
      </c>
      <c r="AA279" s="256">
        <v>0.28</v>
      </c>
      <c r="AB279" s="255">
        <v>4.06</v>
      </c>
      <c r="AC279" s="256">
        <v>0.345</v>
      </c>
      <c r="AD279" s="261">
        <v>0.595</v>
      </c>
    </row>
    <row r="280" spans="1:30" ht="12.75">
      <c r="A280" s="52"/>
      <c r="B280" s="52"/>
      <c r="C280" s="52"/>
      <c r="D280" s="52"/>
      <c r="E280" s="52"/>
      <c r="F280" s="52"/>
      <c r="G280" s="52"/>
      <c r="H280" s="52"/>
      <c r="I280" s="52"/>
      <c r="Y280" s="252" t="s">
        <v>401</v>
      </c>
      <c r="Z280" s="271">
        <v>12.5</v>
      </c>
      <c r="AA280" s="272">
        <v>0.155</v>
      </c>
      <c r="AB280" s="274">
        <v>3.75</v>
      </c>
      <c r="AC280" s="272">
        <v>0.228</v>
      </c>
      <c r="AD280" s="275">
        <v>0.563</v>
      </c>
    </row>
    <row r="281" spans="1:30" ht="12.75">
      <c r="A281" s="120"/>
      <c r="B281" s="67"/>
      <c r="C281" s="67"/>
      <c r="D281" s="67"/>
      <c r="E281" s="67"/>
      <c r="F281" s="67"/>
      <c r="G281" s="67"/>
      <c r="H281" s="67"/>
      <c r="I281" s="52"/>
      <c r="Y281" s="253" t="s">
        <v>402</v>
      </c>
      <c r="Z281" s="254">
        <v>12.5</v>
      </c>
      <c r="AA281" s="256">
        <v>0.155</v>
      </c>
      <c r="AB281" s="255">
        <v>3.5</v>
      </c>
      <c r="AC281" s="256">
        <v>0.211</v>
      </c>
      <c r="AD281" s="262">
        <v>0.563</v>
      </c>
    </row>
    <row r="282" spans="1:30" ht="12.75">
      <c r="A282" s="52"/>
      <c r="B282" s="67"/>
      <c r="C282" s="67"/>
      <c r="D282" s="67"/>
      <c r="E282" s="67"/>
      <c r="F282" s="67"/>
      <c r="G282" s="67"/>
      <c r="H282" s="67"/>
      <c r="I282" s="52"/>
      <c r="Y282" s="253" t="s">
        <v>403</v>
      </c>
      <c r="Z282" s="257">
        <v>12</v>
      </c>
      <c r="AA282" s="256">
        <v>0.177</v>
      </c>
      <c r="AB282" s="255">
        <v>3.07</v>
      </c>
      <c r="AC282" s="256">
        <v>0.225</v>
      </c>
      <c r="AD282" s="262">
        <v>0.563</v>
      </c>
    </row>
    <row r="283" spans="1:30" ht="12.75">
      <c r="A283" s="52"/>
      <c r="B283" s="67"/>
      <c r="C283" s="67"/>
      <c r="D283" s="67"/>
      <c r="E283" s="67"/>
      <c r="F283" s="67"/>
      <c r="G283" s="67"/>
      <c r="H283" s="67"/>
      <c r="I283" s="52"/>
      <c r="Y283" s="253" t="s">
        <v>404</v>
      </c>
      <c r="Z283" s="257">
        <v>12</v>
      </c>
      <c r="AA283" s="256">
        <v>0.16</v>
      </c>
      <c r="AB283" s="255">
        <v>3.07</v>
      </c>
      <c r="AC283" s="256">
        <v>0.21</v>
      </c>
      <c r="AD283" s="262">
        <v>0.563</v>
      </c>
    </row>
    <row r="284" spans="1:30" ht="12.75">
      <c r="A284" s="52"/>
      <c r="B284" s="67"/>
      <c r="C284" s="67"/>
      <c r="D284" s="67"/>
      <c r="E284" s="67"/>
      <c r="F284" s="67"/>
      <c r="G284" s="67"/>
      <c r="H284" s="67"/>
      <c r="I284" s="52"/>
      <c r="Y284" s="253" t="s">
        <v>405</v>
      </c>
      <c r="Z284" s="257">
        <v>12</v>
      </c>
      <c r="AA284" s="256">
        <v>0.149</v>
      </c>
      <c r="AB284" s="255">
        <v>3.25</v>
      </c>
      <c r="AC284" s="256">
        <v>0.18</v>
      </c>
      <c r="AD284" s="262">
        <v>0.5</v>
      </c>
    </row>
    <row r="285" spans="1:30" ht="12.75">
      <c r="A285" s="52"/>
      <c r="B285" s="67"/>
      <c r="C285" s="67"/>
      <c r="D285" s="67"/>
      <c r="E285" s="67"/>
      <c r="F285" s="67"/>
      <c r="G285" s="67"/>
      <c r="H285" s="67"/>
      <c r="I285" s="52"/>
      <c r="Y285" s="253" t="s">
        <v>406</v>
      </c>
      <c r="Z285" s="257">
        <v>10</v>
      </c>
      <c r="AA285" s="256">
        <v>0.157</v>
      </c>
      <c r="AB285" s="255">
        <v>2.69</v>
      </c>
      <c r="AC285" s="256">
        <v>0.206</v>
      </c>
      <c r="AD285" s="262">
        <v>0.563</v>
      </c>
    </row>
    <row r="286" spans="1:30" ht="12.75">
      <c r="A286" s="52"/>
      <c r="B286" s="67"/>
      <c r="C286" s="67"/>
      <c r="D286" s="67"/>
      <c r="E286" s="67"/>
      <c r="F286" s="67"/>
      <c r="G286" s="67"/>
      <c r="H286" s="67"/>
      <c r="I286" s="52"/>
      <c r="Y286" s="253" t="s">
        <v>407</v>
      </c>
      <c r="Z286" s="257">
        <v>10</v>
      </c>
      <c r="AA286" s="256">
        <v>0.141</v>
      </c>
      <c r="AB286" s="255">
        <v>2.69</v>
      </c>
      <c r="AC286" s="256">
        <v>0.182</v>
      </c>
      <c r="AD286" s="262">
        <v>0.563</v>
      </c>
    </row>
    <row r="287" spans="1:30" ht="12.75">
      <c r="A287" s="52"/>
      <c r="B287" s="67"/>
      <c r="C287" s="67"/>
      <c r="D287" s="67"/>
      <c r="E287" s="67"/>
      <c r="F287" s="67"/>
      <c r="G287" s="67"/>
      <c r="H287" s="67"/>
      <c r="I287" s="52"/>
      <c r="Y287" s="253" t="s">
        <v>408</v>
      </c>
      <c r="Z287" s="257">
        <v>10</v>
      </c>
      <c r="AA287" s="256">
        <v>0.13</v>
      </c>
      <c r="AB287" s="255">
        <v>2.69</v>
      </c>
      <c r="AC287" s="256">
        <v>0.173</v>
      </c>
      <c r="AD287" s="262">
        <v>0.438</v>
      </c>
    </row>
    <row r="288" spans="1:30" ht="12.75">
      <c r="A288" s="52"/>
      <c r="B288" s="67"/>
      <c r="C288" s="67"/>
      <c r="D288" s="67"/>
      <c r="E288" s="67"/>
      <c r="F288" s="67"/>
      <c r="G288" s="67"/>
      <c r="H288" s="67"/>
      <c r="I288" s="52"/>
      <c r="Y288" s="253" t="s">
        <v>409</v>
      </c>
      <c r="Z288" s="258">
        <v>8</v>
      </c>
      <c r="AA288" s="256">
        <v>0.135</v>
      </c>
      <c r="AB288" s="255">
        <v>2.28</v>
      </c>
      <c r="AC288" s="256">
        <v>0.189</v>
      </c>
      <c r="AD288" s="262">
        <v>0.563</v>
      </c>
    </row>
    <row r="289" spans="1:30" ht="12.75">
      <c r="A289" s="52"/>
      <c r="B289" s="67"/>
      <c r="C289" s="67"/>
      <c r="D289" s="67"/>
      <c r="E289" s="67"/>
      <c r="F289" s="67"/>
      <c r="G289" s="67"/>
      <c r="H289" s="67"/>
      <c r="I289" s="52"/>
      <c r="Y289" s="253" t="s">
        <v>410</v>
      </c>
      <c r="Z289" s="258">
        <v>8</v>
      </c>
      <c r="AA289" s="256">
        <v>0.129</v>
      </c>
      <c r="AB289" s="255">
        <v>2.28</v>
      </c>
      <c r="AC289" s="256">
        <v>0.177</v>
      </c>
      <c r="AD289" s="262">
        <v>0.438</v>
      </c>
    </row>
    <row r="290" spans="1:30" ht="12.75">
      <c r="A290" s="52"/>
      <c r="B290" s="67"/>
      <c r="C290" s="67"/>
      <c r="D290" s="67"/>
      <c r="E290" s="67"/>
      <c r="F290" s="67"/>
      <c r="G290" s="67"/>
      <c r="H290" s="67"/>
      <c r="I290" s="52"/>
      <c r="Y290" s="253" t="s">
        <v>411</v>
      </c>
      <c r="Z290" s="258">
        <v>6</v>
      </c>
      <c r="AA290" s="256">
        <v>0.114</v>
      </c>
      <c r="AB290" s="255">
        <v>1.84</v>
      </c>
      <c r="AC290" s="256">
        <v>0.171</v>
      </c>
      <c r="AD290" s="262">
        <v>0.375</v>
      </c>
    </row>
    <row r="291" spans="1:30" ht="12.75">
      <c r="A291" s="52"/>
      <c r="B291" s="67"/>
      <c r="C291" s="67"/>
      <c r="D291" s="67"/>
      <c r="E291" s="67"/>
      <c r="F291" s="67"/>
      <c r="G291" s="67"/>
      <c r="H291" s="67"/>
      <c r="I291" s="52"/>
      <c r="Y291" s="253" t="s">
        <v>412</v>
      </c>
      <c r="Z291" s="258">
        <v>5.92</v>
      </c>
      <c r="AA291" s="259">
        <v>0.098</v>
      </c>
      <c r="AB291" s="255">
        <v>2</v>
      </c>
      <c r="AC291" s="256">
        <v>0.129</v>
      </c>
      <c r="AD291" s="262">
        <v>0.313</v>
      </c>
    </row>
    <row r="292" spans="1:30" ht="12.75">
      <c r="A292" s="52"/>
      <c r="B292" s="67"/>
      <c r="C292" s="67"/>
      <c r="D292" s="67"/>
      <c r="E292" s="67"/>
      <c r="F292" s="67"/>
      <c r="G292" s="67"/>
      <c r="H292" s="67"/>
      <c r="I292" s="52"/>
      <c r="Y292" s="253" t="s">
        <v>413</v>
      </c>
      <c r="Z292" s="258">
        <v>5</v>
      </c>
      <c r="AA292" s="256">
        <v>0.316</v>
      </c>
      <c r="AB292" s="255">
        <v>5</v>
      </c>
      <c r="AC292" s="256">
        <v>0.416</v>
      </c>
      <c r="AD292" s="262">
        <v>0.813</v>
      </c>
    </row>
    <row r="293" spans="1:30" ht="12.75">
      <c r="A293" s="52"/>
      <c r="B293" s="67"/>
      <c r="C293" s="67"/>
      <c r="D293" s="67"/>
      <c r="E293" s="67"/>
      <c r="F293" s="67"/>
      <c r="G293" s="67"/>
      <c r="H293" s="67"/>
      <c r="I293" s="52"/>
      <c r="Y293" s="253" t="s">
        <v>414</v>
      </c>
      <c r="Z293" s="258">
        <v>3.8</v>
      </c>
      <c r="AA293" s="256">
        <v>0.13</v>
      </c>
      <c r="AB293" s="255">
        <v>3.8</v>
      </c>
      <c r="AC293" s="256">
        <v>0.16</v>
      </c>
      <c r="AD293" s="262">
        <v>0.5</v>
      </c>
    </row>
    <row r="294" spans="1:30" ht="12.75">
      <c r="A294" s="52"/>
      <c r="B294" s="67"/>
      <c r="C294" s="67"/>
      <c r="D294" s="67"/>
      <c r="E294" s="67"/>
      <c r="F294" s="67"/>
      <c r="G294" s="67"/>
      <c r="H294" s="67"/>
      <c r="I294" s="52"/>
      <c r="Y294" s="253" t="s">
        <v>415</v>
      </c>
      <c r="Z294" s="255">
        <v>4</v>
      </c>
      <c r="AA294" s="256">
        <v>0.115</v>
      </c>
      <c r="AB294" s="255">
        <v>2.25</v>
      </c>
      <c r="AC294" s="256">
        <v>0.17</v>
      </c>
      <c r="AD294" s="262">
        <v>0.563</v>
      </c>
    </row>
    <row r="295" spans="1:30" ht="12.75">
      <c r="A295" s="52"/>
      <c r="B295" s="67"/>
      <c r="C295" s="67"/>
      <c r="D295" s="67"/>
      <c r="E295" s="67"/>
      <c r="F295" s="67"/>
      <c r="G295" s="67"/>
      <c r="H295" s="67"/>
      <c r="I295" s="52"/>
      <c r="Y295" s="253" t="s">
        <v>416</v>
      </c>
      <c r="Z295" s="255">
        <v>4</v>
      </c>
      <c r="AA295" s="259">
        <v>0.092</v>
      </c>
      <c r="AB295" s="255">
        <v>2.25</v>
      </c>
      <c r="AC295" s="256">
        <v>0.13</v>
      </c>
      <c r="AD295" s="262">
        <v>0.5</v>
      </c>
    </row>
    <row r="296" spans="1:30" ht="12.75">
      <c r="A296" s="52"/>
      <c r="B296" s="67"/>
      <c r="C296" s="67"/>
      <c r="D296" s="67"/>
      <c r="E296" s="67"/>
      <c r="F296" s="67"/>
      <c r="G296" s="67"/>
      <c r="H296" s="67"/>
      <c r="I296" s="52"/>
      <c r="Y296" s="253" t="s">
        <v>417</v>
      </c>
      <c r="Z296" s="255">
        <v>4</v>
      </c>
      <c r="AA296" s="259">
        <v>0.092</v>
      </c>
      <c r="AB296" s="255">
        <v>2.25</v>
      </c>
      <c r="AC296" s="256">
        <v>0.13</v>
      </c>
      <c r="AD296" s="262">
        <v>0.5</v>
      </c>
    </row>
    <row r="297" spans="1:30" ht="12.75">
      <c r="A297" s="52"/>
      <c r="B297" s="67"/>
      <c r="C297" s="67"/>
      <c r="D297" s="67"/>
      <c r="E297" s="67"/>
      <c r="F297" s="67"/>
      <c r="G297" s="67"/>
      <c r="H297" s="67"/>
      <c r="I297" s="52"/>
      <c r="Y297" s="253" t="s">
        <v>418</v>
      </c>
      <c r="Z297" s="255">
        <v>3</v>
      </c>
      <c r="AA297" s="259">
        <v>0.09</v>
      </c>
      <c r="AB297" s="255">
        <v>2.25</v>
      </c>
      <c r="AC297" s="256">
        <v>0.13</v>
      </c>
      <c r="AD297" s="262">
        <v>0.5</v>
      </c>
    </row>
    <row r="298" spans="1:30" ht="12.75">
      <c r="A298" s="52"/>
      <c r="B298" s="67"/>
      <c r="C298" s="67"/>
      <c r="D298" s="67"/>
      <c r="E298" s="67"/>
      <c r="F298" s="67"/>
      <c r="G298" s="67"/>
      <c r="H298" s="67"/>
      <c r="I298" s="52"/>
      <c r="Y298" s="252" t="s">
        <v>419</v>
      </c>
      <c r="Z298" s="271">
        <v>24.5</v>
      </c>
      <c r="AA298" s="272">
        <v>0.8</v>
      </c>
      <c r="AB298" s="274">
        <v>8.05</v>
      </c>
      <c r="AC298" s="274">
        <v>1.09</v>
      </c>
      <c r="AD298" s="273">
        <v>2</v>
      </c>
    </row>
    <row r="299" spans="1:30" ht="12.75">
      <c r="A299" s="121"/>
      <c r="B299" s="52"/>
      <c r="C299" s="52"/>
      <c r="D299" s="52"/>
      <c r="E299" s="52"/>
      <c r="F299" s="52"/>
      <c r="G299" s="52"/>
      <c r="H299" s="52"/>
      <c r="I299" s="67"/>
      <c r="Y299" s="253" t="s">
        <v>420</v>
      </c>
      <c r="Z299" s="257">
        <v>24.5</v>
      </c>
      <c r="AA299" s="256">
        <v>0.62</v>
      </c>
      <c r="AB299" s="255">
        <v>7.87</v>
      </c>
      <c r="AC299" s="255">
        <v>1.09</v>
      </c>
      <c r="AD299" s="263">
        <v>2</v>
      </c>
    </row>
    <row r="300" spans="1:30" ht="12.75">
      <c r="A300" s="52"/>
      <c r="B300" s="52"/>
      <c r="C300" s="52"/>
      <c r="D300" s="52"/>
      <c r="E300" s="52"/>
      <c r="F300" s="52"/>
      <c r="G300" s="52"/>
      <c r="H300" s="52"/>
      <c r="I300" s="52"/>
      <c r="Y300" s="253" t="s">
        <v>421</v>
      </c>
      <c r="Z300" s="257">
        <v>24</v>
      </c>
      <c r="AA300" s="256">
        <v>0.745</v>
      </c>
      <c r="AB300" s="255">
        <v>7.25</v>
      </c>
      <c r="AC300" s="256">
        <v>0.87</v>
      </c>
      <c r="AD300" s="263">
        <v>1.75</v>
      </c>
    </row>
    <row r="301" spans="25:30" ht="12.75">
      <c r="Y301" s="253" t="s">
        <v>422</v>
      </c>
      <c r="Z301" s="257">
        <v>24</v>
      </c>
      <c r="AA301" s="256">
        <v>0.625</v>
      </c>
      <c r="AB301" s="255">
        <v>7.13</v>
      </c>
      <c r="AC301" s="256">
        <v>0.87</v>
      </c>
      <c r="AD301" s="263">
        <v>1.75</v>
      </c>
    </row>
    <row r="302" spans="25:30" ht="12.75">
      <c r="Y302" s="253" t="s">
        <v>423</v>
      </c>
      <c r="Z302" s="257">
        <v>24</v>
      </c>
      <c r="AA302" s="256">
        <v>0.5</v>
      </c>
      <c r="AB302" s="255">
        <v>7</v>
      </c>
      <c r="AC302" s="256">
        <v>0.87</v>
      </c>
      <c r="AD302" s="263">
        <v>1.75</v>
      </c>
    </row>
    <row r="303" spans="25:30" ht="12.75">
      <c r="Y303" s="253" t="s">
        <v>424</v>
      </c>
      <c r="Z303" s="257">
        <v>20.3</v>
      </c>
      <c r="AA303" s="256">
        <v>0.8</v>
      </c>
      <c r="AB303" s="255">
        <v>7.2</v>
      </c>
      <c r="AC303" s="256">
        <v>0.92</v>
      </c>
      <c r="AD303" s="263">
        <v>1.75</v>
      </c>
    </row>
    <row r="304" spans="25:30" ht="12.75">
      <c r="Y304" s="253" t="s">
        <v>425</v>
      </c>
      <c r="Z304" s="257">
        <v>20.3</v>
      </c>
      <c r="AA304" s="256">
        <v>0.66</v>
      </c>
      <c r="AB304" s="255">
        <v>7.06</v>
      </c>
      <c r="AC304" s="256">
        <v>0.92</v>
      </c>
      <c r="AD304" s="263">
        <v>1.75</v>
      </c>
    </row>
    <row r="305" spans="25:30" ht="12.75">
      <c r="Y305" s="253" t="s">
        <v>426</v>
      </c>
      <c r="Z305" s="257">
        <v>20</v>
      </c>
      <c r="AA305" s="256">
        <v>0.635</v>
      </c>
      <c r="AB305" s="255">
        <v>6.39</v>
      </c>
      <c r="AC305" s="256">
        <v>0.795</v>
      </c>
      <c r="AD305" s="263">
        <v>1.63</v>
      </c>
    </row>
    <row r="306" spans="25:30" ht="12.75">
      <c r="Y306" s="253" t="s">
        <v>427</v>
      </c>
      <c r="Z306" s="257">
        <v>20</v>
      </c>
      <c r="AA306" s="256">
        <v>0.505</v>
      </c>
      <c r="AB306" s="255">
        <v>6.26</v>
      </c>
      <c r="AC306" s="256">
        <v>0.795</v>
      </c>
      <c r="AD306" s="263">
        <v>1.63</v>
      </c>
    </row>
    <row r="307" spans="25:30" ht="12.75">
      <c r="Y307" s="253" t="s">
        <v>428</v>
      </c>
      <c r="Z307" s="257">
        <v>18</v>
      </c>
      <c r="AA307" s="256">
        <v>0.711</v>
      </c>
      <c r="AB307" s="255">
        <v>6.25</v>
      </c>
      <c r="AC307" s="256">
        <v>0.691</v>
      </c>
      <c r="AD307" s="263">
        <v>1.5</v>
      </c>
    </row>
    <row r="308" spans="25:30" ht="12.75">
      <c r="Y308" s="253" t="s">
        <v>429</v>
      </c>
      <c r="Z308" s="257">
        <v>18</v>
      </c>
      <c r="AA308" s="256">
        <v>0.461</v>
      </c>
      <c r="AB308" s="255">
        <v>6</v>
      </c>
      <c r="AC308" s="256">
        <v>0.691</v>
      </c>
      <c r="AD308" s="263">
        <v>1.5</v>
      </c>
    </row>
    <row r="309" spans="25:30" ht="12.75">
      <c r="Y309" s="253" t="s">
        <v>430</v>
      </c>
      <c r="Z309" s="257">
        <v>15</v>
      </c>
      <c r="AA309" s="256">
        <v>0.55</v>
      </c>
      <c r="AB309" s="255">
        <v>5.64</v>
      </c>
      <c r="AC309" s="256">
        <v>0.622</v>
      </c>
      <c r="AD309" s="263">
        <v>1.38</v>
      </c>
    </row>
    <row r="310" spans="25:30" ht="12.75">
      <c r="Y310" s="253" t="s">
        <v>431</v>
      </c>
      <c r="Z310" s="257">
        <v>15</v>
      </c>
      <c r="AA310" s="256">
        <v>0.411</v>
      </c>
      <c r="AB310" s="255">
        <v>5.5</v>
      </c>
      <c r="AC310" s="256">
        <v>0.622</v>
      </c>
      <c r="AD310" s="263">
        <v>1.38</v>
      </c>
    </row>
    <row r="311" spans="25:30" ht="12.75">
      <c r="Y311" s="253" t="s">
        <v>432</v>
      </c>
      <c r="Z311" s="257">
        <v>12</v>
      </c>
      <c r="AA311" s="256">
        <v>0.687</v>
      </c>
      <c r="AB311" s="255">
        <v>5.48</v>
      </c>
      <c r="AC311" s="256">
        <v>0.659</v>
      </c>
      <c r="AD311" s="263">
        <v>1.44</v>
      </c>
    </row>
    <row r="312" spans="25:30" ht="12.75">
      <c r="Y312" s="253" t="s">
        <v>433</v>
      </c>
      <c r="Z312" s="257">
        <v>12</v>
      </c>
      <c r="AA312" s="256">
        <v>0.462</v>
      </c>
      <c r="AB312" s="255">
        <v>5.25</v>
      </c>
      <c r="AC312" s="256">
        <v>0.659</v>
      </c>
      <c r="AD312" s="263">
        <v>1.44</v>
      </c>
    </row>
    <row r="313" spans="25:30" ht="12.75">
      <c r="Y313" s="253" t="s">
        <v>434</v>
      </c>
      <c r="Z313" s="257">
        <v>12</v>
      </c>
      <c r="AA313" s="256">
        <v>0.428</v>
      </c>
      <c r="AB313" s="255">
        <v>5.08</v>
      </c>
      <c r="AC313" s="256">
        <v>0.544</v>
      </c>
      <c r="AD313" s="263">
        <v>1.19</v>
      </c>
    </row>
    <row r="314" spans="25:30" ht="12.75">
      <c r="Y314" s="253" t="s">
        <v>435</v>
      </c>
      <c r="Z314" s="257">
        <v>12</v>
      </c>
      <c r="AA314" s="256">
        <v>0.35</v>
      </c>
      <c r="AB314" s="255">
        <v>5</v>
      </c>
      <c r="AC314" s="256">
        <v>0.544</v>
      </c>
      <c r="AD314" s="263">
        <v>1.19</v>
      </c>
    </row>
    <row r="315" spans="25:30" ht="12.75">
      <c r="Y315" s="253" t="s">
        <v>436</v>
      </c>
      <c r="Z315" s="257">
        <v>10</v>
      </c>
      <c r="AA315" s="256">
        <v>0.594</v>
      </c>
      <c r="AB315" s="255">
        <v>4.94</v>
      </c>
      <c r="AC315" s="256">
        <v>0.491</v>
      </c>
      <c r="AD315" s="263">
        <v>1.13</v>
      </c>
    </row>
    <row r="316" spans="25:30" ht="12.75">
      <c r="Y316" s="253" t="s">
        <v>437</v>
      </c>
      <c r="Z316" s="257">
        <v>10</v>
      </c>
      <c r="AA316" s="256">
        <v>0.311</v>
      </c>
      <c r="AB316" s="255">
        <v>4.66</v>
      </c>
      <c r="AC316" s="256">
        <v>0.491</v>
      </c>
      <c r="AD316" s="263">
        <v>1.13</v>
      </c>
    </row>
    <row r="317" spans="25:30" ht="12.75">
      <c r="Y317" s="253" t="s">
        <v>438</v>
      </c>
      <c r="Z317" s="258">
        <v>8</v>
      </c>
      <c r="AA317" s="256">
        <v>0.441</v>
      </c>
      <c r="AB317" s="255">
        <v>4.17</v>
      </c>
      <c r="AC317" s="256">
        <v>0.425</v>
      </c>
      <c r="AD317" s="263">
        <v>1</v>
      </c>
    </row>
    <row r="318" spans="25:30" ht="12.75">
      <c r="Y318" s="253" t="s">
        <v>439</v>
      </c>
      <c r="Z318" s="258">
        <v>8</v>
      </c>
      <c r="AA318" s="256">
        <v>0.271</v>
      </c>
      <c r="AB318" s="255">
        <v>4</v>
      </c>
      <c r="AC318" s="256">
        <v>0.425</v>
      </c>
      <c r="AD318" s="263">
        <v>1</v>
      </c>
    </row>
    <row r="319" spans="25:30" ht="12.75">
      <c r="Y319" s="253" t="s">
        <v>440</v>
      </c>
      <c r="Z319" s="258">
        <v>6</v>
      </c>
      <c r="AA319" s="256">
        <v>0.465</v>
      </c>
      <c r="AB319" s="255">
        <v>3.57</v>
      </c>
      <c r="AC319" s="256">
        <v>0.359</v>
      </c>
      <c r="AD319" s="262">
        <v>0.813</v>
      </c>
    </row>
    <row r="320" spans="25:30" ht="12.75">
      <c r="Y320" s="253" t="s">
        <v>441</v>
      </c>
      <c r="Z320" s="258">
        <v>6</v>
      </c>
      <c r="AA320" s="256">
        <v>0.232</v>
      </c>
      <c r="AB320" s="255">
        <v>3.33</v>
      </c>
      <c r="AC320" s="256">
        <v>0.359</v>
      </c>
      <c r="AD320" s="262">
        <v>0.813</v>
      </c>
    </row>
    <row r="321" spans="25:30" ht="12.75">
      <c r="Y321" s="253" t="s">
        <v>442</v>
      </c>
      <c r="Z321" s="258">
        <v>5</v>
      </c>
      <c r="AA321" s="256">
        <v>0.214</v>
      </c>
      <c r="AB321" s="255">
        <v>3</v>
      </c>
      <c r="AC321" s="256">
        <v>0.326</v>
      </c>
      <c r="AD321" s="262">
        <v>0.75</v>
      </c>
    </row>
    <row r="322" spans="25:30" ht="12.75">
      <c r="Y322" s="253" t="s">
        <v>443</v>
      </c>
      <c r="Z322" s="258">
        <v>4</v>
      </c>
      <c r="AA322" s="256">
        <v>0.326</v>
      </c>
      <c r="AB322" s="255">
        <v>2.8</v>
      </c>
      <c r="AC322" s="256">
        <v>0.293</v>
      </c>
      <c r="AD322" s="262">
        <v>0.75</v>
      </c>
    </row>
    <row r="323" spans="25:30" ht="12.75">
      <c r="Y323" s="253" t="s">
        <v>444</v>
      </c>
      <c r="Z323" s="258">
        <v>4</v>
      </c>
      <c r="AA323" s="256">
        <v>0.193</v>
      </c>
      <c r="AB323" s="255">
        <v>2.66</v>
      </c>
      <c r="AC323" s="256">
        <v>0.293</v>
      </c>
      <c r="AD323" s="262">
        <v>0.75</v>
      </c>
    </row>
    <row r="324" spans="25:30" ht="12.75">
      <c r="Y324" s="253" t="s">
        <v>445</v>
      </c>
      <c r="Z324" s="258">
        <v>3</v>
      </c>
      <c r="AA324" s="256">
        <v>0.349</v>
      </c>
      <c r="AB324" s="255">
        <v>2.51</v>
      </c>
      <c r="AC324" s="256">
        <v>0.26</v>
      </c>
      <c r="AD324" s="262">
        <v>0.625</v>
      </c>
    </row>
    <row r="325" spans="25:30" ht="12.75">
      <c r="Y325" s="253" t="s">
        <v>446</v>
      </c>
      <c r="Z325" s="258">
        <v>3</v>
      </c>
      <c r="AA325" s="256">
        <v>0.17</v>
      </c>
      <c r="AB325" s="255">
        <v>2.33</v>
      </c>
      <c r="AC325" s="256">
        <v>0.26</v>
      </c>
      <c r="AD325" s="262">
        <v>0.625</v>
      </c>
    </row>
    <row r="326" spans="25:30" ht="12.75">
      <c r="Y326" s="252" t="s">
        <v>447</v>
      </c>
      <c r="Z326" s="271">
        <v>14.2</v>
      </c>
      <c r="AA326" s="272">
        <v>0.805</v>
      </c>
      <c r="AB326" s="271">
        <v>14.9</v>
      </c>
      <c r="AC326" s="272">
        <v>0.805</v>
      </c>
      <c r="AD326" s="273">
        <v>1.5</v>
      </c>
    </row>
    <row r="327" spans="25:30" ht="12.75">
      <c r="Y327" s="253" t="s">
        <v>448</v>
      </c>
      <c r="Z327" s="257">
        <v>14</v>
      </c>
      <c r="AA327" s="256">
        <v>0.705</v>
      </c>
      <c r="AB327" s="254">
        <v>14.8</v>
      </c>
      <c r="AC327" s="256">
        <v>0.705</v>
      </c>
      <c r="AD327" s="263">
        <v>1.38</v>
      </c>
    </row>
    <row r="328" spans="25:30" ht="12.75">
      <c r="Y328" s="253" t="s">
        <v>449</v>
      </c>
      <c r="Z328" s="257">
        <v>13.8</v>
      </c>
      <c r="AA328" s="256">
        <v>0.615</v>
      </c>
      <c r="AB328" s="254">
        <v>14.7</v>
      </c>
      <c r="AC328" s="256">
        <v>0.615</v>
      </c>
      <c r="AD328" s="263">
        <v>1.31</v>
      </c>
    </row>
    <row r="329" spans="25:30" ht="12.75">
      <c r="Y329" s="253" t="s">
        <v>450</v>
      </c>
      <c r="Z329" s="257">
        <v>13.6</v>
      </c>
      <c r="AA329" s="256">
        <v>0.505</v>
      </c>
      <c r="AB329" s="254">
        <v>14.6</v>
      </c>
      <c r="AC329" s="256">
        <v>0.505</v>
      </c>
      <c r="AD329" s="263">
        <v>1.19</v>
      </c>
    </row>
    <row r="330" spans="25:30" ht="12.75">
      <c r="Y330" s="253" t="s">
        <v>451</v>
      </c>
      <c r="Z330" s="257">
        <v>12.3</v>
      </c>
      <c r="AA330" s="256">
        <v>0.685</v>
      </c>
      <c r="AB330" s="254">
        <v>12.3</v>
      </c>
      <c r="AC330" s="256">
        <v>0.685</v>
      </c>
      <c r="AD330" s="263">
        <v>1.38</v>
      </c>
    </row>
    <row r="331" spans="25:30" ht="12.75">
      <c r="Y331" s="253" t="s">
        <v>452</v>
      </c>
      <c r="Z331" s="257">
        <v>12.1</v>
      </c>
      <c r="AA331" s="256">
        <v>0.605</v>
      </c>
      <c r="AB331" s="254">
        <v>12.2</v>
      </c>
      <c r="AC331" s="256">
        <v>0.61</v>
      </c>
      <c r="AD331" s="263">
        <v>1.31</v>
      </c>
    </row>
    <row r="332" spans="25:30" ht="12.75">
      <c r="Y332" s="253" t="s">
        <v>453</v>
      </c>
      <c r="Z332" s="257">
        <v>11.9</v>
      </c>
      <c r="AA332" s="256">
        <v>0.515</v>
      </c>
      <c r="AB332" s="254">
        <v>12.1</v>
      </c>
      <c r="AC332" s="256">
        <v>0.515</v>
      </c>
      <c r="AD332" s="263">
        <v>1.25</v>
      </c>
    </row>
    <row r="333" spans="25:30" ht="12.75">
      <c r="Y333" s="253" t="s">
        <v>454</v>
      </c>
      <c r="Z333" s="257">
        <v>11.8</v>
      </c>
      <c r="AA333" s="256">
        <v>0.435</v>
      </c>
      <c r="AB333" s="254">
        <v>12</v>
      </c>
      <c r="AC333" s="256">
        <v>0.435</v>
      </c>
      <c r="AD333" s="263">
        <v>1.13</v>
      </c>
    </row>
    <row r="334" spans="25:30" ht="12.75">
      <c r="Y334" s="253" t="s">
        <v>455</v>
      </c>
      <c r="Z334" s="257">
        <v>10</v>
      </c>
      <c r="AA334" s="256">
        <v>0.565</v>
      </c>
      <c r="AB334" s="254">
        <v>10.2</v>
      </c>
      <c r="AC334" s="256">
        <v>0.565</v>
      </c>
      <c r="AD334" s="263">
        <v>1.25</v>
      </c>
    </row>
    <row r="335" spans="25:30" ht="12.75">
      <c r="Y335" s="253" t="s">
        <v>456</v>
      </c>
      <c r="Z335" s="258">
        <v>9.7</v>
      </c>
      <c r="AA335" s="256">
        <v>0.415</v>
      </c>
      <c r="AB335" s="254">
        <v>10.1</v>
      </c>
      <c r="AC335" s="256">
        <v>0.42</v>
      </c>
      <c r="AD335" s="263">
        <v>1.13</v>
      </c>
    </row>
    <row r="336" spans="25:30" ht="12.75">
      <c r="Y336" s="264" t="s">
        <v>457</v>
      </c>
      <c r="Z336" s="265">
        <v>8.02</v>
      </c>
      <c r="AA336" s="266">
        <v>0.445</v>
      </c>
      <c r="AB336" s="267">
        <v>8.16</v>
      </c>
      <c r="AC336" s="266">
        <v>0.445</v>
      </c>
      <c r="AD336" s="268">
        <v>1.13</v>
      </c>
    </row>
    <row r="337" spans="25:30" ht="12.75">
      <c r="Y337" s="269"/>
      <c r="Z337" s="269"/>
      <c r="AA337" s="269"/>
      <c r="AB337" s="269"/>
      <c r="AC337" s="269"/>
      <c r="AD337" s="269"/>
    </row>
    <row r="338" spans="25:30" ht="12.75">
      <c r="Y338" s="270"/>
      <c r="Z338" s="270"/>
      <c r="AA338" s="270"/>
      <c r="AB338" s="270"/>
      <c r="AC338" s="270"/>
      <c r="AD338" s="270"/>
    </row>
    <row r="339" spans="25:30" ht="12.75">
      <c r="Y339" s="270"/>
      <c r="Z339" s="270"/>
      <c r="AA339" s="270"/>
      <c r="AB339" s="270"/>
      <c r="AC339" s="270"/>
      <c r="AD339" s="270"/>
    </row>
    <row r="340" spans="25:30" ht="12.75">
      <c r="Y340" s="270"/>
      <c r="Z340" s="270"/>
      <c r="AA340" s="270"/>
      <c r="AB340" s="270"/>
      <c r="AC340" s="270"/>
      <c r="AD340" s="270"/>
    </row>
    <row r="341" spans="25:30" ht="12.75">
      <c r="Y341" s="270"/>
      <c r="Z341" s="270"/>
      <c r="AA341" s="270"/>
      <c r="AB341" s="270"/>
      <c r="AC341" s="270"/>
      <c r="AD341" s="270"/>
    </row>
    <row r="342" spans="25:30" ht="12.75">
      <c r="Y342" s="270"/>
      <c r="Z342" s="270"/>
      <c r="AA342" s="270"/>
      <c r="AB342" s="270"/>
      <c r="AC342" s="270"/>
      <c r="AD342" s="270"/>
    </row>
    <row r="343" spans="25:30" ht="12.75">
      <c r="Y343" s="270"/>
      <c r="Z343" s="202"/>
      <c r="AA343" s="202"/>
      <c r="AB343" s="202"/>
      <c r="AC343" s="202"/>
      <c r="AD343" s="202"/>
    </row>
    <row r="344" spans="25:30" ht="12.75">
      <c r="Y344" s="270"/>
      <c r="Z344" s="202"/>
      <c r="AA344" s="202"/>
      <c r="AB344" s="202"/>
      <c r="AC344" s="202"/>
      <c r="AD344" s="202"/>
    </row>
    <row r="345" spans="25:30" ht="12.75">
      <c r="Y345" s="270"/>
      <c r="Z345" s="270"/>
      <c r="AA345" s="270"/>
      <c r="AB345" s="270"/>
      <c r="AC345" s="270"/>
      <c r="AD345" s="270"/>
    </row>
    <row r="346" spans="25:30" ht="12.75">
      <c r="Y346" s="270"/>
      <c r="Z346" s="270"/>
      <c r="AA346" s="270"/>
      <c r="AB346" s="270"/>
      <c r="AC346" s="270"/>
      <c r="AD346" s="270"/>
    </row>
    <row r="347" spans="25:30" ht="12.75">
      <c r="Y347" s="270"/>
      <c r="Z347" s="202"/>
      <c r="AA347" s="202"/>
      <c r="AB347" s="202"/>
      <c r="AC347" s="202"/>
      <c r="AD347" s="202"/>
    </row>
    <row r="348" spans="25:30" ht="12.75">
      <c r="Y348" s="270"/>
      <c r="Z348" s="270"/>
      <c r="AA348" s="270"/>
      <c r="AB348" s="270"/>
      <c r="AC348" s="270"/>
      <c r="AD348" s="270"/>
    </row>
    <row r="349" spans="25:30" ht="12.75">
      <c r="Y349" s="270"/>
      <c r="Z349" s="270"/>
      <c r="AA349" s="270"/>
      <c r="AB349" s="270"/>
      <c r="AC349" s="270"/>
      <c r="AD349" s="270"/>
    </row>
    <row r="350" spans="25:30" ht="12.75">
      <c r="Y350" s="270"/>
      <c r="Z350" s="270"/>
      <c r="AA350" s="270"/>
      <c r="AB350" s="270"/>
      <c r="AC350" s="270"/>
      <c r="AD350" s="270"/>
    </row>
    <row r="351" spans="25:30" ht="12.75">
      <c r="Y351" s="270"/>
      <c r="Z351" s="270"/>
      <c r="AA351" s="270"/>
      <c r="AB351" s="270"/>
      <c r="AC351" s="270"/>
      <c r="AD351" s="270"/>
    </row>
    <row r="352" spans="25:30" ht="12.75">
      <c r="Y352" s="270"/>
      <c r="Z352" s="270"/>
      <c r="AA352" s="270"/>
      <c r="AB352" s="270"/>
      <c r="AC352" s="270"/>
      <c r="AD352" s="270"/>
    </row>
    <row r="353" spans="25:30" ht="12.75">
      <c r="Y353" s="270"/>
      <c r="Z353" s="202"/>
      <c r="AA353" s="202"/>
      <c r="AB353" s="202"/>
      <c r="AC353" s="202"/>
      <c r="AD353" s="202"/>
    </row>
    <row r="354" spans="25:30" ht="12.75">
      <c r="Y354" s="270"/>
      <c r="Z354" s="270"/>
      <c r="AA354" s="270"/>
      <c r="AB354" s="270"/>
      <c r="AC354" s="270"/>
      <c r="AD354" s="270"/>
    </row>
    <row r="355" spans="25:30" ht="12.75">
      <c r="Y355" s="270"/>
      <c r="Z355" s="270"/>
      <c r="AA355" s="270"/>
      <c r="AB355" s="270"/>
      <c r="AC355" s="270"/>
      <c r="AD355" s="270"/>
    </row>
    <row r="356" spans="25:30" ht="12.75">
      <c r="Y356" s="270"/>
      <c r="Z356" s="270"/>
      <c r="AA356" s="270"/>
      <c r="AB356" s="270"/>
      <c r="AC356" s="270"/>
      <c r="AD356" s="270"/>
    </row>
    <row r="357" spans="25:30" ht="12.75">
      <c r="Y357" s="270"/>
      <c r="Z357" s="270"/>
      <c r="AA357" s="270"/>
      <c r="AB357" s="270"/>
      <c r="AC357" s="270"/>
      <c r="AD357" s="270"/>
    </row>
    <row r="358" spans="25:30" ht="12.75">
      <c r="Y358" s="270"/>
      <c r="Z358" s="270"/>
      <c r="AA358" s="270"/>
      <c r="AB358" s="270"/>
      <c r="AC358" s="270"/>
      <c r="AD358" s="270"/>
    </row>
    <row r="359" spans="25:30" ht="12.75">
      <c r="Y359" s="270"/>
      <c r="Z359" s="270"/>
      <c r="AA359" s="270"/>
      <c r="AB359" s="270"/>
      <c r="AC359" s="270"/>
      <c r="AD359" s="270"/>
    </row>
    <row r="360" spans="25:30" ht="12.75">
      <c r="Y360" s="270"/>
      <c r="Z360" s="270"/>
      <c r="AA360" s="270"/>
      <c r="AB360" s="270"/>
      <c r="AC360" s="270"/>
      <c r="AD360" s="270"/>
    </row>
    <row r="361" spans="25:30" ht="12.75">
      <c r="Y361" s="270"/>
      <c r="Z361" s="270"/>
      <c r="AA361" s="270"/>
      <c r="AB361" s="270"/>
      <c r="AC361" s="270"/>
      <c r="AD361" s="270"/>
    </row>
    <row r="362" spans="25:30" ht="12.75">
      <c r="Y362" s="270"/>
      <c r="Z362" s="270"/>
      <c r="AA362" s="270"/>
      <c r="AB362" s="270"/>
      <c r="AC362" s="270"/>
      <c r="AD362" s="270"/>
    </row>
    <row r="363" spans="25:30" ht="12.75">
      <c r="Y363" s="270"/>
      <c r="Z363" s="270"/>
      <c r="AA363" s="270"/>
      <c r="AB363" s="270"/>
      <c r="AC363" s="270"/>
      <c r="AD363" s="270"/>
    </row>
    <row r="364" spans="25:30" ht="12.75">
      <c r="Y364" s="270"/>
      <c r="Z364" s="270"/>
      <c r="AA364" s="270"/>
      <c r="AB364" s="270"/>
      <c r="AC364" s="270"/>
      <c r="AD364" s="270"/>
    </row>
    <row r="365" spans="25:30" ht="12.75">
      <c r="Y365" s="270"/>
      <c r="Z365" s="270"/>
      <c r="AA365" s="270"/>
      <c r="AB365" s="270"/>
      <c r="AC365" s="270"/>
      <c r="AD365" s="270"/>
    </row>
    <row r="366" spans="25:30" ht="12.75">
      <c r="Y366" s="202"/>
      <c r="Z366" s="202"/>
      <c r="AA366" s="202"/>
      <c r="AB366" s="202"/>
      <c r="AC366" s="202"/>
      <c r="AD366" s="202"/>
    </row>
    <row r="367" spans="25:30" ht="12.75">
      <c r="Y367" s="202"/>
      <c r="Z367" s="202"/>
      <c r="AA367" s="202"/>
      <c r="AB367" s="202"/>
      <c r="AC367" s="202"/>
      <c r="AD367" s="202"/>
    </row>
    <row r="368" spans="25:30" ht="12.75">
      <c r="Y368" s="202"/>
      <c r="Z368" s="202"/>
      <c r="AA368" s="202"/>
      <c r="AB368" s="202"/>
      <c r="AC368" s="202"/>
      <c r="AD368" s="202"/>
    </row>
    <row r="369" spans="25:30" ht="12.75">
      <c r="Y369" s="202"/>
      <c r="Z369" s="202"/>
      <c r="AA369" s="202"/>
      <c r="AB369" s="202"/>
      <c r="AC369" s="202"/>
      <c r="AD369" s="202"/>
    </row>
    <row r="370" spans="25:30" ht="12.75">
      <c r="Y370" s="202"/>
      <c r="Z370" s="202"/>
      <c r="AA370" s="202"/>
      <c r="AB370" s="202"/>
      <c r="AC370" s="202"/>
      <c r="AD370" s="202"/>
    </row>
    <row r="371" spans="25:30" ht="12.75">
      <c r="Y371" s="202"/>
      <c r="Z371" s="202"/>
      <c r="AA371" s="202"/>
      <c r="AB371" s="202"/>
      <c r="AC371" s="202"/>
      <c r="AD371" s="202"/>
    </row>
    <row r="372" spans="25:30" ht="12.75">
      <c r="Y372" s="202"/>
      <c r="Z372" s="202"/>
      <c r="AA372" s="202"/>
      <c r="AB372" s="202"/>
      <c r="AC372" s="202"/>
      <c r="AD372" s="202"/>
    </row>
    <row r="373" spans="25:30" ht="12.75">
      <c r="Y373" s="202"/>
      <c r="Z373" s="202"/>
      <c r="AA373" s="202"/>
      <c r="AB373" s="202"/>
      <c r="AC373" s="202"/>
      <c r="AD373" s="202"/>
    </row>
    <row r="374" spans="25:30" ht="12.75">
      <c r="Y374" s="202"/>
      <c r="Z374" s="202"/>
      <c r="AA374" s="202"/>
      <c r="AB374" s="202"/>
      <c r="AC374" s="202"/>
      <c r="AD374" s="202"/>
    </row>
    <row r="375" spans="25:30" ht="12.75">
      <c r="Y375" s="202"/>
      <c r="Z375" s="202"/>
      <c r="AA375" s="202"/>
      <c r="AB375" s="202"/>
      <c r="AC375" s="202"/>
      <c r="AD375" s="202"/>
    </row>
    <row r="376" spans="25:30" ht="12.75">
      <c r="Y376" s="202"/>
      <c r="Z376" s="202"/>
      <c r="AA376" s="202"/>
      <c r="AB376" s="202"/>
      <c r="AC376" s="202"/>
      <c r="AD376" s="202"/>
    </row>
    <row r="377" spans="25:30" ht="12.75">
      <c r="Y377" s="202"/>
      <c r="Z377" s="202"/>
      <c r="AA377" s="202"/>
      <c r="AB377" s="202"/>
      <c r="AC377" s="202"/>
      <c r="AD377" s="202"/>
    </row>
    <row r="378" spans="25:30" ht="12.75">
      <c r="Y378" s="202"/>
      <c r="Z378" s="202"/>
      <c r="AA378" s="202"/>
      <c r="AB378" s="202"/>
      <c r="AC378" s="202"/>
      <c r="AD378" s="202"/>
    </row>
    <row r="379" spans="25:30" ht="12.75">
      <c r="Y379" s="202"/>
      <c r="Z379" s="202"/>
      <c r="AA379" s="202"/>
      <c r="AB379" s="202"/>
      <c r="AC379" s="202"/>
      <c r="AD379" s="202"/>
    </row>
    <row r="380" spans="25:30" ht="12.75">
      <c r="Y380" s="202"/>
      <c r="Z380" s="202"/>
      <c r="AA380" s="202"/>
      <c r="AB380" s="202"/>
      <c r="AC380" s="202"/>
      <c r="AD380" s="202"/>
    </row>
    <row r="381" spans="25:30" ht="12.75">
      <c r="Y381" s="203"/>
      <c r="Z381" s="203"/>
      <c r="AA381" s="203"/>
      <c r="AB381" s="203"/>
      <c r="AC381" s="203"/>
      <c r="AD381" s="203"/>
    </row>
    <row r="382" spans="25:30" ht="12.75">
      <c r="Y382" s="203"/>
      <c r="Z382" s="203"/>
      <c r="AA382" s="203"/>
      <c r="AB382" s="203"/>
      <c r="AC382" s="203"/>
      <c r="AD382" s="203"/>
    </row>
    <row r="383" spans="25:30" ht="12.75">
      <c r="Y383" s="203"/>
      <c r="Z383" s="203"/>
      <c r="AA383" s="203"/>
      <c r="AB383" s="203"/>
      <c r="AC383" s="203"/>
      <c r="AD383" s="203"/>
    </row>
    <row r="384" spans="25:30" ht="12.75">
      <c r="Y384" s="203"/>
      <c r="Z384" s="203"/>
      <c r="AA384" s="203"/>
      <c r="AB384" s="203"/>
      <c r="AC384" s="203"/>
      <c r="AD384" s="203"/>
    </row>
    <row r="385" spans="25:30" ht="12.75">
      <c r="Y385" s="203"/>
      <c r="Z385" s="203"/>
      <c r="AA385" s="203"/>
      <c r="AB385" s="203"/>
      <c r="AC385" s="203"/>
      <c r="AD385" s="203"/>
    </row>
    <row r="386" spans="25:30" ht="12.75">
      <c r="Y386" s="203"/>
      <c r="Z386" s="203"/>
      <c r="AA386" s="203"/>
      <c r="AB386" s="203"/>
      <c r="AC386" s="203"/>
      <c r="AD386" s="203"/>
    </row>
    <row r="387" spans="25:30" ht="12.75">
      <c r="Y387" s="203"/>
      <c r="Z387" s="203"/>
      <c r="AA387" s="203"/>
      <c r="AB387" s="203"/>
      <c r="AC387" s="203"/>
      <c r="AD387" s="203"/>
    </row>
    <row r="388" spans="25:30" ht="12.75">
      <c r="Y388" s="203"/>
      <c r="Z388" s="203"/>
      <c r="AA388" s="203"/>
      <c r="AB388" s="203"/>
      <c r="AC388" s="203"/>
      <c r="AD388" s="203"/>
    </row>
    <row r="389" spans="25:30" ht="12.75">
      <c r="Y389" s="203"/>
      <c r="Z389" s="203"/>
      <c r="AA389" s="203"/>
      <c r="AB389" s="203"/>
      <c r="AC389" s="203"/>
      <c r="AD389" s="203"/>
    </row>
    <row r="390" spans="25:30" ht="12.75">
      <c r="Y390" s="203"/>
      <c r="Z390" s="203"/>
      <c r="AA390" s="203"/>
      <c r="AB390" s="203"/>
      <c r="AC390" s="203"/>
      <c r="AD390" s="203"/>
    </row>
    <row r="391" spans="25:30" ht="12.75">
      <c r="Y391" s="203"/>
      <c r="Z391" s="203"/>
      <c r="AA391" s="203"/>
      <c r="AB391" s="203"/>
      <c r="AC391" s="203"/>
      <c r="AD391" s="203"/>
    </row>
    <row r="392" spans="25:30" ht="12.75">
      <c r="Y392" s="203"/>
      <c r="Z392" s="203"/>
      <c r="AA392" s="203"/>
      <c r="AB392" s="203"/>
      <c r="AC392" s="203"/>
      <c r="AD392" s="203"/>
    </row>
    <row r="393" spans="25:30" ht="12.75">
      <c r="Y393" s="203"/>
      <c r="Z393" s="203"/>
      <c r="AA393" s="203"/>
      <c r="AB393" s="203"/>
      <c r="AC393" s="203"/>
      <c r="AD393" s="203"/>
    </row>
    <row r="394" spans="25:30" ht="12.75">
      <c r="Y394" s="203"/>
      <c r="Z394" s="203"/>
      <c r="AA394" s="203"/>
      <c r="AB394" s="203"/>
      <c r="AC394" s="203"/>
      <c r="AD394" s="203"/>
    </row>
    <row r="395" spans="25:30" ht="12.75">
      <c r="Y395" s="203"/>
      <c r="Z395" s="203"/>
      <c r="AA395" s="203"/>
      <c r="AB395" s="203"/>
      <c r="AC395" s="203"/>
      <c r="AD395" s="203"/>
    </row>
    <row r="396" spans="25:30" ht="12.75">
      <c r="Y396" s="203"/>
      <c r="Z396" s="203"/>
      <c r="AA396" s="203"/>
      <c r="AB396" s="203"/>
      <c r="AC396" s="203"/>
      <c r="AD396" s="203"/>
    </row>
    <row r="397" spans="25:30" ht="12.75">
      <c r="Y397" s="203"/>
      <c r="Z397" s="203"/>
      <c r="AA397" s="203"/>
      <c r="AB397" s="203"/>
      <c r="AC397" s="203"/>
      <c r="AD397" s="203"/>
    </row>
    <row r="398" spans="25:30" ht="12.75">
      <c r="Y398" s="203"/>
      <c r="Z398" s="203"/>
      <c r="AA398" s="203"/>
      <c r="AB398" s="203"/>
      <c r="AC398" s="203"/>
      <c r="AD398" s="203"/>
    </row>
    <row r="399" spans="25:30" ht="12.75">
      <c r="Y399" s="203"/>
      <c r="Z399" s="203"/>
      <c r="AA399" s="203"/>
      <c r="AB399" s="203"/>
      <c r="AC399" s="203"/>
      <c r="AD399" s="203"/>
    </row>
    <row r="400" spans="25:30" ht="12.75">
      <c r="Y400" s="203"/>
      <c r="Z400" s="203"/>
      <c r="AA400" s="203"/>
      <c r="AB400" s="203"/>
      <c r="AC400" s="203"/>
      <c r="AD400" s="203"/>
    </row>
    <row r="401" spans="25:30" ht="12.75">
      <c r="Y401" s="203"/>
      <c r="Z401" s="203"/>
      <c r="AA401" s="203"/>
      <c r="AB401" s="203"/>
      <c r="AC401" s="203"/>
      <c r="AD401" s="203"/>
    </row>
    <row r="402" spans="25:30" ht="12.75">
      <c r="Y402" s="203"/>
      <c r="Z402" s="203"/>
      <c r="AA402" s="203"/>
      <c r="AB402" s="203"/>
      <c r="AC402" s="203"/>
      <c r="AD402" s="203"/>
    </row>
    <row r="403" spans="25:30" ht="12.75">
      <c r="Y403" s="203"/>
      <c r="Z403" s="203"/>
      <c r="AA403" s="203"/>
      <c r="AB403" s="203"/>
      <c r="AC403" s="203"/>
      <c r="AD403" s="203"/>
    </row>
    <row r="404" spans="25:30" ht="12.75">
      <c r="Y404" s="203"/>
      <c r="Z404" s="203"/>
      <c r="AA404" s="203"/>
      <c r="AB404" s="203"/>
      <c r="AC404" s="203"/>
      <c r="AD404" s="203"/>
    </row>
    <row r="405" spans="25:30" ht="12.75">
      <c r="Y405" s="203"/>
      <c r="Z405" s="203"/>
      <c r="AA405" s="203"/>
      <c r="AB405" s="203"/>
      <c r="AC405" s="203"/>
      <c r="AD405" s="203"/>
    </row>
    <row r="406" spans="25:30" ht="12.75">
      <c r="Y406" s="203"/>
      <c r="Z406" s="203"/>
      <c r="AA406" s="203"/>
      <c r="AB406" s="203"/>
      <c r="AC406" s="203"/>
      <c r="AD406" s="203"/>
    </row>
    <row r="407" spans="25:30" ht="12.75">
      <c r="Y407" s="203"/>
      <c r="Z407" s="203"/>
      <c r="AA407" s="203"/>
      <c r="AB407" s="203"/>
      <c r="AC407" s="203"/>
      <c r="AD407" s="203"/>
    </row>
    <row r="408" spans="25:30" ht="12.75">
      <c r="Y408" s="203"/>
      <c r="Z408" s="203"/>
      <c r="AA408" s="203"/>
      <c r="AB408" s="203"/>
      <c r="AC408" s="203"/>
      <c r="AD408" s="203"/>
    </row>
    <row r="409" spans="25:30" ht="12.75">
      <c r="Y409" s="203"/>
      <c r="Z409" s="203"/>
      <c r="AA409" s="203"/>
      <c r="AB409" s="203"/>
      <c r="AC409" s="203"/>
      <c r="AD409" s="203"/>
    </row>
    <row r="410" spans="25:30" ht="12.75">
      <c r="Y410" s="203"/>
      <c r="Z410" s="203"/>
      <c r="AA410" s="203"/>
      <c r="AB410" s="203"/>
      <c r="AC410" s="203"/>
      <c r="AD410" s="203"/>
    </row>
    <row r="411" spans="25:30" ht="12.75">
      <c r="Y411" s="203"/>
      <c r="Z411" s="203"/>
      <c r="AA411" s="203"/>
      <c r="AB411" s="203"/>
      <c r="AC411" s="203"/>
      <c r="AD411" s="203"/>
    </row>
    <row r="412" spans="25:30" ht="12.75">
      <c r="Y412" s="203"/>
      <c r="Z412" s="203"/>
      <c r="AA412" s="203"/>
      <c r="AB412" s="203"/>
      <c r="AC412" s="203"/>
      <c r="AD412" s="203"/>
    </row>
    <row r="413" spans="25:30" ht="12.75">
      <c r="Y413" s="203"/>
      <c r="Z413" s="203"/>
      <c r="AA413" s="203"/>
      <c r="AB413" s="203"/>
      <c r="AC413" s="203"/>
      <c r="AD413" s="203"/>
    </row>
    <row r="414" spans="25:30" ht="12.75">
      <c r="Y414" s="203"/>
      <c r="Z414" s="203"/>
      <c r="AA414" s="203"/>
      <c r="AB414" s="203"/>
      <c r="AC414" s="203"/>
      <c r="AD414" s="203"/>
    </row>
    <row r="415" spans="25:30" ht="12.75">
      <c r="Y415" s="203"/>
      <c r="Z415" s="203"/>
      <c r="AA415" s="203"/>
      <c r="AB415" s="203"/>
      <c r="AC415" s="203"/>
      <c r="AD415" s="203"/>
    </row>
    <row r="416" spans="25:30" ht="12.75">
      <c r="Y416" s="203"/>
      <c r="Z416" s="203"/>
      <c r="AA416" s="203"/>
      <c r="AB416" s="203"/>
      <c r="AC416" s="203"/>
      <c r="AD416" s="203"/>
    </row>
    <row r="417" spans="25:30" ht="12.75">
      <c r="Y417" s="203"/>
      <c r="Z417" s="203"/>
      <c r="AA417" s="203"/>
      <c r="AB417" s="203"/>
      <c r="AC417" s="203"/>
      <c r="AD417" s="203"/>
    </row>
    <row r="418" spans="25:30" ht="12.75">
      <c r="Y418" s="203"/>
      <c r="Z418" s="203"/>
      <c r="AA418" s="203"/>
      <c r="AB418" s="203"/>
      <c r="AC418" s="203"/>
      <c r="AD418" s="203"/>
    </row>
    <row r="419" spans="25:30" ht="12.75">
      <c r="Y419" s="203"/>
      <c r="Z419" s="203"/>
      <c r="AA419" s="203"/>
      <c r="AB419" s="203"/>
      <c r="AC419" s="203"/>
      <c r="AD419" s="203"/>
    </row>
    <row r="420" spans="25:30" ht="12.75">
      <c r="Y420" s="203"/>
      <c r="Z420" s="203"/>
      <c r="AA420" s="203"/>
      <c r="AB420" s="203"/>
      <c r="AC420" s="203"/>
      <c r="AD420" s="203"/>
    </row>
    <row r="421" spans="25:30" ht="12.75">
      <c r="Y421" s="203"/>
      <c r="Z421" s="203"/>
      <c r="AA421" s="203"/>
      <c r="AB421" s="203"/>
      <c r="AC421" s="203"/>
      <c r="AD421" s="203"/>
    </row>
    <row r="422" spans="25:30" ht="12.75">
      <c r="Y422" s="203"/>
      <c r="Z422" s="203"/>
      <c r="AA422" s="203"/>
      <c r="AB422" s="203"/>
      <c r="AC422" s="203"/>
      <c r="AD422" s="203"/>
    </row>
    <row r="423" spans="25:30" ht="12.75">
      <c r="Y423" s="203"/>
      <c r="Z423" s="203"/>
      <c r="AA423" s="203"/>
      <c r="AB423" s="203"/>
      <c r="AC423" s="203"/>
      <c r="AD423" s="203"/>
    </row>
    <row r="424" spans="25:30" ht="12.75">
      <c r="Y424" s="203"/>
      <c r="Z424" s="203"/>
      <c r="AA424" s="203"/>
      <c r="AB424" s="203"/>
      <c r="AC424" s="203"/>
      <c r="AD424" s="203"/>
    </row>
    <row r="425" spans="25:30" ht="12.75">
      <c r="Y425" s="203"/>
      <c r="Z425" s="203"/>
      <c r="AA425" s="203"/>
      <c r="AB425" s="203"/>
      <c r="AC425" s="203"/>
      <c r="AD425" s="203"/>
    </row>
    <row r="426" spans="25:30" ht="12.75">
      <c r="Y426" s="203"/>
      <c r="Z426" s="203"/>
      <c r="AA426" s="203"/>
      <c r="AB426" s="203"/>
      <c r="AC426" s="203"/>
      <c r="AD426" s="203"/>
    </row>
    <row r="427" spans="25:30" ht="12.75">
      <c r="Y427" s="203"/>
      <c r="Z427" s="203"/>
      <c r="AA427" s="203"/>
      <c r="AB427" s="203"/>
      <c r="AC427" s="203"/>
      <c r="AD427" s="203"/>
    </row>
    <row r="428" spans="25:30" ht="12.75">
      <c r="Y428" s="203"/>
      <c r="Z428" s="203"/>
      <c r="AA428" s="203"/>
      <c r="AB428" s="203"/>
      <c r="AC428" s="203"/>
      <c r="AD428" s="203"/>
    </row>
    <row r="429" spans="25:30" ht="12.75">
      <c r="Y429" s="203"/>
      <c r="Z429" s="203"/>
      <c r="AA429" s="203"/>
      <c r="AB429" s="203"/>
      <c r="AC429" s="203"/>
      <c r="AD429" s="203"/>
    </row>
    <row r="430" spans="25:30" ht="12.75">
      <c r="Y430" s="203"/>
      <c r="Z430" s="203"/>
      <c r="AA430" s="203"/>
      <c r="AB430" s="203"/>
      <c r="AC430" s="203"/>
      <c r="AD430" s="203"/>
    </row>
    <row r="431" spans="25:30" ht="12.75">
      <c r="Y431" s="203"/>
      <c r="Z431" s="203"/>
      <c r="AA431" s="203"/>
      <c r="AB431" s="203"/>
      <c r="AC431" s="203"/>
      <c r="AD431" s="203"/>
    </row>
  </sheetData>
  <sheetProtection sheet="1" objects="1" scenarios="1"/>
  <conditionalFormatting sqref="AF33 AF51 AF48 AF53:AF55 AF57:AF58 AF60:AF65">
    <cfRule type="expression" priority="1" dxfId="0" stopIfTrue="1">
      <formula>AG33&gt;1</formula>
    </cfRule>
  </conditionalFormatting>
  <conditionalFormatting sqref="I33 I61:I65 I57">
    <cfRule type="expression" priority="2" dxfId="0" stopIfTrue="1">
      <formula>AG33&gt;1</formula>
    </cfRule>
  </conditionalFormatting>
  <conditionalFormatting sqref="I55:I56 I66">
    <cfRule type="expression" priority="3" dxfId="0" stopIfTrue="1">
      <formula>AG54&gt;1</formula>
    </cfRule>
  </conditionalFormatting>
  <conditionalFormatting sqref="AG33:AG36 AG51 AG48 AG53:AG55 AG57:AG58 AG60:AG65">
    <cfRule type="cellIs" priority="4" dxfId="0" operator="greaterThan" stopIfTrue="1">
      <formula>1</formula>
    </cfRule>
  </conditionalFormatting>
  <conditionalFormatting sqref="I58 I60">
    <cfRule type="expression" priority="5" dxfId="0" stopIfTrue="1">
      <formula>#REF!&gt;1</formula>
    </cfRule>
  </conditionalFormatting>
  <conditionalFormatting sqref="I51 I48">
    <cfRule type="expression" priority="6" dxfId="0" stopIfTrue="1">
      <formula>AG48&gt;1</formula>
    </cfRule>
  </conditionalFormatting>
  <dataValidations count="10">
    <dataValidation type="decimal" operator="greaterThanOrEqual" allowBlank="1" showInputMessage="1" showErrorMessage="1" prompt="The total bearing area of the concrete support, 'A2', MUST have a minimum value of A2 = N*B for bearing plate design or A2 = N*bf for checking the minimum beam flange thickness without using a bearing plate." error="Bearing area, 'A2', must be &gt;= N*bf" sqref="D19">
      <formula1>$D$14*$B$25</formula1>
    </dataValidation>
    <dataValidation type="list" allowBlank="1" showInputMessage="1" showErrorMessage="1" errorTitle="Warning!" error="Invalid steel yield strength" sqref="D13">
      <formula1>$K$3:$K$5</formula1>
    </dataValidation>
    <dataValidation allowBlank="1" showInputMessage="1" showErrorMessage="1" prompt="The support member thickness (ts) would be typically either the thickness of the column flange (tf) or web (tw), or the thickness of the beam web (tw)." sqref="D11"/>
    <dataValidation type="decimal" operator="greaterThanOrEqual" allowBlank="1" showInputMessage="1" showErrorMessage="1" prompt="For end bearing beams, a value of N = 3.25&quot; is assumed in the AISC Table pages 9-38 to 9-51." errorTitle="Warning!" error="Input value of 'N' MUST BE &gt;= 3.25&quot; !" sqref="D14">
      <formula1>3.25</formula1>
    </dataValidation>
    <dataValidation type="list" allowBlank="1" showInputMessage="1" showErrorMessage="1" prompt="User may either select desired size from pick box or type in the size designation.  Note:  input is not case sensitive." sqref="D10">
      <formula1>$Y$6:$Y$336</formula1>
    </dataValidation>
    <dataValidation type="list" allowBlank="1" showInputMessage="1" showErrorMessage="1" sqref="D16">
      <formula1>$K$3:$K$5</formula1>
    </dataValidation>
    <dataValidation type="list" allowBlank="1" showInputMessage="1" showErrorMessage="1" errorTitle="Warning!" error="Invalid concrete compressive strength" sqref="D17">
      <formula1>$K$6:$K$13</formula1>
    </dataValidation>
    <dataValidation type="decimal" operator="greaterThanOrEqual" allowBlank="1" showInputMessage="1" showErrorMessage="1" prompt="Bearing plate width, 'B', must be &gt;= flange width of beam, 'bf'." error="B must be &gt;= bf" sqref="D15">
      <formula1>$B$25</formula1>
    </dataValidation>
    <dataValidation type="decimal" operator="greaterThanOrEqual" allowBlank="1" showInputMessage="1" showErrorMessage="1" prompt="Beam End Reaction, 'R', must be input as a positive reaction resulting from gravity-type loadings." sqref="D12">
      <formula1>0</formula1>
    </dataValidation>
    <dataValidation type="decimal" operator="greaterThanOrEqual" allowBlank="1" showInputMessage="1" showErrorMessage="1" prompt="Distance from Beam Bearing to Load, 'x', must be input as a positive length from the end of the beam to the center of the reaction.  Typically, it is assumed that x = N/2" sqref="D18">
      <formula1>0</formula1>
    </dataValidation>
  </dataValidations>
  <printOptions/>
  <pageMargins left="1" right="0.5" top="1.25" bottom="1" header="0.5" footer="0.5"/>
  <pageSetup horizontalDpi="600" verticalDpi="600" orientation="portrait" scale="95" r:id="rId4"/>
  <headerFooter alignWithMargins="0">
    <oddHeader>&amp;R&amp;8"BRGPLT13.xls" Program
Created By:  Joel Berg, P.E. 
Based on a Program By: Alex Tomanovich, P.E.
Version 1.1</oddHeader>
    <oddFooter>&amp;L&amp;8&amp;D
&amp;T&amp;C&amp;8&amp;Z
&amp;F&amp;R&amp;8Page &amp;P
of &amp;N</oddFooter>
  </headerFooter>
  <rowBreaks count="4" manualBreakCount="4">
    <brk id="100" max="8" man="1"/>
    <brk id="150" max="8" man="1"/>
    <brk id="200" max="8" man="1"/>
    <brk id="250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"BRGPLT13" Program</dc:title>
  <dc:subject/>
  <dc:creator>Joel Berg, P.E. - 809 Hyland Ave, Kaukauna WI 54130 - Work: 920-766-3521 - Email: jberg@baisch.com</dc:creator>
  <cp:keywords/>
  <dc:description>Beam bearing plate design per AISC 13th Ed. (ASD)</dc:description>
  <cp:lastModifiedBy>jberg</cp:lastModifiedBy>
  <cp:lastPrinted>2009-08-10T19:45:37Z</cp:lastPrinted>
  <dcterms:created xsi:type="dcterms:W3CDTF">2000-10-29T04:55:39Z</dcterms:created>
  <dcterms:modified xsi:type="dcterms:W3CDTF">2011-06-21T12:27:38Z</dcterms:modified>
  <cp:category>Structural Engineering Analysis/Design</cp:category>
  <cp:version/>
  <cp:contentType/>
  <cp:contentStatus/>
</cp:coreProperties>
</file>