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firstSheet="4" activeTab="7"/>
  </bookViews>
  <sheets>
    <sheet name="HARD COPY PURLINS DESIGN" sheetId="1" r:id="rId1"/>
    <sheet name="sda1" sheetId="2" r:id="rId2"/>
    <sheet name="Sheet6" sheetId="3" r:id="rId3"/>
    <sheet name="sda2" sheetId="4" r:id="rId4"/>
    <sheet name="tables" sheetId="5" r:id="rId5"/>
    <sheet name="sda3" sheetId="6" r:id="rId6"/>
    <sheet name="purlins design wood" sheetId="7" r:id="rId7"/>
    <sheet name="Design of Steel Purlins" sheetId="8" r:id="rId8"/>
  </sheets>
  <definedNames>
    <definedName name="_xlnm.Print_Area" localSheetId="7">'Design of Steel Purlins'!$A$1:$P$46</definedName>
  </definedNames>
  <calcPr fullCalcOnLoad="1"/>
</workbook>
</file>

<file path=xl/sharedStrings.xml><?xml version="1.0" encoding="utf-8"?>
<sst xmlns="http://schemas.openxmlformats.org/spreadsheetml/2006/main" count="1396" uniqueCount="1396">
  <si>
    <t>DESIGN OF PURLINS</t>
  </si>
  <si>
    <t>Date:</t>
  </si>
  <si>
    <t>NAME OF BUILDING</t>
  </si>
  <si>
    <t>:</t>
  </si>
  <si>
    <t>PURLIN DESIGNATION</t>
  </si>
  <si>
    <t>:</t>
  </si>
  <si>
    <t>SPECIFICATIONS:</t>
  </si>
  <si>
    <t>Type of section</t>
  </si>
  <si>
    <t>:</t>
  </si>
  <si>
    <t>Placing of sag rods</t>
  </si>
  <si>
    <t>:</t>
  </si>
  <si>
    <t>Slope of roofing</t>
  </si>
  <si>
    <t>:</t>
  </si>
  <si>
    <t>Spacing of truss</t>
  </si>
  <si>
    <t>:</t>
  </si>
  <si>
    <t>Spacing of purlins</t>
  </si>
  <si>
    <t>:</t>
  </si>
  <si>
    <t>loadings:</t>
  </si>
  <si>
    <t>Weight of roofing</t>
  </si>
  <si>
    <t>:</t>
  </si>
  <si>
    <t>Other vertical loads</t>
  </si>
  <si>
    <t>:</t>
  </si>
  <si>
    <t>Wind load (normal projection)</t>
  </si>
  <si>
    <t>:</t>
  </si>
  <si>
    <t>Yield strength of steel</t>
  </si>
  <si>
    <t>:</t>
  </si>
  <si>
    <t>Modulus of Elasticity</t>
  </si>
  <si>
    <t>:</t>
  </si>
  <si>
    <t>suggested section:</t>
  </si>
  <si>
    <t>Designation</t>
  </si>
  <si>
    <t>LC  65x30x15x1.2</t>
  </si>
  <si>
    <t>RESULT:</t>
  </si>
  <si>
    <t>Moment</t>
  </si>
  <si>
    <t>Mn=</t>
  </si>
  <si>
    <t>flexural stress</t>
  </si>
  <si>
    <t>fbx=</t>
  </si>
  <si>
    <t>fby=</t>
  </si>
  <si>
    <t>interaction equation</t>
  </si>
  <si>
    <t>case#</t>
  </si>
  <si>
    <t>(fbx / Fbx )+ (fby / Fby)  &lt; =  1.0</t>
  </si>
  <si>
    <t>PURLINS DESIGN LINKED TO TRUSS LOAD COMPUTATION (sheet 2)</t>
  </si>
  <si>
    <t>DATA INPUT</t>
  </si>
  <si>
    <t>DESIGN OF PURLINS</t>
  </si>
  <si>
    <t>NAME OF BUILDING</t>
  </si>
  <si>
    <t>:</t>
  </si>
  <si>
    <t>PROPOSED 2 STOREY HOUSING UNIT</t>
  </si>
  <si>
    <t>PURLIN DESIGNATION</t>
  </si>
  <si>
    <t>:</t>
  </si>
  <si>
    <t>P – 1</t>
  </si>
  <si>
    <t>SPECIFICATIONS:</t>
  </si>
  <si>
    <t>Type of section</t>
  </si>
  <si>
    <t>:</t>
  </si>
  <si>
    <t>Channel</t>
  </si>
  <si>
    <t>NONE = NONE</t>
  </si>
  <si>
    <t>Placing of sag rods</t>
  </si>
  <si>
    <t>:</t>
  </si>
  <si>
    <t>none</t>
  </si>
  <si>
    <t>1 = MIDSPAN</t>
  </si>
  <si>
    <t>Slope of roofing</t>
  </si>
  <si>
    <t>:</t>
  </si>
  <si>
    <t>2 = THIRD POINTS</t>
  </si>
  <si>
    <t>Spacing of truss</t>
  </si>
  <si>
    <t>:</t>
  </si>
  <si>
    <t>m</t>
  </si>
  <si>
    <t>Spacing of purlins</t>
  </si>
  <si>
    <t>:</t>
  </si>
  <si>
    <t>m</t>
  </si>
  <si>
    <t>loadings:</t>
  </si>
  <si>
    <t>Weight of roofing</t>
  </si>
  <si>
    <t>:</t>
  </si>
  <si>
    <t>Pa</t>
  </si>
  <si>
    <t>Other vertical loads</t>
  </si>
  <si>
    <t>:</t>
  </si>
  <si>
    <t>Pa</t>
  </si>
  <si>
    <t>Wind load (normal projection)</t>
  </si>
  <si>
    <t>:</t>
  </si>
  <si>
    <t>Pa</t>
  </si>
  <si>
    <t>Yeild strength of steel</t>
  </si>
  <si>
    <t>:</t>
  </si>
  <si>
    <t>Mpa</t>
  </si>
  <si>
    <t>Modulus of Elasticity</t>
  </si>
  <si>
    <t>:</t>
  </si>
  <si>
    <t>Gpa</t>
  </si>
  <si>
    <t>suggested section: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</si>
  <si>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</si>
  <si>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</si>
  <si>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</si>
  <si>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</si>
  <si>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</si>
  <si>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</si>
  <si>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</si>
  <si>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</si>
  <si>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</si>
  <si>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</si>
  <si>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</si>
  <si>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</si>
  <si>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</si>
  <si>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</si>
  <si>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</si>
  <si>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RESULT:</t>
  </si>
  <si>
    <t>Moment</t>
  </si>
  <si>
    <t>Mn=</t>
  </si>
  <si>
    <t>N-m</t>
  </si>
  <si>
    <t>Mt=</t>
  </si>
  <si>
    <t>N-m</t>
  </si>
  <si>
    <t>flexural stress</t>
  </si>
  <si>
    <t>fbx=</t>
  </si>
  <si>
    <t>Mpa</t>
  </si>
  <si>
    <t>Fbx=</t>
  </si>
  <si>
    <t>Mpa</t>
  </si>
  <si>
    <t>fby=</t>
  </si>
  <si>
    <t>Mpa</t>
  </si>
  <si>
    <t>Fby=</t>
  </si>
  <si>
    <t>Mpa</t>
  </si>
  <si>
    <t>interaction equation</t>
  </si>
  <si>
    <t>deflection</t>
  </si>
  <si>
    <t>y allow    =</t>
  </si>
  <si>
    <t xml:space="preserve"> L / 180</t>
  </si>
  <si>
    <t>case#</t>
  </si>
  <si>
    <t>mm</t>
  </si>
  <si>
    <t>governs</t>
  </si>
  <si>
    <t>yn       =</t>
  </si>
  <si>
    <t>mm &lt;</t>
  </si>
  <si>
    <t>(fbx / Fbx )+ (fby / Fby)  &lt; =  1.0</t>
  </si>
  <si>
    <t>yt        =</t>
  </si>
  <si>
    <t>mm &lt;</t>
  </si>
  <si>
    <t xml:space="preserve"> &lt; =  1.0</t>
  </si>
  <si>
    <t>OTHER DATA INPUT</t>
  </si>
  <si>
    <t>a</t>
  </si>
  <si>
    <t xml:space="preserve">length of front side </t>
  </si>
  <si>
    <t>m</t>
  </si>
  <si>
    <t>b</t>
  </si>
  <si>
    <t xml:space="preserve">length of letf side </t>
  </si>
  <si>
    <t>m</t>
  </si>
  <si>
    <t>c</t>
  </si>
  <si>
    <t xml:space="preserve">length of right side </t>
  </si>
  <si>
    <t>m</t>
  </si>
  <si>
    <t xml:space="preserve">*mid sag rods </t>
  </si>
  <si>
    <t>Mt=Wt*L2/32</t>
  </si>
  <si>
    <t>d</t>
  </si>
  <si>
    <t xml:space="preserve">length of right side </t>
  </si>
  <si>
    <t>m</t>
  </si>
  <si>
    <t>*third point sag rods</t>
  </si>
  <si>
    <t>Mt=Wt*L2/90</t>
  </si>
  <si>
    <t>e</t>
  </si>
  <si>
    <t>spacing between purlins</t>
  </si>
  <si>
    <t>m</t>
  </si>
  <si>
    <t>f</t>
  </si>
  <si>
    <t>spacing between truss</t>
  </si>
  <si>
    <t>m</t>
  </si>
  <si>
    <t>g</t>
  </si>
  <si>
    <t>height of truss</t>
  </si>
  <si>
    <t>m</t>
  </si>
  <si>
    <t>h</t>
  </si>
  <si>
    <t>length of truss</t>
  </si>
  <si>
    <t>m</t>
  </si>
  <si>
    <t>I</t>
  </si>
  <si>
    <t>length of eaves</t>
  </si>
  <si>
    <t>m</t>
  </si>
  <si>
    <t>j</t>
  </si>
  <si>
    <t xml:space="preserve">weight of roofing </t>
  </si>
  <si>
    <t>kPa</t>
  </si>
  <si>
    <t>k</t>
  </si>
  <si>
    <t>weight of wood</t>
  </si>
  <si>
    <t>cum</t>
  </si>
  <si>
    <t>l</t>
  </si>
  <si>
    <t>LL</t>
  </si>
  <si>
    <t>&lt; or =30sqm</t>
  </si>
  <si>
    <t>Pa</t>
  </si>
  <si>
    <t>m</t>
  </si>
  <si>
    <t>P</t>
  </si>
  <si>
    <r>
      <rPr>
        <sz val="10"/>
        <rFont val="Arial"/>
        <family val="0"/>
      </rPr>
      <t>height of roof&lt;</t>
    </r>
    <r>
      <rPr>
        <sz val="10"/>
        <color indexed="10"/>
        <rFont val="Arial"/>
        <family val="0"/>
      </rPr>
      <t xml:space="preserve"> 6 M</t>
    </r>
  </si>
  <si>
    <t>Pa</t>
  </si>
  <si>
    <t>o</t>
  </si>
  <si>
    <t>slope</t>
  </si>
  <si>
    <t>arctan</t>
  </si>
  <si>
    <t>angle</t>
  </si>
  <si>
    <t>Fy</t>
  </si>
  <si>
    <t>yeild strength of steel</t>
  </si>
  <si>
    <t>Mpa</t>
  </si>
  <si>
    <t>E</t>
  </si>
  <si>
    <t>modulus of elasticity</t>
  </si>
  <si>
    <t>Gpa</t>
  </si>
  <si>
    <t>trial section</t>
  </si>
  <si>
    <t>c purlins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</si>
  <si>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</si>
  <si>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</si>
  <si>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</si>
  <si>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</si>
  <si>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</si>
  <si>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</si>
  <si>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</si>
  <si>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</si>
  <si>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</si>
  <si>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</si>
  <si>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</si>
  <si>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</si>
  <si>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</si>
  <si>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</si>
  <si>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</si>
  <si>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LC  65x30x15x1.2</t>
  </si>
  <si>
    <t>computation:</t>
  </si>
  <si>
    <t>design loads:</t>
  </si>
  <si>
    <t>1.DEAD LOADS</t>
  </si>
  <si>
    <t>wt of roofing</t>
  </si>
  <si>
    <t>DL</t>
  </si>
  <si>
    <t>kPa</t>
  </si>
  <si>
    <t>2.LIVE LOADS</t>
  </si>
  <si>
    <t>LL</t>
  </si>
  <si>
    <t>kPa</t>
  </si>
  <si>
    <t>3.WIND LOADS</t>
  </si>
  <si>
    <t>design winds:</t>
  </si>
  <si>
    <t>WL</t>
  </si>
  <si>
    <t>kPa</t>
  </si>
  <si>
    <t>normal loads:</t>
  </si>
  <si>
    <t>Wn</t>
  </si>
  <si>
    <t>DLn =</t>
  </si>
  <si>
    <t>N/m</t>
  </si>
  <si>
    <t>LLn =</t>
  </si>
  <si>
    <t>N/m</t>
  </si>
  <si>
    <t>WLn =</t>
  </si>
  <si>
    <t>N/m</t>
  </si>
  <si>
    <t>tangential loads:</t>
  </si>
  <si>
    <t>DLt =</t>
  </si>
  <si>
    <t>N/m</t>
  </si>
  <si>
    <t>LLn =</t>
  </si>
  <si>
    <t>N/m</t>
  </si>
  <si>
    <t>Load case # 1</t>
  </si>
  <si>
    <t>D+L</t>
  </si>
  <si>
    <t>Wn =</t>
  </si>
  <si>
    <t>N/m</t>
  </si>
  <si>
    <t>Wt =</t>
  </si>
  <si>
    <t>N/m</t>
  </si>
  <si>
    <t>Load casse # 2</t>
  </si>
  <si>
    <t>.75(D+L+W)</t>
  </si>
  <si>
    <t>Wn =</t>
  </si>
  <si>
    <t>N/m</t>
  </si>
  <si>
    <t>Wt =</t>
  </si>
  <si>
    <t>N/m</t>
  </si>
  <si>
    <t>Moments:</t>
  </si>
  <si>
    <t>Load case # 1</t>
  </si>
  <si>
    <t>Mn=Wn(L)/8</t>
  </si>
  <si>
    <t>Mn=</t>
  </si>
  <si>
    <t>N-m</t>
  </si>
  <si>
    <t>Mn=Wt(L)2/8</t>
  </si>
  <si>
    <t>Mt=Wt*L2/32</t>
  </si>
  <si>
    <t>Mt=Wt*L2/90</t>
  </si>
  <si>
    <t>Mt=</t>
  </si>
  <si>
    <t>N-m</t>
  </si>
  <si>
    <t>Load case # 2</t>
  </si>
  <si>
    <t>Mn=</t>
  </si>
  <si>
    <t>Mt=</t>
  </si>
  <si>
    <t>Flexural strength:</t>
  </si>
  <si>
    <t>Load case # 1</t>
  </si>
  <si>
    <t>fbx =</t>
  </si>
  <si>
    <t>MPa</t>
  </si>
  <si>
    <t>fby =</t>
  </si>
  <si>
    <t>MPa</t>
  </si>
  <si>
    <t>Load case # 2</t>
  </si>
  <si>
    <t>fbx =</t>
  </si>
  <si>
    <t>MPa</t>
  </si>
  <si>
    <t>fby =</t>
  </si>
  <si>
    <t>MPa</t>
  </si>
  <si>
    <t>check if  compact section</t>
  </si>
  <si>
    <t>Fy=</t>
  </si>
  <si>
    <t>B/2tf  =</t>
  </si>
  <si>
    <t>170/(Fy)1/2 =</t>
  </si>
  <si>
    <t>B/2tf &lt; 170/sqrt(Fy)</t>
  </si>
  <si>
    <t>compact!!!</t>
  </si>
  <si>
    <t>Fbx=0.66Fy</t>
  </si>
  <si>
    <t>MPa</t>
  </si>
  <si>
    <t>Fby=0.60Fy</t>
  </si>
  <si>
    <t>MPa</t>
  </si>
  <si>
    <t>check interaction equation</t>
  </si>
  <si>
    <t>Load case # 1</t>
  </si>
  <si>
    <t>&lt; 1.0</t>
  </si>
  <si>
    <t>Load case # 2</t>
  </si>
  <si>
    <t>&lt; 1.0</t>
  </si>
  <si>
    <t>load case #1 critical</t>
  </si>
  <si>
    <t>check deflection:</t>
  </si>
  <si>
    <t>allow. Deflection = L/180</t>
  </si>
  <si>
    <t>mm</t>
  </si>
  <si>
    <t>Yn=5WnL4/384EIx</t>
  </si>
  <si>
    <t>mm</t>
  </si>
  <si>
    <t>&lt;</t>
  </si>
  <si>
    <t>Yt=5WtL4/384EIy</t>
  </si>
  <si>
    <t>mm</t>
  </si>
  <si>
    <t>&lt;</t>
  </si>
  <si>
    <t>PURLINS DESIGN LINKED TO TRUSS LOAD COMPUTATION (sheet 2)</t>
  </si>
  <si>
    <t>DATA INPUT</t>
  </si>
  <si>
    <t>DESIGN OF PURLINS</t>
  </si>
  <si>
    <t>NAME OF BUILDING</t>
  </si>
  <si>
    <t>:</t>
  </si>
  <si>
    <t>KITAZATO</t>
  </si>
  <si>
    <t>PURLIN DESIGNATION</t>
  </si>
  <si>
    <t>:</t>
  </si>
  <si>
    <t>PURLINS 1</t>
  </si>
  <si>
    <t>SPECIFICATIONS:</t>
  </si>
  <si>
    <t>Type of section</t>
  </si>
  <si>
    <t>:</t>
  </si>
  <si>
    <t>LC-Shape</t>
  </si>
  <si>
    <t>Placing of sag rods</t>
  </si>
  <si>
    <t>:</t>
  </si>
  <si>
    <t>@MIDSPAN</t>
  </si>
  <si>
    <t>Slope of roofing</t>
  </si>
  <si>
    <t>:</t>
  </si>
  <si>
    <t>Spacing of truss</t>
  </si>
  <si>
    <t>:</t>
  </si>
  <si>
    <t>m</t>
  </si>
  <si>
    <t>Spacing of purlins</t>
  </si>
  <si>
    <t>:</t>
  </si>
  <si>
    <t>m</t>
  </si>
  <si>
    <t>loadings:</t>
  </si>
  <si>
    <t>Weight of roofing</t>
  </si>
  <si>
    <t>:</t>
  </si>
  <si>
    <t>Pa</t>
  </si>
  <si>
    <t>Other vertical loads</t>
  </si>
  <si>
    <t>:</t>
  </si>
  <si>
    <t>Pa</t>
  </si>
  <si>
    <t>Wind load (normal projection)</t>
  </si>
  <si>
    <t>:</t>
  </si>
  <si>
    <t>Pa</t>
  </si>
  <si>
    <t>Yeild strength of steel</t>
  </si>
  <si>
    <t>:</t>
  </si>
  <si>
    <t>Mpa</t>
  </si>
  <si>
    <t>Modulus of Elasticity</t>
  </si>
  <si>
    <t>:</t>
  </si>
  <si>
    <t>Gpa</t>
  </si>
  <si>
    <t>suggested section: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</si>
  <si>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</si>
  <si>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</si>
  <si>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</si>
  <si>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</si>
  <si>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</si>
  <si>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</si>
  <si>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</si>
  <si>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</si>
  <si>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</si>
  <si>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</si>
  <si>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</si>
  <si>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</si>
  <si>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</si>
  <si>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</si>
  <si>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</si>
  <si>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RESULT:</t>
  </si>
  <si>
    <t>Moment</t>
  </si>
  <si>
    <t>Mn=</t>
  </si>
  <si>
    <t>N-m</t>
  </si>
  <si>
    <t>Mt=</t>
  </si>
  <si>
    <t>N-m</t>
  </si>
  <si>
    <t>flexural stress</t>
  </si>
  <si>
    <t>fbx=</t>
  </si>
  <si>
    <t>Mpa</t>
  </si>
  <si>
    <t>Fbx=</t>
  </si>
  <si>
    <t>Mpa</t>
  </si>
  <si>
    <t>fby=</t>
  </si>
  <si>
    <t>Mpa</t>
  </si>
  <si>
    <t>Fby=</t>
  </si>
  <si>
    <t>Mpa</t>
  </si>
  <si>
    <t>interaction equation</t>
  </si>
  <si>
    <t>deflection</t>
  </si>
  <si>
    <t>y allow    =</t>
  </si>
  <si>
    <t xml:space="preserve"> L / 180</t>
  </si>
  <si>
    <t>case#</t>
  </si>
  <si>
    <t>mm</t>
  </si>
  <si>
    <t>governs</t>
  </si>
  <si>
    <t>yn       =</t>
  </si>
  <si>
    <t>mm &lt;</t>
  </si>
  <si>
    <t>(fbx / Fbx )+ (fby / Fby)  &lt; =  1.0</t>
  </si>
  <si>
    <t>yt        =</t>
  </si>
  <si>
    <t>mm &lt;</t>
  </si>
  <si>
    <t xml:space="preserve"> &lt; =  1.0</t>
  </si>
  <si>
    <t>OTHER DATA INPUT</t>
  </si>
  <si>
    <t>a</t>
  </si>
  <si>
    <t xml:space="preserve">length of front side </t>
  </si>
  <si>
    <t>m</t>
  </si>
  <si>
    <t>b</t>
  </si>
  <si>
    <t xml:space="preserve">length of letf side </t>
  </si>
  <si>
    <t>m</t>
  </si>
  <si>
    <t>c</t>
  </si>
  <si>
    <t xml:space="preserve">length of right side </t>
  </si>
  <si>
    <t>m</t>
  </si>
  <si>
    <t xml:space="preserve">*mid sag rods </t>
  </si>
  <si>
    <t>Mt=Wt*L2/32</t>
  </si>
  <si>
    <t>d</t>
  </si>
  <si>
    <t xml:space="preserve">length of right side </t>
  </si>
  <si>
    <t>m</t>
  </si>
  <si>
    <t>*third point sag rods</t>
  </si>
  <si>
    <t>Mt=Wt*L2/90</t>
  </si>
  <si>
    <t>e</t>
  </si>
  <si>
    <t>spacing between purlins</t>
  </si>
  <si>
    <t>m</t>
  </si>
  <si>
    <t>f</t>
  </si>
  <si>
    <t>spacing between truss</t>
  </si>
  <si>
    <t>m</t>
  </si>
  <si>
    <t>g</t>
  </si>
  <si>
    <t>height of truss</t>
  </si>
  <si>
    <t>m</t>
  </si>
  <si>
    <t>h</t>
  </si>
  <si>
    <t>length of truss</t>
  </si>
  <si>
    <t>m</t>
  </si>
  <si>
    <t>I</t>
  </si>
  <si>
    <t>length of eaves</t>
  </si>
  <si>
    <t>m</t>
  </si>
  <si>
    <t>j</t>
  </si>
  <si>
    <t xml:space="preserve">weight of roofing </t>
  </si>
  <si>
    <t>kPa</t>
  </si>
  <si>
    <t>k</t>
  </si>
  <si>
    <t>weight of wood</t>
  </si>
  <si>
    <t>cum</t>
  </si>
  <si>
    <t>l</t>
  </si>
  <si>
    <t>LL</t>
  </si>
  <si>
    <t>&lt; or =30sqm</t>
  </si>
  <si>
    <t>Pa</t>
  </si>
  <si>
    <t>m</t>
  </si>
  <si>
    <t>P</t>
  </si>
  <si>
    <r>
      <rPr>
        <sz val="10"/>
        <rFont val="Arial"/>
        <family val="3"/>
      </rPr>
      <t>height of roof&lt;</t>
    </r>
    <r>
      <rPr>
        <sz val="10"/>
        <color indexed="10"/>
        <rFont val="Arial"/>
        <family val="3"/>
      </rPr>
      <t xml:space="preserve"> 6 M</t>
    </r>
  </si>
  <si>
    <t>Pa</t>
  </si>
  <si>
    <t>o</t>
  </si>
  <si>
    <t>slope</t>
  </si>
  <si>
    <t>arctan</t>
  </si>
  <si>
    <t>angle</t>
  </si>
  <si>
    <t>Fy</t>
  </si>
  <si>
    <t>yeild strength of steel</t>
  </si>
  <si>
    <t>Mpa</t>
  </si>
  <si>
    <t>E</t>
  </si>
  <si>
    <t>modulus of elasticity</t>
  </si>
  <si>
    <t>Gpa</t>
  </si>
  <si>
    <t>trial section</t>
  </si>
  <si>
    <t>c purlins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</si>
  <si>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</si>
  <si>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</si>
  <si>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</si>
  <si>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</si>
  <si>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</si>
  <si>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</si>
  <si>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</si>
  <si>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</si>
  <si>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</si>
  <si>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</si>
  <si>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</si>
  <si>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</si>
  <si>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</si>
  <si>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</si>
  <si>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</si>
  <si>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LC  65x30x15x1.2</t>
  </si>
  <si>
    <t>computation:</t>
  </si>
  <si>
    <t>design loads:</t>
  </si>
  <si>
    <t>1.DEAD LOADS</t>
  </si>
  <si>
    <t>wt of roofing</t>
  </si>
  <si>
    <t>DL</t>
  </si>
  <si>
    <t>kPa</t>
  </si>
  <si>
    <t>2.LIVE LOADS</t>
  </si>
  <si>
    <t>LL</t>
  </si>
  <si>
    <t>kPa</t>
  </si>
  <si>
    <t>3.WIND LOADS</t>
  </si>
  <si>
    <t>design winds:</t>
  </si>
  <si>
    <t>WL</t>
  </si>
  <si>
    <t>kPa</t>
  </si>
  <si>
    <t>normal loads:</t>
  </si>
  <si>
    <t>Wn</t>
  </si>
  <si>
    <t>DLn =</t>
  </si>
  <si>
    <t>N/m</t>
  </si>
  <si>
    <t>LLn =</t>
  </si>
  <si>
    <t>N/m</t>
  </si>
  <si>
    <t>WLn =</t>
  </si>
  <si>
    <t>N/m</t>
  </si>
  <si>
    <t>tangential loads:</t>
  </si>
  <si>
    <t>DLt =</t>
  </si>
  <si>
    <t>N/m</t>
  </si>
  <si>
    <t>LLn =</t>
  </si>
  <si>
    <t>N/m</t>
  </si>
  <si>
    <t>Load case # 1</t>
  </si>
  <si>
    <t>D+L</t>
  </si>
  <si>
    <t>Wn =</t>
  </si>
  <si>
    <t>N/m</t>
  </si>
  <si>
    <t>Wt =</t>
  </si>
  <si>
    <t>N/m</t>
  </si>
  <si>
    <t>Load casse # 2</t>
  </si>
  <si>
    <t>.75(D+L+W)</t>
  </si>
  <si>
    <t>Wn =</t>
  </si>
  <si>
    <t>N/m</t>
  </si>
  <si>
    <t>Wt =</t>
  </si>
  <si>
    <t>N/m</t>
  </si>
  <si>
    <t>Moments:</t>
  </si>
  <si>
    <t>Load case # 1</t>
  </si>
  <si>
    <t>Mn=Wn(L)/32</t>
  </si>
  <si>
    <t>Mn=</t>
  </si>
  <si>
    <t>N-m</t>
  </si>
  <si>
    <t>Mt=Wt*L2/32</t>
  </si>
  <si>
    <t>Mt=</t>
  </si>
  <si>
    <t>N-m</t>
  </si>
  <si>
    <t>Load case # 2</t>
  </si>
  <si>
    <t>Mn=</t>
  </si>
  <si>
    <t>Mt=</t>
  </si>
  <si>
    <t>Flexural strength:</t>
  </si>
  <si>
    <t>Load case # 1</t>
  </si>
  <si>
    <t>fbx =</t>
  </si>
  <si>
    <t>MPa</t>
  </si>
  <si>
    <t>fby =</t>
  </si>
  <si>
    <t>MPa</t>
  </si>
  <si>
    <t>Load case # 2</t>
  </si>
  <si>
    <t>fbx =</t>
  </si>
  <si>
    <t>MPa</t>
  </si>
  <si>
    <t>fby =</t>
  </si>
  <si>
    <t>MPa</t>
  </si>
  <si>
    <t>check if  compact section</t>
  </si>
  <si>
    <t>Fy=</t>
  </si>
  <si>
    <t>B/2tf  =</t>
  </si>
  <si>
    <t>170/(Fy)1/2 =</t>
  </si>
  <si>
    <t>B/2tf &lt; 170/sqrt(Fy)</t>
  </si>
  <si>
    <t>compact!!!</t>
  </si>
  <si>
    <t>Fbx=0.66Fy</t>
  </si>
  <si>
    <t>MPa</t>
  </si>
  <si>
    <t>Fby=0.60Fy</t>
  </si>
  <si>
    <t>MPa</t>
  </si>
  <si>
    <t>check interaction equation</t>
  </si>
  <si>
    <t>Load case # 1</t>
  </si>
  <si>
    <t>&lt; 1.0</t>
  </si>
  <si>
    <t>Load case # 2</t>
  </si>
  <si>
    <t>&lt; 1.0</t>
  </si>
  <si>
    <t>load case #1 critical</t>
  </si>
  <si>
    <t>check deflection:</t>
  </si>
  <si>
    <t>allow. Deflection = L/180</t>
  </si>
  <si>
    <t>mm</t>
  </si>
  <si>
    <t>Yn=5WnL4/384EIx</t>
  </si>
  <si>
    <t>mm</t>
  </si>
  <si>
    <t>&lt;</t>
  </si>
  <si>
    <t>Yt=5WtL4/384EIy</t>
  </si>
  <si>
    <t>mm</t>
  </si>
  <si>
    <t>&lt;</t>
  </si>
  <si>
    <t>PURLINS DESIGN LINKED TO TRUSS LOAD COMPUTATION (sheet 2)</t>
  </si>
  <si>
    <t>DATA INPUT</t>
  </si>
  <si>
    <t>DESIGN OF PURLINS WITH SAG ROD @ THIRD POINTS</t>
  </si>
  <si>
    <t>NAME OF BUILDING</t>
  </si>
  <si>
    <t>:</t>
  </si>
  <si>
    <t>KITAZATO</t>
  </si>
  <si>
    <t>PURLIN DESIGNATION</t>
  </si>
  <si>
    <t>:</t>
  </si>
  <si>
    <t>PURLINS 1</t>
  </si>
  <si>
    <t>SPECIFICATIONS:</t>
  </si>
  <si>
    <t>Type of section</t>
  </si>
  <si>
    <t>:</t>
  </si>
  <si>
    <t>LC-Shape</t>
  </si>
  <si>
    <t>Placing of sag rods</t>
  </si>
  <si>
    <t>:</t>
  </si>
  <si>
    <t>@ THIRD POINTS</t>
  </si>
  <si>
    <t>Slope of roofing</t>
  </si>
  <si>
    <t>:</t>
  </si>
  <si>
    <t>Spacing of truss</t>
  </si>
  <si>
    <t>:</t>
  </si>
  <si>
    <t>m</t>
  </si>
  <si>
    <t>Spacing of purlins</t>
  </si>
  <si>
    <t>:</t>
  </si>
  <si>
    <t>m</t>
  </si>
  <si>
    <t>loadings:</t>
  </si>
  <si>
    <t>Weight of roofing</t>
  </si>
  <si>
    <t>:</t>
  </si>
  <si>
    <t>Pa</t>
  </si>
  <si>
    <t>Other vertical loads</t>
  </si>
  <si>
    <t>:</t>
  </si>
  <si>
    <t>Pa</t>
  </si>
  <si>
    <t>Wind load (normal projection)</t>
  </si>
  <si>
    <t>:</t>
  </si>
  <si>
    <t>Pa</t>
  </si>
  <si>
    <t>Yeild strength of steel</t>
  </si>
  <si>
    <t>:</t>
  </si>
  <si>
    <t>Mpa</t>
  </si>
  <si>
    <t>Modulus of Elasticity</t>
  </si>
  <si>
    <t>:</t>
  </si>
  <si>
    <t>Gpa</t>
  </si>
  <si>
    <t>suggested section: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</si>
  <si>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</si>
  <si>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</si>
  <si>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</si>
  <si>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</si>
  <si>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</si>
  <si>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</si>
  <si>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</si>
  <si>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</si>
  <si>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</si>
  <si>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</si>
  <si>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</si>
  <si>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</si>
  <si>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</si>
  <si>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</si>
  <si>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</si>
  <si>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RESULT:</t>
  </si>
  <si>
    <t>Moment</t>
  </si>
  <si>
    <t>Mn=</t>
  </si>
  <si>
    <t>N-m</t>
  </si>
  <si>
    <t>Mt=</t>
  </si>
  <si>
    <t>N-m</t>
  </si>
  <si>
    <t>flexural stress</t>
  </si>
  <si>
    <t>fbx=</t>
  </si>
  <si>
    <t>Mpa</t>
  </si>
  <si>
    <t>Fbx=</t>
  </si>
  <si>
    <t>Mpa</t>
  </si>
  <si>
    <t>fby=</t>
  </si>
  <si>
    <t>Mpa</t>
  </si>
  <si>
    <t>Fby=</t>
  </si>
  <si>
    <t>Mpa</t>
  </si>
  <si>
    <t>interaction equation</t>
  </si>
  <si>
    <t>deflection</t>
  </si>
  <si>
    <t>y allow    =</t>
  </si>
  <si>
    <t xml:space="preserve"> L / 180</t>
  </si>
  <si>
    <t>case#</t>
  </si>
  <si>
    <t>mm</t>
  </si>
  <si>
    <t>governs</t>
  </si>
  <si>
    <t>yn       =</t>
  </si>
  <si>
    <t>mm &lt;</t>
  </si>
  <si>
    <t>(fbx / Fbx )+ (fby / Fby)  &lt; =  1.0</t>
  </si>
  <si>
    <t>yt        =</t>
  </si>
  <si>
    <t>mm &lt;</t>
  </si>
  <si>
    <t xml:space="preserve"> &lt; =  1.0</t>
  </si>
  <si>
    <t>OTHER DATA INPUT</t>
  </si>
  <si>
    <t>a</t>
  </si>
  <si>
    <t xml:space="preserve">length of front side </t>
  </si>
  <si>
    <t>m</t>
  </si>
  <si>
    <t>b</t>
  </si>
  <si>
    <t xml:space="preserve">length of letf side </t>
  </si>
  <si>
    <t>m</t>
  </si>
  <si>
    <t>c</t>
  </si>
  <si>
    <t xml:space="preserve">length of right side </t>
  </si>
  <si>
    <t>m</t>
  </si>
  <si>
    <t xml:space="preserve">*mid sag rods </t>
  </si>
  <si>
    <t>Mt=Wt*L2/32</t>
  </si>
  <si>
    <t>d</t>
  </si>
  <si>
    <t xml:space="preserve">length of right side </t>
  </si>
  <si>
    <t>m</t>
  </si>
  <si>
    <t>*third point sag rods</t>
  </si>
  <si>
    <t>Mt=Wt*L2/90</t>
  </si>
  <si>
    <t>e</t>
  </si>
  <si>
    <t>spacing between purlins</t>
  </si>
  <si>
    <t>m</t>
  </si>
  <si>
    <t>f</t>
  </si>
  <si>
    <t>spacing between truss</t>
  </si>
  <si>
    <t>m</t>
  </si>
  <si>
    <t>g</t>
  </si>
  <si>
    <t>height of truss</t>
  </si>
  <si>
    <t>m</t>
  </si>
  <si>
    <t>h</t>
  </si>
  <si>
    <t>length of truss</t>
  </si>
  <si>
    <t>m</t>
  </si>
  <si>
    <t>I</t>
  </si>
  <si>
    <t>length of eaves</t>
  </si>
  <si>
    <t>m</t>
  </si>
  <si>
    <t>j</t>
  </si>
  <si>
    <t xml:space="preserve">weight of roofing </t>
  </si>
  <si>
    <t>kPa</t>
  </si>
  <si>
    <t>k</t>
  </si>
  <si>
    <t>weight of wood</t>
  </si>
  <si>
    <t>cum</t>
  </si>
  <si>
    <t>l</t>
  </si>
  <si>
    <t>LL</t>
  </si>
  <si>
    <t>&lt; or =30sqm</t>
  </si>
  <si>
    <t>Pa</t>
  </si>
  <si>
    <t>m</t>
  </si>
  <si>
    <t>P</t>
  </si>
  <si>
    <r>
      <rPr>
        <sz val="10"/>
        <rFont val="Arial"/>
        <family val="3"/>
      </rPr>
      <t>height of roof&lt;</t>
    </r>
    <r>
      <rPr>
        <sz val="10"/>
        <color indexed="10"/>
        <rFont val="Arial"/>
        <family val="3"/>
      </rPr>
      <t xml:space="preserve"> 6 M</t>
    </r>
  </si>
  <si>
    <t>Pa</t>
  </si>
  <si>
    <t>o</t>
  </si>
  <si>
    <t>slope</t>
  </si>
  <si>
    <t>arctan</t>
  </si>
  <si>
    <t>angle</t>
  </si>
  <si>
    <t>Fy</t>
  </si>
  <si>
    <t>yeild strength of steel</t>
  </si>
  <si>
    <t>Mpa</t>
  </si>
  <si>
    <t>E</t>
  </si>
  <si>
    <t>modulus of elasticity</t>
  </si>
  <si>
    <t>Gpa</t>
  </si>
  <si>
    <t>trial section</t>
  </si>
  <si>
    <t>c purlins</t>
  </si>
  <si>
    <t>DESIGNATION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</si>
  <si>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</si>
  <si>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</si>
  <si>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</si>
  <si>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</si>
  <si>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</si>
  <si>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</si>
  <si>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</si>
  <si>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</si>
  <si>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</si>
  <si>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</si>
  <si>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</si>
  <si>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</si>
  <si>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</si>
  <si>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</si>
  <si>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LC  65x30x15x1.2</t>
  </si>
  <si>
    <t>computation:</t>
  </si>
  <si>
    <t>design loads:</t>
  </si>
  <si>
    <t>1.DEAD LOADS</t>
  </si>
  <si>
    <t>wt of roofing</t>
  </si>
  <si>
    <t>DL</t>
  </si>
  <si>
    <t>kPa</t>
  </si>
  <si>
    <t>2.LIVE LOADS</t>
  </si>
  <si>
    <t>LL</t>
  </si>
  <si>
    <t>kPa</t>
  </si>
  <si>
    <t>3.WIND LOADS</t>
  </si>
  <si>
    <t>design winds:</t>
  </si>
  <si>
    <t>WL</t>
  </si>
  <si>
    <t>kPa</t>
  </si>
  <si>
    <t>normal loads:</t>
  </si>
  <si>
    <t>Wn</t>
  </si>
  <si>
    <t>DLn =</t>
  </si>
  <si>
    <t>N/m</t>
  </si>
  <si>
    <t>LLn =</t>
  </si>
  <si>
    <t>N/m</t>
  </si>
  <si>
    <t>WLn =</t>
  </si>
  <si>
    <t>N/m</t>
  </si>
  <si>
    <t>tangential loads:</t>
  </si>
  <si>
    <t>DLt =</t>
  </si>
  <si>
    <t>N/m</t>
  </si>
  <si>
    <t>LLn =</t>
  </si>
  <si>
    <t>N/m</t>
  </si>
  <si>
    <t>Load case # 1</t>
  </si>
  <si>
    <t>D+L</t>
  </si>
  <si>
    <t>Wn =</t>
  </si>
  <si>
    <t>N/m</t>
  </si>
  <si>
    <t>Wt =</t>
  </si>
  <si>
    <t>N/m</t>
  </si>
  <si>
    <t>Load casse # 2</t>
  </si>
  <si>
    <t>.75(D+L+W)</t>
  </si>
  <si>
    <t>Wn =</t>
  </si>
  <si>
    <t>N/m</t>
  </si>
  <si>
    <t>Wt =</t>
  </si>
  <si>
    <t>N/m</t>
  </si>
  <si>
    <t>Moments:</t>
  </si>
  <si>
    <t>Load case # 1</t>
  </si>
  <si>
    <t>Mt=Wt*L2/90</t>
  </si>
  <si>
    <t>Mn=</t>
  </si>
  <si>
    <t>N-m</t>
  </si>
  <si>
    <t>Mt=Wt*L2/90</t>
  </si>
  <si>
    <t>Mt=</t>
  </si>
  <si>
    <t>N-m</t>
  </si>
  <si>
    <t>Load case # 2</t>
  </si>
  <si>
    <t>Mn=</t>
  </si>
  <si>
    <t>Mt=</t>
  </si>
  <si>
    <t>Flexural strength:</t>
  </si>
  <si>
    <t>Load case # 1</t>
  </si>
  <si>
    <t>fbx =</t>
  </si>
  <si>
    <t>MPa</t>
  </si>
  <si>
    <t>fby =</t>
  </si>
  <si>
    <t>MPa</t>
  </si>
  <si>
    <t>Load case # 2</t>
  </si>
  <si>
    <t>fbx =</t>
  </si>
  <si>
    <t>MPa</t>
  </si>
  <si>
    <t>fby =</t>
  </si>
  <si>
    <t>MPa</t>
  </si>
  <si>
    <t>check if  compact section</t>
  </si>
  <si>
    <t>Fy=</t>
  </si>
  <si>
    <t>B/2tf  =</t>
  </si>
  <si>
    <t>170/(Fy)1/2 =</t>
  </si>
  <si>
    <t>B/2tf &lt; 170/sqrt(Fy)</t>
  </si>
  <si>
    <t>compact!!!</t>
  </si>
  <si>
    <t>Fbx=0.66Fy</t>
  </si>
  <si>
    <t>MPa</t>
  </si>
  <si>
    <t>Fby=0.60Fy</t>
  </si>
  <si>
    <t>MPa</t>
  </si>
  <si>
    <t>check interaction equation</t>
  </si>
  <si>
    <t>Load case # 1</t>
  </si>
  <si>
    <t>&lt; 1.0</t>
  </si>
  <si>
    <t>Load case # 2</t>
  </si>
  <si>
    <t>&lt; 1.0</t>
  </si>
  <si>
    <t>load case #1 critical</t>
  </si>
  <si>
    <t>check deflection:</t>
  </si>
  <si>
    <t>allow. Deflection = L/180</t>
  </si>
  <si>
    <t>mm</t>
  </si>
  <si>
    <t>Yn=5WnL4/384EIx</t>
  </si>
  <si>
    <t>mm</t>
  </si>
  <si>
    <t>&lt;</t>
  </si>
  <si>
    <t>Yt=5WtL4/384EIy</t>
  </si>
  <si>
    <t>mm</t>
  </si>
  <si>
    <t>&lt;</t>
  </si>
  <si>
    <t>TRUSS LOADING COMPUTATION LINK FROM PURLINS DESIGN</t>
  </si>
  <si>
    <t>ENTER DATA: ON COLORED CELL</t>
  </si>
  <si>
    <t>design wind P</t>
  </si>
  <si>
    <t>psf</t>
  </si>
  <si>
    <t>Pa</t>
  </si>
  <si>
    <t>Ht of roof</t>
  </si>
  <si>
    <t>m</t>
  </si>
  <si>
    <t>Pn  =            P(2sin0)/(1+sin20)</t>
  </si>
  <si>
    <t>Pa</t>
  </si>
  <si>
    <t>length of truss</t>
  </si>
  <si>
    <t>m</t>
  </si>
  <si>
    <t>WL</t>
  </si>
  <si>
    <t>=</t>
  </si>
  <si>
    <t>Pa</t>
  </si>
  <si>
    <t>ATAN</t>
  </si>
  <si>
    <t>angle</t>
  </si>
  <si>
    <t>degrees</t>
  </si>
  <si>
    <t>WL</t>
  </si>
  <si>
    <t>=</t>
  </si>
  <si>
    <t>N</t>
  </si>
  <si>
    <t>hyp</t>
  </si>
  <si>
    <t>m</t>
  </si>
  <si>
    <t>DLtop</t>
  </si>
  <si>
    <t>=</t>
  </si>
  <si>
    <t>wt roofing+wt purlins+wt truss</t>
  </si>
  <si>
    <t>sin 0</t>
  </si>
  <si>
    <t>2sin0</t>
  </si>
  <si>
    <t>DLbot</t>
  </si>
  <si>
    <t>=</t>
  </si>
  <si>
    <t>wt ceiling+wt bracing</t>
  </si>
  <si>
    <t>sin20</t>
  </si>
  <si>
    <t>cos 0</t>
  </si>
  <si>
    <t>LL</t>
  </si>
  <si>
    <t>=</t>
  </si>
  <si>
    <t>vertical</t>
  </si>
  <si>
    <t>spacing of purlins</t>
  </si>
  <si>
    <t>m</t>
  </si>
  <si>
    <t>spacing of truss</t>
  </si>
  <si>
    <t>m</t>
  </si>
  <si>
    <r>
      <rPr>
        <sz val="12"/>
        <color indexed="10"/>
        <rFont val="Comic Sans MS"/>
        <family val="0"/>
      </rPr>
      <t>bottom</t>
    </r>
    <r>
      <rPr>
        <sz val="12"/>
        <rFont val="Comic Sans MS"/>
        <family val="0"/>
      </rPr>
      <t xml:space="preserve"> joint panel </t>
    </r>
    <r>
      <rPr>
        <sz val="12"/>
        <color indexed="10"/>
        <rFont val="Comic Sans MS"/>
        <family val="0"/>
      </rPr>
      <t>length</t>
    </r>
    <r>
      <rPr>
        <sz val="12"/>
        <rFont val="Comic Sans MS"/>
        <family val="0"/>
      </rPr>
      <t xml:space="preserve"> max</t>
    </r>
  </si>
  <si>
    <t>m</t>
  </si>
  <si>
    <r>
      <rPr>
        <sz val="12"/>
        <color indexed="10"/>
        <rFont val="Comic Sans MS"/>
        <family val="0"/>
      </rPr>
      <t>top</t>
    </r>
    <r>
      <rPr>
        <sz val="12"/>
        <rFont val="Comic Sans MS"/>
        <family val="0"/>
      </rPr>
      <t xml:space="preserve"> joint panel </t>
    </r>
    <r>
      <rPr>
        <sz val="12"/>
        <color indexed="10"/>
        <rFont val="Comic Sans MS"/>
        <family val="0"/>
      </rPr>
      <t>length</t>
    </r>
    <r>
      <rPr>
        <sz val="12"/>
        <rFont val="Comic Sans MS"/>
        <family val="0"/>
      </rPr>
      <t xml:space="preserve"> max</t>
    </r>
  </si>
  <si>
    <t>m</t>
  </si>
  <si>
    <t>P top joint</t>
  </si>
  <si>
    <t>=</t>
  </si>
  <si>
    <t>KN</t>
  </si>
  <si>
    <r>
      <rPr>
        <sz val="12"/>
        <color indexed="10"/>
        <rFont val="Comic Sans MS"/>
        <family val="0"/>
      </rPr>
      <t xml:space="preserve"> bottom</t>
    </r>
    <r>
      <rPr>
        <sz val="12"/>
        <rFont val="Comic Sans MS"/>
        <family val="0"/>
      </rPr>
      <t xml:space="preserve"> tributary area</t>
    </r>
  </si>
  <si>
    <t>sqm</t>
  </si>
  <si>
    <t>Pbot joint</t>
  </si>
  <si>
    <t>=</t>
  </si>
  <si>
    <t>KN</t>
  </si>
  <si>
    <r>
      <rPr>
        <sz val="12"/>
        <color indexed="10"/>
        <rFont val="Comic Sans MS"/>
        <family val="0"/>
      </rPr>
      <t>top</t>
    </r>
    <r>
      <rPr>
        <sz val="12"/>
        <rFont val="Comic Sans MS"/>
        <family val="0"/>
      </rPr>
      <t xml:space="preserve"> tributary area</t>
    </r>
  </si>
  <si>
    <t>sqm</t>
  </si>
  <si>
    <t>assumed truss wt</t>
  </si>
  <si>
    <t>=.5+.075L</t>
  </si>
  <si>
    <t>hor surface lb/sqft</t>
  </si>
  <si>
    <t>hor surface  Pa</t>
  </si>
  <si>
    <t>ceiling load</t>
  </si>
  <si>
    <t>psf</t>
  </si>
  <si>
    <t>Pa</t>
  </si>
  <si>
    <t>Type of section</t>
  </si>
  <si>
    <t>:</t>
  </si>
  <si>
    <t>LC-Shape</t>
  </si>
  <si>
    <t>Slope of roofing</t>
  </si>
  <si>
    <t>:</t>
  </si>
  <si>
    <t>Spacing of purlins</t>
  </si>
  <si>
    <t>:</t>
  </si>
  <si>
    <t>m</t>
  </si>
  <si>
    <t>loadings:</t>
  </si>
  <si>
    <t>Weight of roofing</t>
  </si>
  <si>
    <t>:</t>
  </si>
  <si>
    <t>Pa</t>
  </si>
  <si>
    <t>Yeild strength of steel</t>
  </si>
  <si>
    <t>:</t>
  </si>
  <si>
    <t>Mpa</t>
  </si>
  <si>
    <t>Modulus of Elasticity</t>
  </si>
  <si>
    <t>:</t>
  </si>
  <si>
    <t>Gpa</t>
  </si>
  <si>
    <t>TABLE 2.1C - Minimum Roof Live Loads</t>
  </si>
  <si>
    <t>Wind load:</t>
  </si>
  <si>
    <t>Tributary loaded area for any structural member</t>
  </si>
  <si>
    <r>
      <rPr>
        <sz val="10"/>
        <rFont val="Arial"/>
        <family val="3"/>
      </rPr>
      <t xml:space="preserve">Wind stagnation pressure, </t>
    </r>
    <r>
      <rPr>
        <b/>
        <sz val="10"/>
        <rFont val="Arial"/>
        <family val="3"/>
      </rPr>
      <t>qs</t>
    </r>
  </si>
  <si>
    <t>Roof slope</t>
  </si>
  <si>
    <t>0 to 20 sqm (Pa)</t>
  </si>
  <si>
    <t>21 to 20 sqm (Pa)</t>
  </si>
  <si>
    <t>Over 60 sqm (Pa)</t>
  </si>
  <si>
    <r>
      <rPr>
        <sz val="10"/>
        <rFont val="Arial"/>
        <family val="0"/>
      </rPr>
      <t xml:space="preserve">Comined ht., exposure &amp; gust coefficient, </t>
    </r>
    <r>
      <rPr>
        <b/>
        <sz val="10"/>
        <rFont val="Arial"/>
        <family val="0"/>
      </rPr>
      <t>Ce</t>
    </r>
  </si>
  <si>
    <t>Flat or rise less than 1 vertical to 3 horizontal; arch or dome with rise less than 1/8 of span</t>
  </si>
  <si>
    <r>
      <rPr>
        <sz val="10"/>
        <rFont val="Arial"/>
        <family val="0"/>
      </rPr>
      <t xml:space="preserve">Pressure coefficient, </t>
    </r>
    <r>
      <rPr>
        <b/>
        <sz val="10"/>
        <rFont val="Arial"/>
        <family val="0"/>
      </rPr>
      <t>Cq</t>
    </r>
  </si>
  <si>
    <t>rise 1 vertical per 3 horizontal to less than 1 horizontal; arch or dome with rise less than 1/8 of span to less than 3/8 of span</t>
  </si>
  <si>
    <r>
      <rPr>
        <sz val="10"/>
        <rFont val="Arial"/>
        <family val="0"/>
      </rPr>
      <t>Importance factor,</t>
    </r>
    <r>
      <rPr>
        <b/>
        <sz val="10"/>
        <rFont val="Arial"/>
        <family val="0"/>
      </rPr>
      <t>I</t>
    </r>
  </si>
  <si>
    <t>rise 1 vertical 1 horizontal; arch or dome with rise 3/8 of span greater</t>
  </si>
  <si>
    <t>DESIGN WIND PRESSURE,P=Ce x Cq x qs x  I</t>
  </si>
  <si>
    <t>Awning except cloth covered</t>
  </si>
  <si>
    <t>Green houses, lathhouses and agricultural building</t>
  </si>
  <si>
    <t>TABLE 2 – J – Combined height, exposure and gust factor coefficient (Ce)</t>
  </si>
  <si>
    <t>Height above average level of adjoining ground (m)</t>
  </si>
  <si>
    <t>Exposure D</t>
  </si>
  <si>
    <t>Exposure C</t>
  </si>
  <si>
    <t>Exposure B</t>
  </si>
  <si>
    <t>0-5.00</t>
  </si>
  <si>
    <t>*Values for intermediate height above 5 meters may be interpolated</t>
  </si>
  <si>
    <t>Table 3 – WIND SPEEDS (KPH)</t>
  </si>
  <si>
    <t>Zone</t>
  </si>
  <si>
    <t>I</t>
  </si>
  <si>
    <t>II</t>
  </si>
  <si>
    <t>III</t>
  </si>
  <si>
    <t xml:space="preserve">Basic wind speed </t>
  </si>
  <si>
    <t>'qs, wind stagnation pressure</t>
  </si>
  <si>
    <t>Table 4 – Importance factor I</t>
  </si>
  <si>
    <t>Occupancy category</t>
  </si>
  <si>
    <t>Description</t>
  </si>
  <si>
    <t>I</t>
  </si>
  <si>
    <t>I</t>
  </si>
  <si>
    <t>Essential</t>
  </si>
  <si>
    <t>II</t>
  </si>
  <si>
    <t>Hazardous</t>
  </si>
  <si>
    <t>III</t>
  </si>
  <si>
    <t>Special occupancy</t>
  </si>
  <si>
    <t>IV</t>
  </si>
  <si>
    <t>Standard occupancy</t>
  </si>
  <si>
    <t>V</t>
  </si>
  <si>
    <t>Miscellaneous</t>
  </si>
  <si>
    <t>DESIG</t>
  </si>
  <si>
    <t>H</t>
  </si>
  <si>
    <t>B</t>
  </si>
  <si>
    <t>TW</t>
  </si>
  <si>
    <t>TF</t>
  </si>
  <si>
    <t>A</t>
  </si>
  <si>
    <t>W</t>
  </si>
  <si>
    <t>XC</t>
  </si>
  <si>
    <t>YC</t>
  </si>
  <si>
    <t>IX</t>
  </si>
  <si>
    <t>IY</t>
  </si>
  <si>
    <t>SX</t>
  </si>
  <si>
    <t>SY</t>
  </si>
  <si>
    <t>ASEP</t>
  </si>
  <si>
    <t>BSTRESS</t>
  </si>
  <si>
    <t>W 175 x 40.2</t>
  </si>
  <si>
    <t>W 150 x 31.5</t>
  </si>
  <si>
    <t>W 150 x 21.1</t>
  </si>
  <si>
    <t>W 150 x 14.0</t>
  </si>
  <si>
    <t>W 125 x 23.8</t>
  </si>
  <si>
    <t>W 125 x 13.2</t>
  </si>
  <si>
    <t>W 100 x 17.2</t>
  </si>
  <si>
    <t>W 100 x  9.3</t>
  </si>
  <si>
    <t>I 200 x 50.4</t>
  </si>
  <si>
    <t>I 200 x 26.0</t>
  </si>
  <si>
    <t>I 180 x 23.6</t>
  </si>
  <si>
    <t>I 150 x 36.2</t>
  </si>
  <si>
    <t>I 150 x 17.1</t>
  </si>
  <si>
    <t>I 100 x 16.1</t>
  </si>
  <si>
    <t>I 100 x 12.9</t>
  </si>
  <si>
    <t>C 180 x 21.4</t>
  </si>
  <si>
    <t>C 150 x 24.0</t>
  </si>
  <si>
    <t>C 150 x 18.6</t>
  </si>
  <si>
    <t>C 125 x 13.4</t>
  </si>
  <si>
    <t>C 100 x  9.4</t>
  </si>
  <si>
    <t>C  75 x  6.9</t>
  </si>
  <si>
    <t>LZ 255x90x25x4.7</t>
  </si>
  <si>
    <t>LZ 255x90x25x4.5</t>
  </si>
  <si>
    <t>LZ 255x90x25x4.3</t>
  </si>
  <si>
    <t>LZ 255x90x25x4.0</t>
  </si>
  <si>
    <t>LZ 255x90x25x3.2</t>
  </si>
  <si>
    <t>LZ 255x90x25x2.9</t>
  </si>
  <si>
    <t>LZ 220x75x25x4.7</t>
  </si>
  <si>
    <t>LZ 220x75x25x4.5</t>
  </si>
  <si>
    <t>LZ 220x75x25x4.3</t>
  </si>
  <si>
    <t>LZ 220x75x25x4.0</t>
  </si>
  <si>
    <t>LZ 220x75x25x3.2</t>
  </si>
  <si>
    <t>LZ 220x75x25x2.9</t>
  </si>
  <si>
    <t>LZ 220x75x25x2.6</t>
  </si>
  <si>
    <t>LZ 220x75x25x2.3</t>
  </si>
  <si>
    <t>LZ 200x75x25x4.0</t>
  </si>
  <si>
    <t>LZ 200x75x25x3.2</t>
  </si>
  <si>
    <t>LZ 200x75x20x4.0</t>
  </si>
  <si>
    <t>LZ 200x75x20x3.2</t>
  </si>
  <si>
    <t>LZ 200x70x20x4.7</t>
  </si>
  <si>
    <t>LZ 200x70x20x4.5</t>
  </si>
  <si>
    <t>LZ 200x70x20x4.3</t>
  </si>
  <si>
    <t>LZ 200x70x20x4.0</t>
  </si>
  <si>
    <t>LZ 200x70x20x3.2</t>
  </si>
  <si>
    <t>LZ 200x70x20x2.9</t>
  </si>
  <si>
    <t>LZ 200x70x20x2.6</t>
  </si>
  <si>
    <t>LZ 200x70x20x2.3</t>
  </si>
  <si>
    <t>LZ 200x70x20x2.0</t>
  </si>
  <si>
    <t>LZ 200x70x20x1.8</t>
  </si>
  <si>
    <t>LZ 200x70x20x1.6</t>
  </si>
  <si>
    <t>LZ 185x50x20x3.2</t>
  </si>
  <si>
    <t>LZ 185x50x20x2.3</t>
  </si>
  <si>
    <t>LZ 185x50x20x2.0</t>
  </si>
  <si>
    <t>LZ 175x50x20x4.3</t>
  </si>
  <si>
    <t>LZ 175x50x20x4.0</t>
  </si>
  <si>
    <t>LZ 175x50x20x3.2</t>
  </si>
  <si>
    <t>LZ 175x50x20x2.9</t>
  </si>
  <si>
    <t>LZ 175x50x20x2.6</t>
  </si>
  <si>
    <t>LZ 175x50x20x2.3</t>
  </si>
  <si>
    <t>LZ 175x50x20x2.0</t>
  </si>
  <si>
    <t>LZ 175x50x20x1.8</t>
  </si>
  <si>
    <t>LZ 175x50x20x1.6</t>
  </si>
  <si>
    <t>LZ 150x75x25x4.0</t>
  </si>
  <si>
    <t>LZ 150x75x25x3.2</t>
  </si>
  <si>
    <t>LZ 150x75x20x4.0</t>
  </si>
  <si>
    <t>LZ 150x75x20x3.2</t>
  </si>
  <si>
    <t>LZ 150x65x20x4.0</t>
  </si>
  <si>
    <t>LZ 150x65x20x3.2</t>
  </si>
  <si>
    <t>LZ 150x65x20x2.3</t>
  </si>
  <si>
    <t>LZ 150x50x20x3.2</t>
  </si>
  <si>
    <t>LZ 150x50x20x2.3</t>
  </si>
  <si>
    <t>LZ 150x50x18x4.3</t>
  </si>
  <si>
    <t>LZ 150x50x18x4.0</t>
  </si>
  <si>
    <t>LZ 150x50x18x3.2</t>
  </si>
  <si>
    <t>LZ 150x50x18x2.9</t>
  </si>
  <si>
    <t>LZ 150x50x18x2.6</t>
  </si>
  <si>
    <t>LZ 150x50x18x2.3</t>
  </si>
  <si>
    <t>LZ 150x50x18x2.0</t>
  </si>
  <si>
    <t>LZ 150x50x18x1.8</t>
  </si>
  <si>
    <t>LZ 150x50x18x1.6</t>
  </si>
  <si>
    <t>LZ 125x50x20x4.0</t>
  </si>
  <si>
    <t>LZ 125x50x20x3.2</t>
  </si>
  <si>
    <t>LZ 125x50x20x2.3</t>
  </si>
  <si>
    <t>LZ 125x50x15x4.3</t>
  </si>
  <si>
    <t>LZ 125x50x15x4.0</t>
  </si>
  <si>
    <t>LZ 125x50x15x3.2</t>
  </si>
  <si>
    <t>LZ 125x50x15x2.9</t>
  </si>
  <si>
    <t>LZ 125x50x15x2.6</t>
  </si>
  <si>
    <t>LZ 125x50x15x2.3</t>
  </si>
  <si>
    <t>LZ 125x50x15x2.0</t>
  </si>
  <si>
    <t>LZ 125x50x15x1.8</t>
  </si>
  <si>
    <t>LZ 125x50x15x1.6</t>
  </si>
  <si>
    <t>LZ 125x50x15x1.4</t>
  </si>
  <si>
    <t>LZ 125x50x15x1.2</t>
  </si>
  <si>
    <t>LZ 120x60x20x3.2</t>
  </si>
  <si>
    <t>LZ 120x60x20x2.3</t>
  </si>
  <si>
    <t>LZ 120x40x20x3.2</t>
  </si>
  <si>
    <t>LZ 100x50x15x3.2</t>
  </si>
  <si>
    <t>LZ 100x50x15x2.9</t>
  </si>
  <si>
    <t>LZ 100x50x15x2.6</t>
  </si>
  <si>
    <t>LZ 100x50x15x2.3</t>
  </si>
  <si>
    <t>LZ 100x50x15x2.0</t>
  </si>
  <si>
    <t>LZ 100x50x15x1.8</t>
  </si>
  <si>
    <t>LZ 100x50x15x1.6</t>
  </si>
  <si>
    <t>LZ 100x50x15x1.4</t>
  </si>
  <si>
    <t>LZ 100x50x15x1.2</t>
  </si>
  <si>
    <t>LZ  90x45x15x3.2</t>
  </si>
  <si>
    <t>LZ  90x45x15x2.9</t>
  </si>
  <si>
    <t>LZ  90x45x15x2.6</t>
  </si>
  <si>
    <t>LZ  90x45x15x2.3</t>
  </si>
  <si>
    <t>LZ  90x45x15x2.0</t>
  </si>
  <si>
    <t>LZ  90x45x15x1.8</t>
  </si>
  <si>
    <t>LZ  90x45x15x1.6</t>
  </si>
  <si>
    <t>LZ  90x45x15x1.4</t>
  </si>
  <si>
    <t>LZ  90x45x15x1.2</t>
  </si>
  <si>
    <t>LZ  75x38x15x2.6</t>
  </si>
  <si>
    <t>LZ  75x38x15x2.3</t>
  </si>
  <si>
    <t>LZ  75x38x15x2.0</t>
  </si>
  <si>
    <t>LZ  75x38x15x1.8</t>
  </si>
  <si>
    <t>LZ  75x38x15x1.6</t>
  </si>
  <si>
    <t>LZ  75x38x15x1.4</t>
  </si>
  <si>
    <t>LZ  75x38x15x1.2</t>
  </si>
  <si>
    <t>LZ  65x30x15x2.6</t>
  </si>
  <si>
    <t>LZ  65x30x15x2.3</t>
  </si>
  <si>
    <t>LZ  65x30x15x2.0</t>
  </si>
  <si>
    <t>LZ  65x30x15x1.8</t>
  </si>
  <si>
    <t>LZ  65x30x15x1.6</t>
  </si>
  <si>
    <t>LZ  65x30x15x1.4</t>
  </si>
  <si>
    <t>LZ  65x30x15x1.2</t>
  </si>
  <si>
    <t>LC 255x90x25x4.7</t>
  </si>
  <si>
    <t>LC 255x90x25x4.5</t>
  </si>
  <si>
    <t>LC 255x90x25x4.3</t>
  </si>
  <si>
    <t>LC 255x90x25x4.0</t>
  </si>
  <si>
    <t>LC 255x90x25x3.2</t>
  </si>
  <si>
    <t>LC 255x90x25x2.9</t>
  </si>
  <si>
    <t>LC 220x75x25x4.7</t>
  </si>
  <si>
    <t>LC 220x75x25x4.5</t>
  </si>
  <si>
    <t>LC 220x75x25x4.3</t>
  </si>
  <si>
    <t>LC 220x75x25x4.0</t>
  </si>
  <si>
    <t>LC 220x75x25x3.2</t>
  </si>
  <si>
    <t>LC 220x75x25x2.9</t>
  </si>
  <si>
    <t>LC 220x75x25x2.6</t>
  </si>
  <si>
    <t>LC 220x75x25x2.3</t>
  </si>
  <si>
    <t>LC 200x75x25x4.0</t>
  </si>
  <si>
    <t>LC 200x75x25x3.2</t>
  </si>
  <si>
    <t>LC 200x75x20x4.0</t>
  </si>
  <si>
    <t>LC 200x75x20x3.2</t>
  </si>
  <si>
    <t>LC 200x70x20x4.7</t>
  </si>
  <si>
    <t>LC 200x70x20x4.5</t>
  </si>
  <si>
    <t>LC 200x70x20x4.3</t>
  </si>
  <si>
    <t>LC 200x70x20x4.0</t>
  </si>
  <si>
    <t>LC 200x70x20x3.2</t>
  </si>
  <si>
    <t>LC 200x70x20x2.9</t>
  </si>
  <si>
    <t>LC 200x70x20x2.6</t>
  </si>
  <si>
    <t>LC 200x70x20x2.3</t>
  </si>
  <si>
    <t>LC 200x70x20x2.0</t>
  </si>
  <si>
    <t>LC 200x70x20x1.8</t>
  </si>
  <si>
    <t>LC 200x70x20x1.6</t>
  </si>
  <si>
    <t>LC 185x50x20x3.2</t>
  </si>
  <si>
    <t>LC 185x50x20x2.3</t>
  </si>
  <si>
    <t>LC 185x50x20x2.0</t>
  </si>
  <si>
    <t>LC 175x50x20x4.3</t>
  </si>
  <si>
    <t>LC 175x50x20x4.0</t>
  </si>
  <si>
    <t>LC 175x50x20x3.2</t>
  </si>
  <si>
    <t>LC 175x50x20x2.9</t>
  </si>
  <si>
    <t>LC 175x50x20x2.6</t>
  </si>
  <si>
    <t>LC 175x50x20x2.3</t>
  </si>
  <si>
    <t>LC 175x50x20x2.0</t>
  </si>
  <si>
    <t>LC 175x50x20x1.8</t>
  </si>
  <si>
    <t>LC 175x50x20x1.6</t>
  </si>
  <si>
    <t>LC 150x75x25x4.0</t>
  </si>
  <si>
    <t>LC 150x75x25x3.2</t>
  </si>
  <si>
    <t>LC 150x75x20x4.0</t>
  </si>
  <si>
    <t>LC 150x75x20x3.2</t>
  </si>
  <si>
    <t>LC 150x65x20x4.0</t>
  </si>
  <si>
    <t>LC 150x65x20x3.2</t>
  </si>
  <si>
    <t>LC 150x65x20x2.3</t>
  </si>
  <si>
    <t>LC 150x50x20x3.2</t>
  </si>
  <si>
    <t>LC 150x50x20x2.3</t>
  </si>
  <si>
    <t>LC 150x50x18x4.3</t>
  </si>
  <si>
    <t>LC 150x50x18x4.0</t>
  </si>
  <si>
    <t>LC 150x50x18x3.2</t>
  </si>
  <si>
    <t>LC 150x50x18x2.9</t>
  </si>
  <si>
    <t>LC 150x50x18x2.6</t>
  </si>
  <si>
    <t>LC 150x50x18x2.3</t>
  </si>
  <si>
    <t>LC 150x50x18x2.0</t>
  </si>
  <si>
    <t>LC 150x50x18x1.8</t>
  </si>
  <si>
    <t>LC 150x50x18x1.6</t>
  </si>
  <si>
    <t>LC 125x50x20x4.0</t>
  </si>
  <si>
    <t>LC 125x50x20x3.2</t>
  </si>
  <si>
    <t>LC 125x50x20x2.3</t>
  </si>
  <si>
    <t>LC 125x50x15x4.3</t>
  </si>
  <si>
    <t>LC 125x50x15x4.0</t>
  </si>
  <si>
    <t>LC 125x50x15x3.2</t>
  </si>
  <si>
    <t>LC 125x50x15x2.9</t>
  </si>
  <si>
    <t>LC 125x50x15x2.6</t>
  </si>
  <si>
    <t>LC 125x50x15x2.3</t>
  </si>
  <si>
    <t>LC 125x50x15x2.0</t>
  </si>
  <si>
    <t>LC 125x50x15x1.8</t>
  </si>
  <si>
    <t>LC 125x50x15x1.6</t>
  </si>
  <si>
    <t>LC 125x50x15x1.4</t>
  </si>
  <si>
    <t>LC 125x50x15x1.2</t>
  </si>
  <si>
    <t>LC 120x60x20x3.2</t>
  </si>
  <si>
    <t>LC 120x60x20x2.3</t>
  </si>
  <si>
    <t>LC 120x40x20x3.2</t>
  </si>
  <si>
    <t>LC 100x50x15x3.2</t>
  </si>
  <si>
    <t>LC 100x50x15x2.9</t>
  </si>
  <si>
    <t>LC 100x50x15x2.6</t>
  </si>
  <si>
    <t>LC 100x50x15x2.3</t>
  </si>
  <si>
    <t>LC 100x50x15x2.0</t>
  </si>
  <si>
    <t>LC 100x50x15x1.8</t>
  </si>
  <si>
    <t>LC 100x50x15x1.6</t>
  </si>
  <si>
    <t>LC 100x50x15x1.4</t>
  </si>
  <si>
    <t>LC 100x50x15x1.2</t>
  </si>
  <si>
    <t>LC  90x45x15x3.2</t>
  </si>
  <si>
    <t>LC  90x45x15x2.9</t>
  </si>
  <si>
    <t>LC  90x45x15x2.6</t>
  </si>
  <si>
    <t>LC  90x45x15x2.3</t>
  </si>
  <si>
    <t>LC  90x45x15x2.0</t>
  </si>
  <si>
    <t>LC  90x45x15x1.8</t>
  </si>
  <si>
    <t>LC  90x45x15x1.6</t>
  </si>
  <si>
    <t>LC  90x45x15x1.4</t>
  </si>
  <si>
    <t>LC  90x45x15x1.2</t>
  </si>
  <si>
    <t>LC  75x38x15x2.6</t>
  </si>
  <si>
    <t>LC  75x38x15x2.3</t>
  </si>
  <si>
    <t>LC  75x38x15x2.0</t>
  </si>
  <si>
    <t>LC  75x38x15x1.8</t>
  </si>
  <si>
    <t>LC  75x38x15x1.6</t>
  </si>
  <si>
    <t>LC  75x38x15x1.4</t>
  </si>
  <si>
    <t>LC  75x38x15x1.2</t>
  </si>
  <si>
    <t>LC  65x30x15x2.6</t>
  </si>
  <si>
    <t>LC  65x30x15x2.3</t>
  </si>
  <si>
    <t>LC  65x30x15x2.0</t>
  </si>
  <si>
    <t>LC  65x30x15x1.8</t>
  </si>
  <si>
    <t>LC  65x30x15x1.6</t>
  </si>
  <si>
    <t>LC  65x30x15x1.4</t>
  </si>
  <si>
    <t>LC  65x30x15x1.2</t>
  </si>
  <si>
    <t>TYPE</t>
  </si>
  <si>
    <t>W</t>
  </si>
  <si>
    <t>FB</t>
  </si>
  <si>
    <t>FV</t>
  </si>
  <si>
    <t>E</t>
  </si>
  <si>
    <t>Apitong</t>
  </si>
  <si>
    <t>Guijo</t>
  </si>
  <si>
    <t>Mahogany</t>
  </si>
  <si>
    <t>Mayapis</t>
  </si>
  <si>
    <t>Molave</t>
  </si>
  <si>
    <t>Narra</t>
  </si>
  <si>
    <t>Lauan</t>
  </si>
  <si>
    <t>Tanguile</t>
  </si>
  <si>
    <t>W.Lauan</t>
  </si>
  <si>
    <t>Yakal</t>
  </si>
  <si>
    <t>PROJECT :</t>
  </si>
  <si>
    <t>A TWO STOREY 6 UNITS APARTMENT</t>
  </si>
  <si>
    <t>LOCATION:</t>
  </si>
  <si>
    <t>B-12, L-21, GR-1</t>
  </si>
  <si>
    <t>OWNER   :</t>
  </si>
  <si>
    <t>ESTELLITA RAYMUNDO</t>
  </si>
  <si>
    <t>SUBJECT :</t>
  </si>
  <si>
    <t>PURLINS DESIGN - WOOD</t>
  </si>
  <si>
    <t>Design Criteria:</t>
  </si>
  <si>
    <t>Design Loads:</t>
  </si>
  <si>
    <t xml:space="preserve">Height of truss (m) </t>
  </si>
  <si>
    <t>Dead loads:</t>
  </si>
  <si>
    <t xml:space="preserve">Length of truss (m) </t>
  </si>
  <si>
    <t xml:space="preserve">G.I. Roofing (Pa) </t>
  </si>
  <si>
    <t xml:space="preserve">Spacing of truss (m) </t>
  </si>
  <si>
    <t xml:space="preserve">Live loads (Pa) </t>
  </si>
  <si>
    <t>Pitch</t>
  </si>
  <si>
    <t>Wind loads</t>
  </si>
  <si>
    <t xml:space="preserve">Spacing of purlins (m) </t>
  </si>
  <si>
    <r>
      <rPr>
        <sz val="10"/>
        <rFont val="Arial"/>
        <family val="0"/>
      </rPr>
      <t>Wind stagnation press.,</t>
    </r>
    <r>
      <rPr>
        <b/>
        <sz val="10"/>
        <rFont val="Arial"/>
        <family val="0"/>
      </rPr>
      <t xml:space="preserve">qs </t>
    </r>
    <r>
      <rPr>
        <sz val="10"/>
        <rFont val="Arial"/>
        <family val="0"/>
      </rPr>
      <t>(Pa)</t>
    </r>
    <r>
      <rPr>
        <b/>
        <sz val="10"/>
        <rFont val="Arial"/>
        <family val="0"/>
      </rPr>
      <t xml:space="preserve"> </t>
    </r>
  </si>
  <si>
    <t xml:space="preserve">ht. of roof (m) </t>
  </si>
  <si>
    <t>Combined Ht., exposure</t>
  </si>
  <si>
    <t xml:space="preserve">Wind zone </t>
  </si>
  <si>
    <t>II</t>
  </si>
  <si>
    <r>
      <rPr>
        <sz val="10"/>
        <rFont val="Arial"/>
        <family val="0"/>
      </rPr>
      <t xml:space="preserve">  &amp; Gust coefficient, </t>
    </r>
    <r>
      <rPr>
        <b/>
        <sz val="10"/>
        <rFont val="Arial"/>
        <family val="0"/>
      </rPr>
      <t>Ce</t>
    </r>
  </si>
  <si>
    <t xml:space="preserve">Exposure category </t>
  </si>
  <si>
    <t>B</t>
  </si>
  <si>
    <r>
      <rPr>
        <sz val="10"/>
        <rFont val="Arial"/>
        <family val="0"/>
      </rPr>
      <t xml:space="preserve">Pressure coefficient </t>
    </r>
    <r>
      <rPr>
        <b/>
        <sz val="10"/>
        <rFont val="Arial"/>
        <family val="0"/>
      </rPr>
      <t>Cq</t>
    </r>
  </si>
  <si>
    <t xml:space="preserve">Importance factor. I </t>
  </si>
  <si>
    <t xml:space="preserve">Mod of elasticity of wood (Gpa) </t>
  </si>
  <si>
    <r>
      <rPr>
        <b/>
        <sz val="10"/>
        <rFont val="Arial"/>
        <family val="0"/>
      </rPr>
      <t xml:space="preserve">Design wind pressure, P </t>
    </r>
    <r>
      <rPr>
        <sz val="10"/>
        <rFont val="Arial"/>
        <family val="0"/>
      </rPr>
      <t>(Pa)</t>
    </r>
  </si>
  <si>
    <t xml:space="preserve">Yield strength of wood (Mpa) </t>
  </si>
  <si>
    <t xml:space="preserve">CeCqqsi = </t>
  </si>
  <si>
    <t>Trial section</t>
  </si>
  <si>
    <t>RESULTS</t>
  </si>
  <si>
    <t>SHEAR</t>
  </si>
  <si>
    <t>FLEXURE</t>
  </si>
  <si>
    <t>DEFLECTION</t>
  </si>
  <si>
    <t>Width (mm)</t>
  </si>
  <si>
    <t>Depth (mm)</t>
  </si>
  <si>
    <t>LOAD CASE 1</t>
  </si>
  <si>
    <t>Moment of inertia</t>
  </si>
  <si>
    <r>
      <rPr>
        <sz val="10.5"/>
        <rFont val="Arial"/>
        <family val="0"/>
      </rPr>
      <t>mm</t>
    </r>
    <r>
      <rPr>
        <sz val="10"/>
        <rFont val="Arial"/>
        <family val="0"/>
      </rPr>
      <t>4</t>
    </r>
  </si>
  <si>
    <t>LOAD CASE 2</t>
  </si>
  <si>
    <t>Ix</t>
  </si>
  <si>
    <t>Design Computation:</t>
  </si>
  <si>
    <t>Iy</t>
  </si>
  <si>
    <t>Normal loads</t>
  </si>
  <si>
    <t>Wn</t>
  </si>
  <si>
    <t>DL =</t>
  </si>
  <si>
    <t>N/m</t>
  </si>
  <si>
    <t>Wood Properties</t>
  </si>
  <si>
    <t>LL =</t>
  </si>
  <si>
    <t>N/m</t>
  </si>
  <si>
    <t>Type of wood</t>
  </si>
  <si>
    <t>Apitong</t>
  </si>
  <si>
    <t>WL =</t>
  </si>
  <si>
    <t>N/m</t>
  </si>
  <si>
    <t xml:space="preserve">Weight of wood (KN/m3) </t>
  </si>
  <si>
    <t>Tangential loads</t>
  </si>
  <si>
    <t>Wt</t>
  </si>
  <si>
    <t xml:space="preserve">Allow. Bending stress (Mpa) </t>
  </si>
  <si>
    <t xml:space="preserve">Allow. Shear stress (Mpa) </t>
  </si>
  <si>
    <t>DL =</t>
  </si>
  <si>
    <t>N/m</t>
  </si>
  <si>
    <t xml:space="preserve">Modulus of elasticity (Gpa) </t>
  </si>
  <si>
    <t>LL =</t>
  </si>
  <si>
    <t>N/m</t>
  </si>
  <si>
    <t>LOAD ANALYSIS</t>
  </si>
  <si>
    <t>Load case</t>
  </si>
  <si>
    <t>Design Load</t>
  </si>
  <si>
    <t>Design shear</t>
  </si>
  <si>
    <t>Design moment</t>
  </si>
  <si>
    <t>Wn (N/m)</t>
  </si>
  <si>
    <t>Wt (N/m)</t>
  </si>
  <si>
    <t>V (N)</t>
  </si>
  <si>
    <t>V (N)</t>
  </si>
  <si>
    <t>Mn (N-m)</t>
  </si>
  <si>
    <t>Mt (N-m)</t>
  </si>
  <si>
    <t>D + L</t>
  </si>
  <si>
    <t>0.75( D+L+W)</t>
  </si>
  <si>
    <t>Load case</t>
  </si>
  <si>
    <t>Shear strength</t>
  </si>
  <si>
    <t>Fy actual</t>
  </si>
  <si>
    <t>Fy allow</t>
  </si>
  <si>
    <t>Remarks</t>
  </si>
  <si>
    <t>D + L</t>
  </si>
  <si>
    <t>2.75( D+L+W)</t>
  </si>
  <si>
    <t>Load case</t>
  </si>
  <si>
    <t>Fflexural strenght</t>
  </si>
  <si>
    <t>Total Fb (actual)</t>
  </si>
  <si>
    <t>Fb (allow)</t>
  </si>
  <si>
    <t>Remarks</t>
  </si>
  <si>
    <t>Fn (Mpa)</t>
  </si>
  <si>
    <t>Fn (Mpa)</t>
  </si>
  <si>
    <t>Mpa</t>
  </si>
  <si>
    <t>Mpa</t>
  </si>
  <si>
    <t>D + L</t>
  </si>
  <si>
    <t>2.75( D+L+W)</t>
  </si>
  <si>
    <t>Load case</t>
  </si>
  <si>
    <t>Deflection Y (mm)</t>
  </si>
  <si>
    <t>Remarks</t>
  </si>
  <si>
    <t>Yn</t>
  </si>
  <si>
    <t>Yt</t>
  </si>
  <si>
    <t>Y actual</t>
  </si>
  <si>
    <t>Y Allow</t>
  </si>
  <si>
    <t>D + L</t>
  </si>
  <si>
    <t>3.75( D+L+W)</t>
  </si>
  <si>
    <t>PROJECT :</t>
  </si>
  <si>
    <t>LOCATION:</t>
  </si>
  <si>
    <t>OWNER   :</t>
  </si>
  <si>
    <t>SUBJECT :</t>
  </si>
  <si>
    <t>DESIGN OF PURLINS</t>
  </si>
  <si>
    <t>Date:</t>
  </si>
  <si>
    <t>Given</t>
  </si>
  <si>
    <t>Height of truss</t>
  </si>
  <si>
    <t>m.</t>
  </si>
  <si>
    <r>
      <rPr>
        <sz val="10"/>
        <rFont val="Arial"/>
        <family val="0"/>
      </rPr>
      <t xml:space="preserve">Normal loads, </t>
    </r>
    <r>
      <rPr>
        <b/>
        <sz val="10"/>
        <rFont val="Arial"/>
        <family val="0"/>
      </rPr>
      <t>Wn:</t>
    </r>
  </si>
  <si>
    <t>Length of truss</t>
  </si>
  <si>
    <t>m.</t>
  </si>
  <si>
    <t>Spacing of truss</t>
  </si>
  <si>
    <t>m.</t>
  </si>
  <si>
    <t>DL =</t>
  </si>
  <si>
    <t>N/m</t>
  </si>
  <si>
    <t>Slope of roofing</t>
  </si>
  <si>
    <t>m.</t>
  </si>
  <si>
    <t>LL =</t>
  </si>
  <si>
    <t>N/m</t>
  </si>
  <si>
    <t>Spacing of purlins</t>
  </si>
  <si>
    <t>m.</t>
  </si>
  <si>
    <t>WL =</t>
  </si>
  <si>
    <t>N/m</t>
  </si>
  <si>
    <t>ht. of roof</t>
  </si>
  <si>
    <t>m.</t>
  </si>
  <si>
    <t>Wind zone</t>
  </si>
  <si>
    <t>II</t>
  </si>
  <si>
    <t>Exposure category</t>
  </si>
  <si>
    <t>B</t>
  </si>
  <si>
    <r>
      <rPr>
        <sz val="10"/>
        <rFont val="Arial"/>
        <family val="0"/>
      </rPr>
      <t>Tangential loads,</t>
    </r>
    <r>
      <rPr>
        <b/>
        <sz val="10"/>
        <rFont val="Arial"/>
        <family val="0"/>
      </rPr>
      <t xml:space="preserve"> Wt</t>
    </r>
  </si>
  <si>
    <t>Importance factor. I</t>
  </si>
  <si>
    <t>Modulus of elasticity of steel</t>
  </si>
  <si>
    <t>Gpa</t>
  </si>
  <si>
    <t>DL =</t>
  </si>
  <si>
    <t>N/m</t>
  </si>
  <si>
    <t>Yield strength of steel</t>
  </si>
  <si>
    <t>Mpa</t>
  </si>
  <si>
    <t>LL =</t>
  </si>
  <si>
    <t>N/m</t>
  </si>
  <si>
    <t>Sag rods:</t>
  </si>
  <si>
    <t>Enter no.</t>
  </si>
  <si>
    <t>LOAD ANALYSIS</t>
  </si>
  <si>
    <t>MOMENTS</t>
  </si>
  <si>
    <t>Loads</t>
  </si>
  <si>
    <t>Load case</t>
  </si>
  <si>
    <t>Wn (N/m)</t>
  </si>
  <si>
    <t>Wt (N/m)</t>
  </si>
  <si>
    <t>Mn (N-m)</t>
  </si>
  <si>
    <t>Mt (N-m)</t>
  </si>
  <si>
    <t>Dead loads:</t>
  </si>
  <si>
    <t>D + L</t>
  </si>
  <si>
    <t>G.I. Roofing:</t>
  </si>
  <si>
    <t>Pa</t>
  </si>
  <si>
    <t>0.75( D+L+W)</t>
  </si>
  <si>
    <t>Live loads:</t>
  </si>
  <si>
    <t>Pa</t>
  </si>
  <si>
    <t>Wind loads</t>
  </si>
  <si>
    <t>FLEXURAL STRENGHT</t>
  </si>
  <si>
    <t>Check if compact section</t>
  </si>
  <si>
    <t>Remarks</t>
  </si>
  <si>
    <t xml:space="preserve">Load case </t>
  </si>
  <si>
    <r>
      <rPr>
        <sz val="10"/>
        <rFont val="Arial"/>
        <family val="0"/>
      </rPr>
      <t>Wind stagnation pressure,</t>
    </r>
    <r>
      <rPr>
        <b/>
        <sz val="10"/>
        <rFont val="Arial"/>
        <family val="0"/>
      </rPr>
      <t>qs</t>
    </r>
  </si>
  <si>
    <t>Pa</t>
  </si>
  <si>
    <t>Load case</t>
  </si>
  <si>
    <t>( fbx ) Mpa</t>
  </si>
  <si>
    <t>( fby) Mpa</t>
  </si>
  <si>
    <t>Fbx</t>
  </si>
  <si>
    <t>Fby</t>
  </si>
  <si>
    <t>Govern</t>
  </si>
  <si>
    <t>Combined Ht., exposure</t>
  </si>
  <si>
    <t>D + L</t>
  </si>
  <si>
    <r>
      <rPr>
        <sz val="10"/>
        <rFont val="Arial"/>
        <family val="0"/>
      </rPr>
      <t xml:space="preserve">  &amp; Gust coefficient, </t>
    </r>
    <r>
      <rPr>
        <b/>
        <sz val="10"/>
        <rFont val="Arial"/>
        <family val="0"/>
      </rPr>
      <t>Ce</t>
    </r>
  </si>
  <si>
    <t>0.75( D+L+W)</t>
  </si>
  <si>
    <r>
      <rPr>
        <sz val="10"/>
        <rFont val="Arial"/>
        <family val="0"/>
      </rPr>
      <t xml:space="preserve">Pressure coefficient </t>
    </r>
    <r>
      <rPr>
        <b/>
        <sz val="10"/>
        <rFont val="Arial"/>
        <family val="0"/>
      </rPr>
      <t>Cq</t>
    </r>
  </si>
  <si>
    <r>
      <rPr>
        <sz val="10"/>
        <rFont val="Arial"/>
        <family val="0"/>
      </rPr>
      <t xml:space="preserve">Design wind pressure, </t>
    </r>
    <r>
      <rPr>
        <b/>
        <sz val="10"/>
        <rFont val="Arial"/>
        <family val="0"/>
      </rPr>
      <t>P</t>
    </r>
  </si>
  <si>
    <t xml:space="preserve"> =CeCqqsi</t>
  </si>
  <si>
    <t>Check for deflection</t>
  </si>
  <si>
    <t>Pa</t>
  </si>
  <si>
    <t>Allowable deflection</t>
  </si>
  <si>
    <t>Trial section</t>
  </si>
  <si>
    <t>LC  75x38x15x1.2</t>
  </si>
  <si>
    <t>Yn =</t>
  </si>
  <si>
    <t>5Wn L4</t>
  </si>
  <si>
    <t>=</t>
  </si>
  <si>
    <t>Weight =</t>
  </si>
  <si>
    <t>kg/m</t>
  </si>
  <si>
    <t>384EIx</t>
  </si>
  <si>
    <t>H =</t>
  </si>
  <si>
    <t>mm.</t>
  </si>
  <si>
    <t>B =</t>
  </si>
  <si>
    <t>mm.</t>
  </si>
  <si>
    <t>Yn =</t>
  </si>
  <si>
    <t>5Wt L4</t>
  </si>
  <si>
    <t>=</t>
  </si>
  <si>
    <t xml:space="preserve"> Tf =</t>
  </si>
  <si>
    <t>mm.</t>
  </si>
  <si>
    <t>384EIy</t>
  </si>
  <si>
    <t>Ix =</t>
  </si>
  <si>
    <t>Cm3</t>
  </si>
  <si>
    <t>Iy =</t>
  </si>
  <si>
    <t>Cm3</t>
  </si>
  <si>
    <t>Sx =</t>
  </si>
  <si>
    <t>Cm3</t>
  </si>
  <si>
    <t>Sy =</t>
  </si>
  <si>
    <t>Cm3</t>
  </si>
  <si>
    <t>Θ =</t>
  </si>
  <si>
    <t>Degrees</t>
  </si>
  <si>
    <t>B</t>
  </si>
  <si>
    <t>SQRT(FY)</t>
  </si>
  <si>
    <t>2tf</t>
  </si>
  <si>
    <t>Fbx =</t>
  </si>
  <si>
    <t>Fby =</t>
  </si>
  <si>
    <t>CHECK IF SECTION IS COMPACT:</t>
  </si>
  <si>
    <t>B</t>
  </si>
  <si>
    <t>---------- =</t>
  </si>
  <si>
    <t>------------------</t>
  </si>
  <si>
    <t>2f</t>
  </si>
  <si>
    <t>---------- =</t>
  </si>
  <si>
    <t>------------------</t>
  </si>
  <si>
    <t>√Fy</t>
  </si>
  <si>
    <t>PROPOSED TWO STOREY RESIDENTIAL BLDG.</t>
  </si>
  <si>
    <t>CODE:</t>
  </si>
  <si>
    <t>NSCP 1992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</si>
</sst>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mm/dd/yy"/>
    <numFmt numFmtId="173" formatCode="#,###.00"/>
    <numFmt numFmtId="174" formatCode="\P#,##0\ ;[Red]&quot;(P&quot;#,##0\)"/>
    <numFmt numFmtId="175" formatCode="0.0"/>
    <numFmt numFmtId="176" formatCode="0.000"/>
    <numFmt numFmtId="177" formatCode="0.00;[Red]0.00"/>
    <numFmt numFmtId="178" formatCode="#,##0.00\ ;&quot; (&quot;#,##0.00\);&quot; -&quot;#\ ;@\ "/>
    <numFmt numFmtId="179" formatCode="#.000E+0"/>
    <numFmt numFmtId="180" formatCode="#,##0.00&quot; mm &quot;;\-#,##0.00&quot; mm &quot;;&quot; -&quot;#&quot; mm &quot;;@\ "/>
    <numFmt numFmtId="181" formatCode="0.0000"/>
  </numFmts>
  <fonts count="33">
    <font>
      <sz val="10"/>
      <name val="Arial"/>
      <family val="0"/>
    </font>
    <font>
      <b/>
      <i/>
      <sz val="10"/>
      <color indexed="12"/>
      <name val="Verdana"/>
      <family val="0"/>
    </font>
    <font>
      <b/>
      <i/>
      <sz val="10"/>
      <color indexed="8"/>
      <name val="Verdana"/>
      <family val="0"/>
    </font>
    <font>
      <b/>
      <sz val="10"/>
      <color indexed="12"/>
      <name val="Verdana"/>
      <family val="0"/>
    </font>
    <font>
      <sz val="10"/>
      <color indexed="25"/>
      <name val="Verdana"/>
      <family val="0"/>
    </font>
    <font>
      <b/>
      <i/>
      <sz val="10"/>
      <color indexed="10"/>
      <name val="Verdana"/>
      <family val="0"/>
    </font>
    <font>
      <i/>
      <sz val="10"/>
      <name val="Arial"/>
      <family val="0"/>
    </font>
    <font>
      <sz val="10"/>
      <color indexed="53"/>
      <name val="Verdana"/>
      <family val="0"/>
    </font>
    <font>
      <b/>
      <i/>
      <sz val="10"/>
      <color indexed="53"/>
      <name val="Verdana"/>
      <family val="0"/>
    </font>
    <font>
      <b/>
      <i/>
      <sz val="8"/>
      <color indexed="10"/>
      <name val="Verdana"/>
      <family val="0"/>
    </font>
    <font>
      <strike/>
      <sz val="10"/>
      <color indexed="49"/>
      <name val="Arial"/>
      <family val="0"/>
    </font>
    <font>
      <b/>
      <i/>
      <sz val="10"/>
      <color indexed="60"/>
      <name val="Verdana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sz val="12"/>
      <name val="Comic Sans MS"/>
      <family val="0"/>
    </font>
    <font>
      <b/>
      <sz val="12"/>
      <name val="Comic Sans MS"/>
      <family val="0"/>
    </font>
    <font>
      <sz val="12"/>
      <color indexed="10"/>
      <name val="Comic Sans MS"/>
      <family val="0"/>
    </font>
    <font>
      <b/>
      <sz val="12"/>
      <color indexed="12"/>
      <name val="Comic Sans MS"/>
      <family val="0"/>
    </font>
    <font>
      <b/>
      <sz val="10"/>
      <name val="Arial"/>
      <family val="0"/>
    </font>
    <font>
      <sz val="10.5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30"/>
      <name val="Arial Narrow"/>
      <family val="2"/>
    </font>
    <font>
      <sz val="10.5"/>
      <name val="Arial Narrow"/>
      <family val="2"/>
    </font>
    <font>
      <sz val="10"/>
      <color indexed="8"/>
      <name val="Arial Narrow"/>
      <family val="2"/>
    </font>
    <font>
      <b/>
      <sz val="10"/>
      <color indexed="12"/>
      <name val="Arial Narrow"/>
      <family val="2"/>
    </font>
    <font>
      <u val="single"/>
      <sz val="10"/>
      <name val="Arial Narrow"/>
      <family val="2"/>
    </font>
    <font>
      <b/>
      <sz val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 locked="0"/>
    </xf>
    <xf numFmtId="173" fontId="7" fillId="2" borderId="0" xfId="0" applyNumberFormat="1" applyFont="1" applyFill="1" applyBorder="1" applyAlignment="1">
      <alignment/>
    </xf>
    <xf numFmtId="4" fontId="8" fillId="2" borderId="0" xfId="0" applyNumberFormat="1" applyFont="1" applyFill="1" applyBorder="1" applyAlignment="1">
      <alignment/>
    </xf>
    <xf numFmtId="4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4" fontId="1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 horizontal="left"/>
    </xf>
    <xf numFmtId="175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9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1" fontId="5" fillId="2" borderId="1" xfId="0" applyNumberFormat="1" applyFont="1" applyFill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2" fontId="5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/>
      <protection locked="0"/>
    </xf>
    <xf numFmtId="176" fontId="5" fillId="2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5" fontId="13" fillId="0" borderId="0" xfId="0" applyNumberFormat="1" applyFont="1" applyBorder="1" applyAlignment="1">
      <alignment horizontal="center"/>
    </xf>
    <xf numFmtId="175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176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/>
    </xf>
    <xf numFmtId="0" fontId="0" fillId="4" borderId="1" xfId="0" applyFont="1" applyFill="1" applyBorder="1" applyAlignment="1">
      <alignment/>
    </xf>
    <xf numFmtId="1" fontId="15" fillId="0" borderId="1" xfId="0" applyNumberFormat="1" applyFont="1" applyBorder="1" applyAlignment="1">
      <alignment/>
    </xf>
    <xf numFmtId="175" fontId="15" fillId="0" borderId="1" xfId="0" applyNumberFormat="1" applyFont="1" applyBorder="1" applyAlignment="1">
      <alignment/>
    </xf>
    <xf numFmtId="2" fontId="15" fillId="0" borderId="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/>
    </xf>
    <xf numFmtId="175" fontId="1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2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175" fontId="17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0" fillId="3" borderId="0" xfId="0" applyFont="1" applyFill="1" applyBorder="1" applyAlignment="1">
      <alignment horizontal="right"/>
    </xf>
    <xf numFmtId="1" fontId="0" fillId="3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2" fontId="13" fillId="0" borderId="0" xfId="0" applyNumberFormat="1" applyFont="1" applyBorder="1" applyAlignment="1">
      <alignment/>
    </xf>
    <xf numFmtId="0" fontId="5" fillId="2" borderId="0" xfId="0" applyFont="1" applyFill="1" applyBorder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2" fontId="21" fillId="4" borderId="1" xfId="0" applyNumberFormat="1" applyFont="1" applyFill="1" applyBorder="1" applyAlignment="1">
      <alignment/>
    </xf>
    <xf numFmtId="2" fontId="19" fillId="0" borderId="1" xfId="0" applyNumberFormat="1" applyFont="1" applyBorder="1" applyAlignment="1">
      <alignment/>
    </xf>
    <xf numFmtId="0" fontId="19" fillId="0" borderId="1" xfId="0" applyFont="1" applyBorder="1" applyAlignment="1">
      <alignment/>
    </xf>
    <xf numFmtId="2" fontId="19" fillId="4" borderId="1" xfId="0" applyNumberFormat="1" applyFont="1" applyFill="1" applyBorder="1" applyAlignment="1">
      <alignment/>
    </xf>
    <xf numFmtId="0" fontId="21" fillId="0" borderId="1" xfId="0" applyFont="1" applyBorder="1" applyAlignment="1">
      <alignment/>
    </xf>
    <xf numFmtId="2" fontId="22" fillId="0" borderId="1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1" xfId="0" applyFont="1" applyBorder="1" applyAlignment="1">
      <alignment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horizontal="center"/>
    </xf>
    <xf numFmtId="175" fontId="0" fillId="3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75" fontId="0" fillId="5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0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indent="10"/>
      <protection/>
    </xf>
    <xf numFmtId="0" fontId="26" fillId="0" borderId="0" xfId="0" applyFont="1" applyBorder="1" applyAlignment="1" applyProtection="1">
      <alignment/>
      <protection/>
    </xf>
    <xf numFmtId="178" fontId="25" fillId="0" borderId="0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right"/>
      <protection/>
    </xf>
    <xf numFmtId="178" fontId="25" fillId="5" borderId="0" xfId="0" applyNumberFormat="1" applyFont="1" applyFill="1" applyBorder="1" applyAlignment="1" applyProtection="1">
      <alignment/>
      <protection locked="0"/>
    </xf>
    <xf numFmtId="178" fontId="25" fillId="0" borderId="0" xfId="0" applyNumberFormat="1" applyFont="1" applyFill="1" applyBorder="1" applyAlignment="1" applyProtection="1">
      <alignment/>
      <protection/>
    </xf>
    <xf numFmtId="178" fontId="25" fillId="5" borderId="0" xfId="0" applyNumberFormat="1" applyFont="1" applyFill="1" applyBorder="1" applyAlignment="1" applyProtection="1">
      <alignment horizontal="right"/>
      <protection locked="0"/>
    </xf>
    <xf numFmtId="178" fontId="26" fillId="0" borderId="0" xfId="0" applyNumberFormat="1" applyFont="1" applyBorder="1" applyAlignment="1" applyProtection="1">
      <alignment horizontal="right"/>
      <protection/>
    </xf>
    <xf numFmtId="0" fontId="27" fillId="0" borderId="1" xfId="0" applyFont="1" applyBorder="1" applyAlignment="1" applyProtection="1">
      <alignment/>
      <protection/>
    </xf>
    <xf numFmtId="0" fontId="26" fillId="0" borderId="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178" fontId="25" fillId="0" borderId="0" xfId="0" applyNumberFormat="1" applyFont="1" applyBorder="1" applyAlignment="1" applyProtection="1">
      <alignment horizontal="center"/>
      <protection/>
    </xf>
    <xf numFmtId="0" fontId="25" fillId="0" borderId="1" xfId="0" applyFont="1" applyBorder="1" applyAlignment="1" applyProtection="1">
      <alignment/>
      <protection/>
    </xf>
    <xf numFmtId="0" fontId="27" fillId="0" borderId="1" xfId="0" applyFont="1" applyBorder="1" applyAlignment="1" applyProtection="1">
      <alignment horizontal="center"/>
      <protection/>
    </xf>
    <xf numFmtId="1" fontId="27" fillId="0" borderId="1" xfId="0" applyNumberFormat="1" applyFont="1" applyBorder="1" applyAlignment="1" applyProtection="1">
      <alignment horizontal="center"/>
      <protection/>
    </xf>
    <xf numFmtId="0" fontId="25" fillId="0" borderId="1" xfId="0" applyFont="1" applyBorder="1" applyAlignment="1" applyProtection="1">
      <alignment horizontal="center"/>
      <protection/>
    </xf>
    <xf numFmtId="0" fontId="28" fillId="0" borderId="1" xfId="0" applyFont="1" applyBorder="1" applyAlignment="1" applyProtection="1">
      <alignment horizontal="center"/>
      <protection/>
    </xf>
    <xf numFmtId="179" fontId="25" fillId="0" borderId="1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right"/>
      <protection/>
    </xf>
    <xf numFmtId="2" fontId="29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/>
      <protection/>
    </xf>
    <xf numFmtId="0" fontId="26" fillId="5" borderId="1" xfId="0" applyFont="1" applyFill="1" applyBorder="1" applyAlignment="1" applyProtection="1">
      <alignment horizontal="center"/>
      <protection/>
    </xf>
    <xf numFmtId="3" fontId="25" fillId="0" borderId="1" xfId="0" applyNumberFormat="1" applyFont="1" applyBorder="1" applyAlignment="1" applyProtection="1">
      <alignment horizontal="center"/>
      <protection/>
    </xf>
    <xf numFmtId="178" fontId="25" fillId="0" borderId="1" xfId="0" applyNumberFormat="1" applyFont="1" applyBorder="1" applyAlignment="1" applyProtection="1">
      <alignment horizontal="center"/>
      <protection/>
    </xf>
    <xf numFmtId="178" fontId="25" fillId="0" borderId="1" xfId="0" applyNumberFormat="1" applyFont="1" applyBorder="1" applyAlignment="1" applyProtection="1">
      <alignment/>
      <protection/>
    </xf>
    <xf numFmtId="4" fontId="25" fillId="0" borderId="1" xfId="0" applyNumberFormat="1" applyFont="1" applyBorder="1" applyAlignment="1" applyProtection="1">
      <alignment horizontal="center"/>
      <protection/>
    </xf>
    <xf numFmtId="2" fontId="25" fillId="0" borderId="1" xfId="0" applyNumberFormat="1" applyFont="1" applyBorder="1" applyAlignment="1" applyProtection="1">
      <alignment horizontal="center"/>
      <protection/>
    </xf>
    <xf numFmtId="0" fontId="30" fillId="2" borderId="1" xfId="0" applyFont="1" applyFill="1" applyBorder="1" applyAlignment="1" applyProtection="1">
      <alignment horizontal="center"/>
      <protection/>
    </xf>
    <xf numFmtId="178" fontId="26" fillId="0" borderId="0" xfId="0" applyNumberFormat="1" applyFont="1" applyBorder="1" applyAlignment="1" applyProtection="1">
      <alignment horizontal="center"/>
      <protection/>
    </xf>
    <xf numFmtId="178" fontId="26" fillId="0" borderId="0" xfId="0" applyNumberFormat="1" applyFont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 indent="1"/>
    </xf>
    <xf numFmtId="0" fontId="26" fillId="0" borderId="0" xfId="0" applyFont="1" applyFill="1" applyBorder="1" applyAlignment="1">
      <alignment/>
    </xf>
    <xf numFmtId="172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right"/>
    </xf>
    <xf numFmtId="178" fontId="25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 indent="4"/>
    </xf>
    <xf numFmtId="178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178" fontId="26" fillId="0" borderId="0" xfId="0" applyNumberFormat="1" applyFont="1" applyFill="1" applyBorder="1" applyAlignment="1">
      <alignment horizontal="center"/>
    </xf>
    <xf numFmtId="178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80" fontId="25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181" fontId="25" fillId="0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72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right"/>
    </xf>
    <xf numFmtId="0" fontId="26" fillId="5" borderId="1" xfId="0" applyFont="1" applyFill="1" applyBorder="1" applyAlignment="1" applyProtection="1">
      <alignment horizontal="center"/>
      <protection/>
    </xf>
    <xf numFmtId="178" fontId="26" fillId="5" borderId="1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>
      <alignment horizontal="center"/>
    </xf>
    <xf numFmtId="178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80" fontId="25" fillId="0" borderId="0" xfId="0" applyNumberFormat="1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EB613D"/>
      <rgbColor rgb="00666699"/>
      <rgbColor rgb="00969696"/>
      <rgbColor rgb="00003366"/>
      <rgbColor rgb="00339966"/>
      <rgbColor rgb="00003300"/>
      <rgbColor rgb="003333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25">
      <selection activeCell="C52" sqref="C52"/>
    </sheetView>
  </sheetViews>
  <sheetFormatPr defaultColWidth="9.140625" defaultRowHeight="12.75"/>
  <cols>
    <col min="1" max="1" width="12.8515625" style="1" customWidth="1"/>
    <col min="2" max="9" width="9.28125" style="1" customWidth="1"/>
    <col min="10" max="16384" width="6.28125" style="1" customWidth="1"/>
  </cols>
  <sheetData>
    <row r="3" spans="1:10" ht="12.75">
      <c r="A3" s="160" t="s">
        <v>0</v>
      </c>
      <c r="B3" s="160"/>
      <c r="C3" s="160"/>
      <c r="D3" s="3"/>
      <c r="E3" s="3"/>
      <c r="F3" s="3"/>
      <c r="G3" s="4" t="s">
        <v>1</v>
      </c>
      <c r="H3" s="161">
        <f ca="1">TODAY()</f>
        <v>39477</v>
      </c>
      <c r="I3" s="161"/>
      <c r="J3" s="5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5"/>
    </row>
    <row r="5" spans="1:10" ht="12.75">
      <c r="A5" s="160" t="s">
        <v>2</v>
      </c>
      <c r="B5" s="160"/>
      <c r="C5" s="160"/>
      <c r="D5" s="6" t="s">
        <v>3</v>
      </c>
      <c r="E5" s="7" t="str">
        <f>REPT(sda1!E5,1)</f>
        <v>PROPOSED 2 STOREY HOUSING UNIT</v>
      </c>
      <c r="F5" s="3"/>
      <c r="G5" s="3"/>
      <c r="H5" s="3"/>
      <c r="I5" s="3"/>
      <c r="J5" s="5"/>
    </row>
    <row r="6" spans="1:10" ht="12.75">
      <c r="A6" s="160" t="s">
        <v>4</v>
      </c>
      <c r="B6" s="160"/>
      <c r="C6" s="160"/>
      <c r="D6" s="6" t="s">
        <v>5</v>
      </c>
      <c r="E6" s="7" t="str">
        <f>REPT(sda1!E6,1)</f>
        <v>P – 1</v>
      </c>
      <c r="F6" s="3"/>
      <c r="G6" s="3"/>
      <c r="H6" s="3"/>
      <c r="I6" s="3"/>
      <c r="J6" s="5"/>
    </row>
    <row r="7" spans="1:10" ht="12.75">
      <c r="A7" s="3"/>
      <c r="B7" s="3"/>
      <c r="C7" s="3"/>
      <c r="D7" s="6"/>
      <c r="E7" s="7"/>
      <c r="F7" s="3"/>
      <c r="G7" s="3"/>
      <c r="H7" s="3"/>
      <c r="I7" s="3"/>
      <c r="J7" s="5"/>
    </row>
    <row r="8" spans="1:10" ht="12.75">
      <c r="A8" s="3" t="s">
        <v>6</v>
      </c>
      <c r="B8" s="3"/>
      <c r="C8" s="3"/>
      <c r="D8" s="6"/>
      <c r="E8" s="7"/>
      <c r="F8" s="3"/>
      <c r="G8" s="3"/>
      <c r="H8" s="3"/>
      <c r="I8" s="3"/>
      <c r="J8" s="5"/>
    </row>
    <row r="9" spans="1:10" ht="12.75">
      <c r="A9" s="3"/>
      <c r="B9" s="3"/>
      <c r="C9" s="3"/>
      <c r="D9" s="6"/>
      <c r="E9" s="7"/>
      <c r="F9" s="3"/>
      <c r="G9" s="3"/>
      <c r="H9" s="3"/>
      <c r="I9" s="3"/>
      <c r="J9" s="5"/>
    </row>
    <row r="10" spans="1:10" ht="12.75">
      <c r="A10" s="3" t="s">
        <v>7</v>
      </c>
      <c r="B10" s="3"/>
      <c r="C10" s="3"/>
      <c r="D10" s="6" t="s">
        <v>8</v>
      </c>
      <c r="E10" s="7" t="str">
        <f>REPT(sda1!E10,1)</f>
        <v>Channel</v>
      </c>
      <c r="F10" s="8"/>
      <c r="G10" s="3"/>
      <c r="H10" s="3"/>
      <c r="I10" s="3"/>
      <c r="J10" s="5"/>
    </row>
    <row r="11" spans="1:10" ht="12.75">
      <c r="A11" s="3" t="s">
        <v>9</v>
      </c>
      <c r="B11" s="3"/>
      <c r="C11" s="3"/>
      <c r="D11" s="6" t="s">
        <v>10</v>
      </c>
      <c r="E11" s="7" t="str">
        <f>REPT(sda1!E11,1)</f>
        <v>none</v>
      </c>
      <c r="F11" s="4"/>
      <c r="G11" s="3"/>
      <c r="H11" s="3"/>
      <c r="I11" s="3"/>
      <c r="J11" s="5"/>
    </row>
    <row r="12" spans="1:10" ht="12.75">
      <c r="A12" s="3" t="s">
        <v>11</v>
      </c>
      <c r="B12" s="3"/>
      <c r="C12" s="3"/>
      <c r="D12" s="6" t="s">
        <v>12</v>
      </c>
      <c r="E12" s="7" t="str">
        <f>REPT(sda1!E12,1)</f>
        <v>0.2</v>
      </c>
      <c r="F12" s="4"/>
      <c r="G12" s="3"/>
      <c r="H12" s="3"/>
      <c r="I12" s="3"/>
      <c r="J12" s="5"/>
    </row>
    <row r="13" spans="1:10" ht="12.75">
      <c r="A13" s="3" t="s">
        <v>13</v>
      </c>
      <c r="B13" s="3"/>
      <c r="C13" s="3"/>
      <c r="D13" s="6" t="s">
        <v>14</v>
      </c>
      <c r="E13" s="7" t="str">
        <f>REPT(sda1!E13,1)</f>
        <v>3</v>
      </c>
      <c r="F13" s="3" t="str">
        <f>REPT(sda1!F13,1)</f>
        <v>m</v>
      </c>
      <c r="G13" s="3"/>
      <c r="H13" s="3"/>
      <c r="I13" s="3"/>
      <c r="J13" s="5"/>
    </row>
    <row r="14" spans="1:10" ht="12.75">
      <c r="A14" s="3" t="s">
        <v>15</v>
      </c>
      <c r="B14" s="3"/>
      <c r="C14" s="3"/>
      <c r="D14" s="6" t="s">
        <v>16</v>
      </c>
      <c r="E14" s="7" t="str">
        <f>REPT(sda1!E14,1)</f>
        <v>0.6</v>
      </c>
      <c r="F14" s="3" t="str">
        <f>REPT(sda1!F14,1)</f>
        <v>m</v>
      </c>
      <c r="G14" s="3"/>
      <c r="H14" s="3"/>
      <c r="I14" s="3"/>
      <c r="J14" s="5"/>
    </row>
    <row r="15" spans="1:10" ht="12.75">
      <c r="A15" s="3"/>
      <c r="B15" s="3"/>
      <c r="C15" s="3"/>
      <c r="D15" s="6"/>
      <c r="E15" s="7"/>
      <c r="F15" s="3"/>
      <c r="G15" s="3"/>
      <c r="H15" s="3"/>
      <c r="I15" s="3"/>
      <c r="J15" s="5"/>
    </row>
    <row r="16" spans="1:10" ht="12.75">
      <c r="A16" s="3" t="s">
        <v>17</v>
      </c>
      <c r="B16" s="3"/>
      <c r="C16" s="3"/>
      <c r="D16" s="6"/>
      <c r="E16" s="7"/>
      <c r="F16" s="3"/>
      <c r="G16" s="3"/>
      <c r="H16" s="3"/>
      <c r="I16" s="3"/>
      <c r="J16" s="5"/>
    </row>
    <row r="17" spans="1:10" ht="12.75">
      <c r="A17" s="3"/>
      <c r="B17" s="3"/>
      <c r="C17" s="3"/>
      <c r="D17" s="6"/>
      <c r="E17" s="7"/>
      <c r="F17" s="3"/>
      <c r="G17" s="3"/>
      <c r="H17" s="3"/>
      <c r="I17" s="3"/>
      <c r="J17" s="5"/>
    </row>
    <row r="18" spans="1:10" ht="12.75">
      <c r="A18" s="3" t="s">
        <v>18</v>
      </c>
      <c r="B18" s="3"/>
      <c r="C18" s="3"/>
      <c r="D18" s="6" t="s">
        <v>19</v>
      </c>
      <c r="E18" s="7" t="str">
        <f>REPT(sda1!E18,1)</f>
        <v>77</v>
      </c>
      <c r="F18" s="3" t="str">
        <f>REPT(sda1!F18,1)</f>
        <v>Pa</v>
      </c>
      <c r="G18" s="3"/>
      <c r="H18" s="3"/>
      <c r="I18" s="3"/>
      <c r="J18" s="5"/>
    </row>
    <row r="19" spans="1:10" ht="12.75">
      <c r="A19" s="3" t="s">
        <v>20</v>
      </c>
      <c r="B19" s="3"/>
      <c r="C19" s="3"/>
      <c r="D19" s="6" t="s">
        <v>21</v>
      </c>
      <c r="E19" s="7" t="str">
        <f>REPT(sda1!E19,1)</f>
        <v>800</v>
      </c>
      <c r="F19" s="3" t="str">
        <f>REPT(sda1!F19,1)</f>
        <v>Pa</v>
      </c>
      <c r="G19" s="3"/>
      <c r="H19" s="3"/>
      <c r="I19" s="3"/>
      <c r="J19" s="5"/>
    </row>
    <row r="20" spans="1:10" ht="12.75">
      <c r="A20" s="3" t="s">
        <v>22</v>
      </c>
      <c r="B20" s="3"/>
      <c r="C20" s="3"/>
      <c r="D20" s="6" t="s">
        <v>23</v>
      </c>
      <c r="E20" s="7" t="str">
        <f>REPT(sda1!E20,1)</f>
        <v>704</v>
      </c>
      <c r="F20" s="3" t="str">
        <f>REPT(sda1!F20,1)</f>
        <v>Pa</v>
      </c>
      <c r="G20" s="3"/>
      <c r="H20" s="3"/>
      <c r="I20" s="3"/>
      <c r="J20" s="5"/>
    </row>
    <row r="21" spans="1:10" ht="12.75">
      <c r="A21" s="3" t="s">
        <v>24</v>
      </c>
      <c r="B21" s="3"/>
      <c r="C21" s="3"/>
      <c r="D21" s="6" t="s">
        <v>25</v>
      </c>
      <c r="E21" s="7" t="str">
        <f>REPT(sda1!E21,1)</f>
        <v>230</v>
      </c>
      <c r="F21" s="3" t="str">
        <f>REPT(sda1!F21,1)</f>
        <v>Mpa</v>
      </c>
      <c r="G21" s="3"/>
      <c r="H21" s="3"/>
      <c r="I21" s="3"/>
      <c r="J21" s="5"/>
    </row>
    <row r="22" spans="1:10" ht="12.75">
      <c r="A22" s="3" t="s">
        <v>26</v>
      </c>
      <c r="B22" s="3"/>
      <c r="C22" s="3"/>
      <c r="D22" s="6" t="s">
        <v>27</v>
      </c>
      <c r="E22" s="7" t="str">
        <f>REPT(sda1!E22,1)</f>
        <v>200</v>
      </c>
      <c r="F22" s="3" t="str">
        <f>REPT(sda1!F22,1)</f>
        <v>Gpa</v>
      </c>
      <c r="G22" s="3"/>
      <c r="H22" s="3"/>
      <c r="I22" s="3"/>
      <c r="J22" s="5"/>
    </row>
    <row r="23" spans="1:10" ht="12.75">
      <c r="A23" s="3"/>
      <c r="B23" s="3"/>
      <c r="C23" s="3"/>
      <c r="D23" s="3"/>
      <c r="E23" s="3"/>
      <c r="F23" s="3">
        <f>REPT(sda1!F23,1)</f>
      </c>
      <c r="G23" s="3"/>
      <c r="H23" s="3"/>
      <c r="I23" s="3"/>
      <c r="J23" s="5"/>
    </row>
    <row r="24" spans="1:10" ht="12.75">
      <c r="A24" s="3" t="s">
        <v>28</v>
      </c>
      <c r="B24" s="3"/>
      <c r="C24" s="3"/>
      <c r="D24" s="3"/>
      <c r="E24" s="3"/>
      <c r="F24" s="3">
        <f>REPT(sda1!F24,1)</f>
      </c>
      <c r="G24" s="3"/>
      <c r="H24" s="3"/>
      <c r="I24" s="3"/>
      <c r="J24" s="5"/>
    </row>
    <row r="25" spans="1:11" ht="12.75">
      <c r="A25" s="9"/>
      <c r="B25" s="162" t="s">
        <v>29</v>
      </c>
      <c r="C25" s="162"/>
      <c r="D25" s="10" t="str">
        <f>REPT(sda1!D25,1)</f>
        <v>H</v>
      </c>
      <c r="E25" s="10" t="str">
        <f>REPT(sda1!E25,1)</f>
        <v>B</v>
      </c>
      <c r="F25" s="10" t="str">
        <f>REPT(sda1!F25,1)</f>
        <v>TW</v>
      </c>
      <c r="G25" s="10" t="str">
        <f>REPT(sda1!G25,1)</f>
        <v>TF</v>
      </c>
      <c r="H25" s="10" t="str">
        <f>REPT(sda1!H25,1)</f>
        <v>A</v>
      </c>
      <c r="I25" s="10" t="str">
        <f>REPT(sda1!I25,1)</f>
        <v>W</v>
      </c>
      <c r="J25" s="9"/>
      <c r="K25" s="11"/>
    </row>
    <row r="26" spans="1:11" ht="12.75">
      <c r="A26" s="9"/>
      <c r="B26" s="159" t="s">
        <v>30</v>
      </c>
      <c r="C26" s="159"/>
      <c r="D26" s="12" t="str">
        <f>REPT(sda1!D26,1)</f>
        <v>65</v>
      </c>
      <c r="E26" s="12" t="str">
        <f>REPT(sda1!E26,1)</f>
        <v>30</v>
      </c>
      <c r="F26" s="12" t="str">
        <f>REPT(sda1!F26,1)</f>
        <v>1.2</v>
      </c>
      <c r="G26" s="12" t="str">
        <f>REPT(sda1!G26,1)</f>
        <v>1.2</v>
      </c>
      <c r="H26" s="12" t="str">
        <f>REPT(sda1!H26,1)</f>
        <v>1.77</v>
      </c>
      <c r="I26" s="12" t="str">
        <f>REPT(sda1!I26,1)</f>
        <v>1.39</v>
      </c>
      <c r="J26" s="9"/>
      <c r="K26" s="11"/>
    </row>
    <row r="27" spans="1:11" ht="12.75">
      <c r="A27" s="9"/>
      <c r="B27" s="10" t="str">
        <f>REPT(sda1!B27,1)</f>
        <v>XC</v>
      </c>
      <c r="C27" s="10" t="str">
        <f>REPT(sda1!C27,1)</f>
        <v>YC</v>
      </c>
      <c r="D27" s="10" t="str">
        <f>REPT(sda1!D27,1)</f>
        <v>IX</v>
      </c>
      <c r="E27" s="10" t="str">
        <f>REPT(sda1!E27,1)</f>
        <v>IY</v>
      </c>
      <c r="F27" s="10" t="str">
        <f>REPT(sda1!F27,1)</f>
        <v>SX</v>
      </c>
      <c r="G27" s="10" t="str">
        <f>REPT(sda1!G27,1)</f>
        <v>SY</v>
      </c>
      <c r="H27" s="10" t="str">
        <f>REPT(sda1!H27,1)</f>
        <v>ASEP</v>
      </c>
      <c r="I27" s="10" t="str">
        <f>REPT(sda1!I27,1)</f>
        <v>BSTRESS</v>
      </c>
      <c r="J27" s="2"/>
      <c r="K27" s="13"/>
    </row>
    <row r="28" spans="1:11" ht="12.75">
      <c r="A28" s="9"/>
      <c r="B28" s="12" t="str">
        <f>REPT(sda1!B28,1)</f>
        <v>0</v>
      </c>
      <c r="C28" s="12" t="str">
        <f>REPT(sda1!C28,1)</f>
        <v>0</v>
      </c>
      <c r="D28" s="12" t="str">
        <f>REPT(sda1!D28,1)</f>
        <v>11.4</v>
      </c>
      <c r="E28" s="12" t="str">
        <f>REPT(sda1!E28,1)</f>
        <v>2.5</v>
      </c>
      <c r="F28" s="12" t="str">
        <f>REPT(sda1!F28,1)</f>
        <v>3.51</v>
      </c>
      <c r="G28" s="12" t="str">
        <f>REPT(sda1!G28,1)</f>
        <v>1.35</v>
      </c>
      <c r="H28" s="12" t="str">
        <f>REPT(sda1!H28,1)</f>
        <v>TRUE</v>
      </c>
      <c r="I28" s="12" t="str">
        <f>REPT(sda1!I28,1)</f>
        <v>123.6</v>
      </c>
      <c r="J28" s="2"/>
      <c r="K28" s="13"/>
    </row>
    <row r="29" spans="1:10" ht="12.75">
      <c r="A29" s="3" t="s">
        <v>31</v>
      </c>
      <c r="B29" s="9"/>
      <c r="C29" s="9"/>
      <c r="D29" s="3"/>
      <c r="E29" s="14">
        <f>REPT(sda1!E29,1)</f>
      </c>
      <c r="F29" s="3"/>
      <c r="G29" s="3"/>
      <c r="H29" s="3"/>
      <c r="I29" s="3"/>
      <c r="J29" s="5"/>
    </row>
    <row r="30" spans="1:10" ht="12.75">
      <c r="A30" s="3"/>
      <c r="B30" s="11"/>
      <c r="C30" s="11"/>
      <c r="D30" s="3"/>
      <c r="E30" s="15">
        <f>REPT(sda1!E30,1)</f>
      </c>
      <c r="F30" s="3"/>
      <c r="G30" s="3"/>
      <c r="H30" s="3"/>
      <c r="I30" s="3"/>
      <c r="J30" s="5"/>
    </row>
    <row r="31" spans="1:10" ht="12.75">
      <c r="A31" s="3" t="s">
        <v>32</v>
      </c>
      <c r="B31" s="3"/>
      <c r="C31" s="3"/>
      <c r="D31" s="16"/>
      <c r="E31" s="15">
        <f>REPT(sda1!E31,1)</f>
      </c>
      <c r="F31" s="3"/>
      <c r="G31" s="3"/>
      <c r="H31" s="3"/>
      <c r="I31" s="3"/>
      <c r="J31" s="5"/>
    </row>
    <row r="32" spans="1:10" ht="12.75">
      <c r="A32" s="4" t="s">
        <v>33</v>
      </c>
      <c r="B32" s="17">
        <f>SUM(sda1!B32)</f>
        <v>595.521733032243</v>
      </c>
      <c r="C32" s="3" t="str">
        <f>REPT(sda1!C32,1)</f>
        <v>N-m</v>
      </c>
      <c r="D32" s="3" t="str">
        <f>REPT(sda1!D32,1)</f>
        <v>Mt=</v>
      </c>
      <c r="E32" s="17">
        <f>SUM(sda1!E32)</f>
        <v>119.1043466064486</v>
      </c>
      <c r="F32" s="3" t="str">
        <f>REPT(sda1!F32,1)</f>
        <v>N-m</v>
      </c>
      <c r="G32" s="15"/>
      <c r="H32" s="15"/>
      <c r="I32" s="15"/>
      <c r="J32" s="15"/>
    </row>
    <row r="33" spans="1:10" ht="12.75">
      <c r="A33" s="3" t="s">
        <v>34</v>
      </c>
      <c r="B33" s="17"/>
      <c r="C33" s="3"/>
      <c r="D33" s="3"/>
      <c r="E33" s="17"/>
      <c r="F33" s="3"/>
      <c r="G33" s="15"/>
      <c r="H33" s="15"/>
      <c r="I33" s="15"/>
      <c r="J33" s="15"/>
    </row>
    <row r="34" spans="1:10" ht="12.75">
      <c r="A34" s="4" t="s">
        <v>35</v>
      </c>
      <c r="B34" s="17">
        <f>SUM(sda1!B34)</f>
        <v>169.66431140519745</v>
      </c>
      <c r="C34" s="3" t="str">
        <f>REPT(sda1!C34,1)</f>
        <v>Mpa</v>
      </c>
      <c r="D34" s="3" t="str">
        <f>REPT(sda1!D34,1)</f>
        <v>Fbx=</v>
      </c>
      <c r="E34" s="17">
        <f>SUM(sda1!E34)</f>
        <v>151.8</v>
      </c>
      <c r="F34" s="3" t="str">
        <f>REPT(sda1!F34,1)</f>
        <v>Mpa</v>
      </c>
      <c r="G34" s="15"/>
      <c r="H34" s="15"/>
      <c r="I34" s="15"/>
      <c r="J34" s="15"/>
    </row>
    <row r="35" spans="1:10" ht="12.75">
      <c r="A35" s="4" t="s">
        <v>36</v>
      </c>
      <c r="B35" s="17">
        <f>SUM(sda1!B35)</f>
        <v>176.45088386140532</v>
      </c>
      <c r="C35" s="3" t="str">
        <f>REPT(sda1!C35,1)</f>
        <v>Mpa</v>
      </c>
      <c r="D35" s="3" t="str">
        <f>REPT(sda1!D35,1)</f>
        <v>Fby=</v>
      </c>
      <c r="E35" s="17">
        <f>SUM(sda1!E35)</f>
        <v>138.00000000000003</v>
      </c>
      <c r="F35" s="3" t="str">
        <f>REPT(sda1!F35,1)</f>
        <v>Mpa</v>
      </c>
      <c r="G35" s="15"/>
      <c r="H35" s="15"/>
      <c r="I35" s="15"/>
      <c r="J35" s="15"/>
    </row>
    <row r="36" spans="1:10" ht="12.75">
      <c r="A36" s="3"/>
      <c r="B36" s="18"/>
      <c r="C36" s="15"/>
      <c r="D36" s="3"/>
      <c r="E36" s="15">
        <f>REPT(sda1!E36,1)</f>
      </c>
      <c r="F36" s="3">
        <f>REPT(sda1!F36,1)</f>
      </c>
      <c r="G36" s="15"/>
      <c r="H36" s="15"/>
      <c r="I36" s="15"/>
      <c r="J36" s="15"/>
    </row>
    <row r="37" spans="1:10" ht="12.75">
      <c r="A37" s="3" t="s">
        <v>37</v>
      </c>
      <c r="B37" s="18"/>
      <c r="C37" s="15"/>
      <c r="D37" s="3"/>
      <c r="E37" s="15">
        <f>REPT(sda1!E37,1)</f>
      </c>
      <c r="F37" s="3" t="str">
        <f>REPT(sda1!F37,1)</f>
        <v>deflection</v>
      </c>
      <c r="G37" s="15"/>
      <c r="H37" s="15"/>
      <c r="I37" s="15"/>
      <c r="J37" s="15"/>
    </row>
    <row r="38" spans="1:10" ht="12.75">
      <c r="A38" s="3"/>
      <c r="B38" s="18"/>
      <c r="C38" s="15"/>
      <c r="D38" s="3"/>
      <c r="E38" s="15">
        <f>REPT(sda1!E38,1)</f>
      </c>
      <c r="F38" s="3" t="str">
        <f>REPT(sda1!F38,1)</f>
        <v>y allow    =</v>
      </c>
      <c r="G38" s="15" t="str">
        <f>REPT(sda1!G38,1)</f>
        <v> L / 180</v>
      </c>
      <c r="H38" s="15"/>
      <c r="I38" s="15"/>
      <c r="J38" s="15"/>
    </row>
    <row r="39" spans="1:10" ht="12.75">
      <c r="A39" s="4" t="s">
        <v>38</v>
      </c>
      <c r="B39" s="19" t="str">
        <f>REPT(sda1!B39,1)</f>
        <v>2</v>
      </c>
      <c r="C39" s="15">
        <f>REPT(sda1!C39,1)</f>
      </c>
      <c r="D39" s="3">
        <f>REPT(sda1!D39,1)</f>
      </c>
      <c r="E39" s="15">
        <f>REPT(sda1!E39,1)</f>
      </c>
      <c r="F39" s="3">
        <f>REPT(sda1!F39,1)</f>
      </c>
      <c r="G39" s="15">
        <f>SUM(sda1!G39)</f>
        <v>16.666666666666668</v>
      </c>
      <c r="H39" s="3" t="str">
        <f>REPT(sda1!H39,1)</f>
        <v>mm</v>
      </c>
      <c r="I39" s="15"/>
      <c r="J39" s="15"/>
    </row>
    <row r="40" spans="1:10" ht="12.75">
      <c r="A40" s="4"/>
      <c r="B40" s="18"/>
      <c r="C40" s="20" t="str">
        <f>REPT(sda1!C40,1)</f>
        <v>.75(DL+LL)</v>
      </c>
      <c r="D40" s="3" t="str">
        <f>REPT(sda1!D40,1)</f>
        <v>governs</v>
      </c>
      <c r="E40" s="15">
        <f>REPT(sda1!E40,1)</f>
      </c>
      <c r="F40" s="3">
        <f>REPT(sda1!F40,1)</f>
      </c>
      <c r="G40" s="15">
        <f>REPT(sda1!G40,1)</f>
      </c>
      <c r="H40" s="3">
        <f>REPT(sda1!H40,1)</f>
      </c>
      <c r="I40" s="15"/>
      <c r="J40" s="15"/>
    </row>
    <row r="41" spans="1:10" ht="12.75">
      <c r="A41" s="4"/>
      <c r="B41" s="18"/>
      <c r="C41" s="15">
        <f>REPT(sda1!C41,1)</f>
      </c>
      <c r="D41" s="15">
        <f>REPT(sda1!D41,1)</f>
      </c>
      <c r="E41" s="15">
        <f>REPT(sda1!E41,1)</f>
      </c>
      <c r="F41" s="3" t="str">
        <f>REPT(sda1!F41,1)</f>
        <v>yn       =</v>
      </c>
      <c r="G41" s="15">
        <f>SUM(sda1!G41)</f>
        <v>33.01979028676736</v>
      </c>
      <c r="H41" s="3" t="str">
        <f>REPT(sda1!H41,1)</f>
        <v>mm &lt;</v>
      </c>
      <c r="I41" s="21">
        <f>SUM(sda1!I41)</f>
        <v>16.666666666666668</v>
      </c>
      <c r="J41" s="3" t="str">
        <f>REPT(sda1!J41,1)</f>
        <v>FAILS </v>
      </c>
    </row>
    <row r="42" spans="1:10" ht="12.75">
      <c r="A42" s="160" t="s">
        <v>39</v>
      </c>
      <c r="B42" s="160">
        <f>REPT(sda1!B42,1)</f>
      </c>
      <c r="C42" s="160">
        <f>REPT(sda1!C42,1)</f>
      </c>
      <c r="D42" s="160">
        <f>REPT(sda1!D42,1)</f>
      </c>
      <c r="E42" s="15">
        <f>REPT(sda1!E42,1)</f>
      </c>
      <c r="F42" s="3" t="str">
        <f>REPT(sda1!F42,1)</f>
        <v>yt        =</v>
      </c>
      <c r="G42" s="15">
        <f>SUM(sda1!G42)</f>
        <v>22.332064988709114</v>
      </c>
      <c r="H42" s="3" t="str">
        <f>REPT(sda1!H42,1)</f>
        <v>mm &lt;</v>
      </c>
      <c r="I42" s="21">
        <f>SUM(sda1!I42)</f>
        <v>16.666666666666668</v>
      </c>
      <c r="J42" s="3" t="str">
        <f>REPT(sda1!J42,1)</f>
        <v>FAILS</v>
      </c>
    </row>
    <row r="43" spans="1:10" ht="12.75">
      <c r="A43" s="22"/>
      <c r="B43" s="18">
        <f>SUM(sda1!B43)</f>
        <v>2.3963128040365165</v>
      </c>
      <c r="C43" s="3" t="str">
        <f>REPT(sda1!C43,1)</f>
        <v> &lt; =  1.0</v>
      </c>
      <c r="D43" s="15" t="str">
        <f>REPT(sda1!D43,1)</f>
        <v>FAILS</v>
      </c>
      <c r="E43" s="15"/>
      <c r="F43" s="15"/>
      <c r="G43" s="15"/>
      <c r="H43" s="15"/>
      <c r="I43" s="15"/>
      <c r="J43" s="15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5"/>
    </row>
  </sheetData>
  <mergeCells count="7">
    <mergeCell ref="B26:C26"/>
    <mergeCell ref="A42:D42"/>
    <mergeCell ref="A3:C3"/>
    <mergeCell ref="H3:I3"/>
    <mergeCell ref="A5:C5"/>
    <mergeCell ref="A6:C6"/>
    <mergeCell ref="B25:C25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07"/>
  <sheetViews>
    <sheetView workbookViewId="0" topLeftCell="A31">
      <selection activeCell="H36" sqref="H36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9.57421875" style="1" customWidth="1"/>
    <col min="4" max="5" width="6.28125" style="1" customWidth="1"/>
    <col min="6" max="6" width="8.57421875" style="1" customWidth="1"/>
    <col min="7" max="7" width="6.28125" style="1" customWidth="1"/>
    <col min="8" max="8" width="8.7109375" style="1" customWidth="1"/>
    <col min="9" max="16384" width="6.28125" style="1" customWidth="1"/>
  </cols>
  <sheetData>
    <row r="1" spans="1:7" ht="12.75">
      <c r="A1" s="23" t="s">
        <v>40</v>
      </c>
      <c r="B1" s="23"/>
      <c r="C1" s="23"/>
      <c r="D1" s="23"/>
      <c r="E1" s="23"/>
      <c r="F1" s="23"/>
      <c r="G1" s="23"/>
    </row>
    <row r="2" spans="1:7" ht="12.75">
      <c r="A2" s="23" t="s">
        <v>41</v>
      </c>
      <c r="B2" s="23"/>
      <c r="C2" s="23"/>
      <c r="D2" s="23"/>
      <c r="E2" s="23"/>
      <c r="F2" s="23"/>
      <c r="G2" s="23"/>
    </row>
    <row r="3" spans="1:10" ht="12.75">
      <c r="A3" s="160" t="s">
        <v>42</v>
      </c>
      <c r="B3" s="160"/>
      <c r="C3" s="160"/>
      <c r="D3" s="3"/>
      <c r="E3" s="3"/>
      <c r="F3" s="3"/>
      <c r="G3" s="3"/>
      <c r="H3" s="24">
        <f ca="1">TODAY()</f>
        <v>39477</v>
      </c>
      <c r="I3" s="3"/>
      <c r="J3" s="5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5"/>
    </row>
    <row r="5" spans="1:10" ht="12.75">
      <c r="A5" s="160" t="s">
        <v>43</v>
      </c>
      <c r="B5" s="160"/>
      <c r="C5" s="160"/>
      <c r="D5" s="3" t="s">
        <v>44</v>
      </c>
      <c r="E5" s="3" t="s">
        <v>45</v>
      </c>
      <c r="F5" s="3"/>
      <c r="G5" s="3"/>
      <c r="H5" s="3"/>
      <c r="I5" s="3"/>
      <c r="J5" s="5"/>
    </row>
    <row r="6" spans="1:10" ht="12.75">
      <c r="A6" s="160" t="s">
        <v>46</v>
      </c>
      <c r="B6" s="160"/>
      <c r="C6" s="160"/>
      <c r="D6" s="3" t="s">
        <v>47</v>
      </c>
      <c r="E6" s="25" t="s">
        <v>48</v>
      </c>
      <c r="F6" s="3"/>
      <c r="G6" s="3"/>
      <c r="H6" s="3"/>
      <c r="I6" s="3"/>
      <c r="J6" s="5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5"/>
    </row>
    <row r="8" spans="1:10" ht="12.75">
      <c r="A8" s="3" t="s">
        <v>49</v>
      </c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3"/>
      <c r="B9" s="3"/>
      <c r="C9" s="3"/>
      <c r="D9" s="3"/>
      <c r="E9" s="3"/>
      <c r="F9" s="3"/>
      <c r="G9" s="3"/>
      <c r="H9" s="3"/>
      <c r="I9" s="3"/>
      <c r="J9" s="5"/>
    </row>
    <row r="10" spans="1:11" ht="12.75">
      <c r="A10" s="3" t="s">
        <v>50</v>
      </c>
      <c r="B10" s="3"/>
      <c r="C10" s="3"/>
      <c r="D10" s="3" t="s">
        <v>51</v>
      </c>
      <c r="E10" s="163" t="s">
        <v>52</v>
      </c>
      <c r="F10" s="163"/>
      <c r="G10" s="3"/>
      <c r="H10" s="3"/>
      <c r="I10" s="3"/>
      <c r="J10" s="5"/>
      <c r="K10" s="1" t="s">
        <v>53</v>
      </c>
    </row>
    <row r="11" spans="1:11" ht="12.75">
      <c r="A11" s="3" t="s">
        <v>54</v>
      </c>
      <c r="B11" s="3"/>
      <c r="C11" s="3"/>
      <c r="D11" s="3" t="s">
        <v>55</v>
      </c>
      <c r="E11" s="26" t="s">
        <v>56</v>
      </c>
      <c r="F11" s="4"/>
      <c r="G11" s="3"/>
      <c r="H11" s="3"/>
      <c r="I11" s="3"/>
      <c r="J11" s="5"/>
      <c r="K11" s="1" t="s">
        <v>57</v>
      </c>
    </row>
    <row r="12" spans="1:11" ht="12.75">
      <c r="A12" s="3" t="s">
        <v>58</v>
      </c>
      <c r="B12" s="3"/>
      <c r="C12" s="3"/>
      <c r="D12" s="3" t="s">
        <v>59</v>
      </c>
      <c r="E12" s="27">
        <v>0.2</v>
      </c>
      <c r="F12" s="4"/>
      <c r="G12" s="3"/>
      <c r="H12" s="3"/>
      <c r="I12" s="3"/>
      <c r="J12" s="5"/>
      <c r="K12" s="1" t="s">
        <v>60</v>
      </c>
    </row>
    <row r="13" spans="1:10" ht="12.75">
      <c r="A13" s="3" t="s">
        <v>61</v>
      </c>
      <c r="B13" s="3"/>
      <c r="C13" s="3"/>
      <c r="D13" s="3" t="s">
        <v>62</v>
      </c>
      <c r="E13" s="27">
        <v>3</v>
      </c>
      <c r="F13" s="4" t="s">
        <v>63</v>
      </c>
      <c r="G13" s="3"/>
      <c r="H13" s="3"/>
      <c r="I13" s="3"/>
      <c r="J13" s="5"/>
    </row>
    <row r="14" spans="1:10" ht="12.75">
      <c r="A14" s="3" t="s">
        <v>64</v>
      </c>
      <c r="B14" s="3"/>
      <c r="C14" s="3"/>
      <c r="D14" s="3" t="s">
        <v>65</v>
      </c>
      <c r="E14" s="27">
        <v>0.6</v>
      </c>
      <c r="F14" s="4" t="s">
        <v>66</v>
      </c>
      <c r="G14" s="3"/>
      <c r="H14" s="3"/>
      <c r="I14" s="3"/>
      <c r="J14" s="5"/>
    </row>
    <row r="15" spans="1:10" ht="12.75">
      <c r="A15" s="3"/>
      <c r="B15" s="3"/>
      <c r="C15" s="3"/>
      <c r="D15" s="3"/>
      <c r="E15" s="28"/>
      <c r="F15" s="4"/>
      <c r="G15" s="3"/>
      <c r="H15" s="3"/>
      <c r="I15" s="3"/>
      <c r="J15" s="5"/>
    </row>
    <row r="16" spans="1:10" ht="12.75">
      <c r="A16" s="3" t="s">
        <v>67</v>
      </c>
      <c r="B16" s="3"/>
      <c r="C16" s="3"/>
      <c r="D16" s="3"/>
      <c r="E16" s="28"/>
      <c r="F16" s="4"/>
      <c r="G16" s="3"/>
      <c r="H16" s="3"/>
      <c r="I16" s="3"/>
      <c r="J16" s="5"/>
    </row>
    <row r="17" spans="1:10" ht="12.75">
      <c r="A17" s="3"/>
      <c r="B17" s="3"/>
      <c r="C17" s="3"/>
      <c r="D17" s="3"/>
      <c r="E17" s="28"/>
      <c r="F17" s="4"/>
      <c r="G17" s="3"/>
      <c r="H17" s="3"/>
      <c r="I17" s="3"/>
      <c r="J17" s="5"/>
    </row>
    <row r="18" spans="1:10" ht="12.75">
      <c r="A18" s="3" t="s">
        <v>68</v>
      </c>
      <c r="B18" s="3"/>
      <c r="C18" s="3"/>
      <c r="D18" s="3" t="s">
        <v>69</v>
      </c>
      <c r="E18" s="28">
        <v>77</v>
      </c>
      <c r="F18" s="4" t="s">
        <v>70</v>
      </c>
      <c r="G18" s="3"/>
      <c r="H18" s="3"/>
      <c r="I18" s="3"/>
      <c r="J18" s="5"/>
    </row>
    <row r="19" spans="1:10" ht="12.75">
      <c r="A19" s="3" t="s">
        <v>71</v>
      </c>
      <c r="B19" s="3"/>
      <c r="C19" s="3"/>
      <c r="D19" s="3" t="s">
        <v>72</v>
      </c>
      <c r="E19" s="28">
        <v>800</v>
      </c>
      <c r="F19" s="4" t="s">
        <v>73</v>
      </c>
      <c r="G19" s="3"/>
      <c r="H19" s="3"/>
      <c r="I19" s="3"/>
      <c r="J19" s="5"/>
    </row>
    <row r="20" spans="1:10" ht="12.75">
      <c r="A20" s="3" t="s">
        <v>74</v>
      </c>
      <c r="B20" s="3"/>
      <c r="C20" s="3"/>
      <c r="D20" s="3" t="s">
        <v>75</v>
      </c>
      <c r="E20" s="28">
        <v>704</v>
      </c>
      <c r="F20" s="4" t="s">
        <v>76</v>
      </c>
      <c r="G20" s="3"/>
      <c r="H20" s="3"/>
      <c r="I20" s="3"/>
      <c r="J20" s="5"/>
    </row>
    <row r="21" spans="1:10" ht="12.75">
      <c r="A21" s="3" t="s">
        <v>77</v>
      </c>
      <c r="B21" s="3"/>
      <c r="C21" s="3"/>
      <c r="D21" s="3" t="s">
        <v>78</v>
      </c>
      <c r="E21" s="28">
        <v>230</v>
      </c>
      <c r="F21" s="4" t="s">
        <v>79</v>
      </c>
      <c r="G21" s="3"/>
      <c r="H21" s="3"/>
      <c r="I21" s="3"/>
      <c r="J21" s="5"/>
    </row>
    <row r="22" spans="1:10" ht="12.75">
      <c r="A22" s="3" t="s">
        <v>80</v>
      </c>
      <c r="B22" s="3"/>
      <c r="C22" s="3"/>
      <c r="D22" s="3" t="s">
        <v>81</v>
      </c>
      <c r="E22" s="28">
        <v>200</v>
      </c>
      <c r="F22" s="4" t="s">
        <v>82</v>
      </c>
      <c r="G22" s="3"/>
      <c r="H22" s="3"/>
      <c r="I22" s="3"/>
      <c r="J22" s="5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5"/>
    </row>
    <row r="24" spans="1:10" ht="12.75">
      <c r="A24" s="3" t="s">
        <v>83</v>
      </c>
      <c r="B24" s="3"/>
      <c r="C24" s="3"/>
      <c r="D24" s="3"/>
      <c r="E24" s="3"/>
      <c r="F24" s="3"/>
      <c r="G24" s="3"/>
      <c r="H24" s="3"/>
      <c r="I24" s="3"/>
      <c r="J24" s="5"/>
    </row>
    <row r="25" spans="1:11" ht="12.75">
      <c r="A25" s="11"/>
      <c r="B25" s="164" t="s">
        <v>84</v>
      </c>
      <c r="C25" s="164"/>
      <c r="D25" s="29" t="s">
        <v>85</v>
      </c>
      <c r="E25" s="29" t="s">
        <v>86</v>
      </c>
      <c r="F25" s="30" t="s">
        <v>87</v>
      </c>
      <c r="G25" s="30" t="s">
        <v>88</v>
      </c>
      <c r="H25" s="31" t="s">
        <v>89</v>
      </c>
      <c r="I25" s="31" t="s">
        <v>90</v>
      </c>
      <c r="J25" s="11"/>
      <c r="K25" s="11"/>
    </row>
    <row r="26" spans="1:11" ht="12.75">
      <c r="A26" s="11"/>
      <c r="B26" s="165" t="str">
        <f>REPT(B73,1)</f>
        <v>LC  65x30x15x1.2</v>
      </c>
      <c r="C26" s="165"/>
      <c r="D26" s="32">
        <f aca="true" t="shared" si="0" ref="D26:I26">SUM(C73)</f>
        <v>65</v>
      </c>
      <c r="E26" s="32">
        <f t="shared" si="0"/>
        <v>30</v>
      </c>
      <c r="F26" s="32">
        <f t="shared" si="0"/>
        <v>1.2</v>
      </c>
      <c r="G26" s="32">
        <f t="shared" si="0"/>
        <v>1.2</v>
      </c>
      <c r="H26" s="32">
        <f t="shared" si="0"/>
        <v>1.77</v>
      </c>
      <c r="I26" s="32">
        <f t="shared" si="0"/>
        <v>1.39</v>
      </c>
      <c r="J26" s="11"/>
      <c r="K26" s="11"/>
    </row>
    <row r="27" spans="1:11" ht="12.75">
      <c r="A27" s="11"/>
      <c r="B27" s="31" t="s">
        <v>91</v>
      </c>
      <c r="C27" s="31" t="s">
        <v>92</v>
      </c>
      <c r="D27" s="31" t="s">
        <v>93</v>
      </c>
      <c r="E27" s="31" t="s">
        <v>94</v>
      </c>
      <c r="F27" s="31" t="s">
        <v>95</v>
      </c>
      <c r="G27" s="31" t="s">
        <v>96</v>
      </c>
      <c r="H27" s="29" t="s">
        <v>97</v>
      </c>
      <c r="I27" s="31" t="s">
        <v>98</v>
      </c>
      <c r="J27" s="2"/>
      <c r="K27" s="13"/>
    </row>
    <row r="28" spans="1:11" ht="12.75">
      <c r="A28" s="11"/>
      <c r="B28" s="33">
        <f aca="true" t="shared" si="1" ref="B28:G28">SUM(I73)</f>
        <v>0</v>
      </c>
      <c r="C28" s="33">
        <f t="shared" si="1"/>
        <v>0</v>
      </c>
      <c r="D28" s="32">
        <f t="shared" si="1"/>
        <v>11.4</v>
      </c>
      <c r="E28" s="32">
        <f t="shared" si="1"/>
        <v>2.5</v>
      </c>
      <c r="F28" s="32">
        <f t="shared" si="1"/>
        <v>3.51</v>
      </c>
      <c r="G28" s="32">
        <f t="shared" si="1"/>
        <v>1.35</v>
      </c>
      <c r="H28" s="32" t="str">
        <f>REPT(O73,1)</f>
        <v>TRUE</v>
      </c>
      <c r="I28" s="32">
        <f>SUM(P73)</f>
        <v>123.6</v>
      </c>
      <c r="J28" s="2"/>
      <c r="K28" s="13"/>
    </row>
    <row r="29" spans="1:10" ht="12.75">
      <c r="A29" s="3" t="s">
        <v>99</v>
      </c>
      <c r="B29" s="11"/>
      <c r="C29" s="11"/>
      <c r="D29" s="3"/>
      <c r="E29" s="3"/>
      <c r="F29" s="3"/>
      <c r="G29" s="3"/>
      <c r="H29" s="3"/>
      <c r="I29" s="3"/>
      <c r="J29" s="5"/>
    </row>
    <row r="30" spans="1:10" ht="12.75">
      <c r="A30" s="3"/>
      <c r="B30" s="11"/>
      <c r="C30" s="11"/>
      <c r="D30" s="3"/>
      <c r="E30" s="3"/>
      <c r="F30" s="3"/>
      <c r="G30" s="3"/>
      <c r="H30" s="3"/>
      <c r="I30" s="3"/>
      <c r="J30" s="5"/>
    </row>
    <row r="31" spans="1:10" ht="12.75">
      <c r="A31" s="3" t="s">
        <v>100</v>
      </c>
      <c r="B31" s="3"/>
      <c r="C31" s="3"/>
      <c r="D31" s="16"/>
      <c r="E31" s="16"/>
      <c r="F31" s="3"/>
      <c r="G31" s="3"/>
      <c r="H31" s="3"/>
      <c r="I31" s="3"/>
      <c r="J31" s="5"/>
    </row>
    <row r="32" spans="1:11" ht="12.75">
      <c r="A32" s="4" t="s">
        <v>101</v>
      </c>
      <c r="B32" s="34">
        <f>SUM(E113)</f>
        <v>595.521733032243</v>
      </c>
      <c r="C32" s="3" t="s">
        <v>102</v>
      </c>
      <c r="D32" s="35" t="s">
        <v>103</v>
      </c>
      <c r="E32" s="36">
        <f>SUM(E116)</f>
        <v>119.1043466064486</v>
      </c>
      <c r="F32" s="3" t="s">
        <v>104</v>
      </c>
      <c r="G32" s="3"/>
      <c r="H32" s="3"/>
      <c r="I32" s="3"/>
      <c r="J32" s="5"/>
      <c r="K32" s="37"/>
    </row>
    <row r="33" spans="1:10" ht="12.75">
      <c r="A33" s="3" t="s">
        <v>105</v>
      </c>
      <c r="B33" s="3"/>
      <c r="C33" s="3"/>
      <c r="D33" s="3"/>
      <c r="E33" s="3"/>
      <c r="F33" s="3"/>
      <c r="G33" s="3"/>
      <c r="H33" s="3"/>
      <c r="I33" s="3"/>
      <c r="J33" s="5"/>
    </row>
    <row r="34" spans="1:10" ht="12.75">
      <c r="A34" s="4" t="s">
        <v>106</v>
      </c>
      <c r="B34" s="38">
        <f>SUM(C127)</f>
        <v>169.66431140519745</v>
      </c>
      <c r="C34" s="3" t="s">
        <v>107</v>
      </c>
      <c r="D34" s="4" t="s">
        <v>108</v>
      </c>
      <c r="E34" s="38">
        <f>SUM(C147)</f>
        <v>151.8</v>
      </c>
      <c r="F34" s="3" t="s">
        <v>109</v>
      </c>
      <c r="G34" s="3"/>
      <c r="H34" s="3"/>
      <c r="I34" s="3"/>
      <c r="J34" s="5"/>
    </row>
    <row r="35" spans="1:10" ht="12.75">
      <c r="A35" s="4" t="s">
        <v>110</v>
      </c>
      <c r="B35" s="38">
        <f>SUM(C129)</f>
        <v>176.45088386140532</v>
      </c>
      <c r="C35" s="3" t="s">
        <v>111</v>
      </c>
      <c r="D35" s="4" t="s">
        <v>112</v>
      </c>
      <c r="E35" s="38">
        <f>SUM(C148)</f>
        <v>138.00000000000003</v>
      </c>
      <c r="F35" s="3" t="s">
        <v>113</v>
      </c>
      <c r="G35" s="3"/>
      <c r="H35" s="3"/>
      <c r="I35" s="3"/>
      <c r="J35" s="5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5"/>
    </row>
    <row r="37" spans="1:10" ht="12.75">
      <c r="A37" s="3" t="s">
        <v>114</v>
      </c>
      <c r="B37" s="3"/>
      <c r="C37" s="3"/>
      <c r="D37" s="3"/>
      <c r="E37" s="3"/>
      <c r="F37" s="3" t="s">
        <v>115</v>
      </c>
      <c r="G37" s="3"/>
      <c r="H37" s="3"/>
      <c r="I37" s="3"/>
      <c r="J37" s="5"/>
    </row>
    <row r="38" spans="1:10" ht="12.75">
      <c r="A38" s="3"/>
      <c r="B38" s="3"/>
      <c r="C38" s="3"/>
      <c r="D38" s="3"/>
      <c r="E38" s="3"/>
      <c r="F38" s="3" t="s">
        <v>116</v>
      </c>
      <c r="G38" s="4" t="s">
        <v>117</v>
      </c>
      <c r="H38" s="3"/>
      <c r="I38" s="3"/>
      <c r="J38" s="5"/>
    </row>
    <row r="39" spans="1:10" ht="12.75">
      <c r="A39" s="4" t="s">
        <v>118</v>
      </c>
      <c r="B39" s="8">
        <f>IF(C152&gt;C155,1,2)</f>
        <v>2</v>
      </c>
      <c r="C39" s="3"/>
      <c r="D39" s="3"/>
      <c r="E39" s="3"/>
      <c r="F39" s="3"/>
      <c r="G39" s="38">
        <f>SUM(D162)</f>
        <v>16.666666666666668</v>
      </c>
      <c r="H39" s="4" t="s">
        <v>119</v>
      </c>
      <c r="I39" s="3"/>
      <c r="J39" s="5"/>
    </row>
    <row r="40" spans="1:10" ht="12.75">
      <c r="A40" s="4"/>
      <c r="B40" s="3"/>
      <c r="C40" s="39" t="str">
        <f>IF(C152&gt;C155,"DL+LL",".75(DL+LL)")</f>
        <v>.75(DL+LL)</v>
      </c>
      <c r="D40" s="3" t="s">
        <v>120</v>
      </c>
      <c r="E40" s="3"/>
      <c r="F40" s="3"/>
      <c r="G40" s="40"/>
      <c r="H40" s="4"/>
      <c r="I40" s="3"/>
      <c r="J40" s="5"/>
    </row>
    <row r="41" spans="1:10" ht="12.75">
      <c r="A41" s="4"/>
      <c r="B41" s="3"/>
      <c r="C41" s="3"/>
      <c r="D41" s="3"/>
      <c r="E41" s="3"/>
      <c r="F41" s="3" t="s">
        <v>121</v>
      </c>
      <c r="G41" s="38">
        <f>SUM(D165)</f>
        <v>33.01979028676736</v>
      </c>
      <c r="H41" s="4" t="s">
        <v>122</v>
      </c>
      <c r="I41" s="41">
        <f>SUM(G165)</f>
        <v>16.666666666666668</v>
      </c>
      <c r="J41" s="42" t="str">
        <f>IF(G41&lt;G39,"OK  !!! ","FAILS ")</f>
        <v>FAILS </v>
      </c>
    </row>
    <row r="42" spans="1:10" ht="12.75">
      <c r="A42" s="160" t="s">
        <v>123</v>
      </c>
      <c r="B42" s="160"/>
      <c r="C42" s="160"/>
      <c r="D42" s="160"/>
      <c r="E42" s="3"/>
      <c r="F42" s="3" t="s">
        <v>124</v>
      </c>
      <c r="G42" s="38">
        <f>SUM(D167)</f>
        <v>22.332064988709114</v>
      </c>
      <c r="H42" s="4" t="s">
        <v>125</v>
      </c>
      <c r="I42" s="41">
        <f>SUM(G167)</f>
        <v>16.666666666666668</v>
      </c>
      <c r="J42" s="42" t="str">
        <f>IF(G42&lt;G39,"OK   !!!","FAILS")</f>
        <v>FAILS</v>
      </c>
    </row>
    <row r="43" spans="1:10" ht="12.75">
      <c r="A43" s="22"/>
      <c r="B43" s="43">
        <f>SUM(B34/E34)+(B35/E35)</f>
        <v>2.3963128040365165</v>
      </c>
      <c r="C43" s="22" t="s">
        <v>126</v>
      </c>
      <c r="D43" s="44" t="str">
        <f>IF(B43&lt;1,"OK  !!! ","FAILS")</f>
        <v>FAILS</v>
      </c>
      <c r="E43" s="3"/>
      <c r="F43" s="3"/>
      <c r="G43" s="3"/>
      <c r="H43" s="3"/>
      <c r="I43" s="3"/>
      <c r="J43" s="5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5"/>
    </row>
    <row r="45" spans="1:10" ht="12.75">
      <c r="A45" s="45"/>
      <c r="B45" s="45"/>
      <c r="C45" s="45"/>
      <c r="D45" s="45"/>
      <c r="E45" s="45"/>
      <c r="F45" s="45"/>
      <c r="G45" s="45"/>
      <c r="H45" s="45"/>
      <c r="I45" s="45"/>
      <c r="J45" s="46"/>
    </row>
    <row r="49" spans="1:3" ht="18">
      <c r="A49" s="166" t="s">
        <v>127</v>
      </c>
      <c r="B49" s="166"/>
      <c r="C49" s="166"/>
    </row>
    <row r="52" spans="1:6" ht="12.75">
      <c r="A52" s="47" t="s">
        <v>128</v>
      </c>
      <c r="B52" s="48">
        <v>6</v>
      </c>
      <c r="C52" s="1" t="s">
        <v>129</v>
      </c>
      <c r="F52" s="1" t="s">
        <v>130</v>
      </c>
    </row>
    <row r="53" spans="1:6" ht="12.75">
      <c r="A53" s="47" t="s">
        <v>131</v>
      </c>
      <c r="B53" s="48">
        <v>6</v>
      </c>
      <c r="C53" s="1" t="s">
        <v>132</v>
      </c>
      <c r="F53" s="1" t="s">
        <v>133</v>
      </c>
    </row>
    <row r="54" spans="1:9" ht="12.75">
      <c r="A54" s="47" t="s">
        <v>134</v>
      </c>
      <c r="B54" s="48">
        <v>6</v>
      </c>
      <c r="C54" s="1" t="s">
        <v>135</v>
      </c>
      <c r="F54" s="1" t="s">
        <v>136</v>
      </c>
      <c r="G54" s="1" t="s">
        <v>137</v>
      </c>
      <c r="I54" s="1" t="s">
        <v>138</v>
      </c>
    </row>
    <row r="55" spans="1:9" ht="12.75">
      <c r="A55" s="47" t="s">
        <v>139</v>
      </c>
      <c r="B55" s="48">
        <v>6</v>
      </c>
      <c r="C55" s="1" t="s">
        <v>140</v>
      </c>
      <c r="F55" s="1" t="s">
        <v>141</v>
      </c>
      <c r="G55" s="1" t="s">
        <v>142</v>
      </c>
      <c r="I55" s="1" t="s">
        <v>143</v>
      </c>
    </row>
    <row r="56" spans="1:6" ht="12.75">
      <c r="A56" s="47" t="s">
        <v>144</v>
      </c>
      <c r="B56" s="49">
        <f>SUM(E14)</f>
        <v>0.6</v>
      </c>
      <c r="C56" s="1" t="s">
        <v>145</v>
      </c>
      <c r="F56" s="1" t="s">
        <v>146</v>
      </c>
    </row>
    <row r="57" spans="1:6" ht="12.75">
      <c r="A57" s="47" t="s">
        <v>147</v>
      </c>
      <c r="B57" s="49">
        <f>SUM(E13)</f>
        <v>3</v>
      </c>
      <c r="C57" s="1" t="s">
        <v>148</v>
      </c>
      <c r="F57" s="1" t="s">
        <v>149</v>
      </c>
    </row>
    <row r="58" spans="1:6" ht="12.75">
      <c r="A58" s="47" t="s">
        <v>150</v>
      </c>
      <c r="B58" s="48">
        <v>1.2</v>
      </c>
      <c r="C58" s="1" t="s">
        <v>151</v>
      </c>
      <c r="F58" s="1" t="s">
        <v>152</v>
      </c>
    </row>
    <row r="59" spans="1:6" ht="12.75">
      <c r="A59" s="47" t="s">
        <v>153</v>
      </c>
      <c r="B59" s="48">
        <v>10.46</v>
      </c>
      <c r="C59" s="1" t="s">
        <v>154</v>
      </c>
      <c r="F59" s="1" t="s">
        <v>155</v>
      </c>
    </row>
    <row r="60" spans="1:6" ht="12.75">
      <c r="A60" s="47" t="s">
        <v>156</v>
      </c>
      <c r="B60" s="48">
        <v>0.65</v>
      </c>
      <c r="C60" s="1" t="s">
        <v>157</v>
      </c>
      <c r="F60" s="1" t="s">
        <v>158</v>
      </c>
    </row>
    <row r="61" spans="1:6" ht="12.75">
      <c r="A61" s="47" t="s">
        <v>159</v>
      </c>
      <c r="B61" s="50">
        <f>SUM(E18)</f>
        <v>77</v>
      </c>
      <c r="C61" s="1" t="s">
        <v>160</v>
      </c>
      <c r="F61" s="1" t="s">
        <v>161</v>
      </c>
    </row>
    <row r="62" spans="1:6" ht="12.75">
      <c r="A62" s="47" t="s">
        <v>162</v>
      </c>
      <c r="B62" s="51"/>
      <c r="C62" s="1" t="s">
        <v>163</v>
      </c>
      <c r="F62" s="1" t="s">
        <v>164</v>
      </c>
    </row>
    <row r="63" spans="1:6" ht="12.75">
      <c r="A63" s="47" t="s">
        <v>165</v>
      </c>
      <c r="B63" s="52">
        <f>SUM(sda1!E19)</f>
        <v>800</v>
      </c>
      <c r="C63" s="1" t="s">
        <v>166</v>
      </c>
      <c r="D63" s="1" t="s">
        <v>167</v>
      </c>
      <c r="F63" s="1" t="s">
        <v>168</v>
      </c>
    </row>
    <row r="64" spans="1:6" ht="12.75">
      <c r="A64" s="47" t="s">
        <v>169</v>
      </c>
      <c r="B64" s="52">
        <f>SUM(sda1!E20)</f>
        <v>704</v>
      </c>
      <c r="C64" s="1" t="s">
        <v>170</v>
      </c>
      <c r="D64" s="1" t="s">
        <v>171</v>
      </c>
      <c r="F64" s="1" t="s">
        <v>172</v>
      </c>
    </row>
    <row r="65" spans="1:3" ht="12.75">
      <c r="A65" s="47" t="s">
        <v>173</v>
      </c>
      <c r="B65" s="53">
        <f>SUM(sda1!E12)</f>
        <v>0.2</v>
      </c>
      <c r="C65" s="1" t="s">
        <v>174</v>
      </c>
    </row>
    <row r="66" spans="1:3" ht="12.75">
      <c r="A66" s="47"/>
      <c r="B66" s="53">
        <f>ATAN(B65)</f>
        <v>0.19739555984988078</v>
      </c>
      <c r="C66" s="1" t="s">
        <v>175</v>
      </c>
    </row>
    <row r="67" spans="1:5" ht="12.75">
      <c r="A67" s="47"/>
      <c r="B67" s="54">
        <f>DEGREES(B66)</f>
        <v>11.309932474020215</v>
      </c>
      <c r="C67" s="1" t="s">
        <v>176</v>
      </c>
      <c r="E67" s="55"/>
    </row>
    <row r="68" spans="1:6" ht="12.75">
      <c r="A68" s="47" t="s">
        <v>177</v>
      </c>
      <c r="B68" s="56">
        <f>SUM(sda1!E21)</f>
        <v>230</v>
      </c>
      <c r="C68" s="1" t="s">
        <v>178</v>
      </c>
      <c r="F68" s="1" t="s">
        <v>179</v>
      </c>
    </row>
    <row r="69" spans="1:6" ht="12.75">
      <c r="A69" s="47" t="s">
        <v>180</v>
      </c>
      <c r="B69" s="52">
        <f>SUM(sda1!E22)</f>
        <v>200</v>
      </c>
      <c r="C69" s="1" t="s">
        <v>181</v>
      </c>
      <c r="F69" s="1" t="s">
        <v>182</v>
      </c>
    </row>
    <row r="70" spans="1:3" ht="12.75">
      <c r="A70" s="1" t="s">
        <v>183</v>
      </c>
      <c r="C70" s="57" t="s">
        <v>184</v>
      </c>
    </row>
    <row r="71" ht="12.75">
      <c r="D71" s="11"/>
    </row>
    <row r="72" spans="1:17" ht="12.75">
      <c r="A72" s="167" t="s">
        <v>185</v>
      </c>
      <c r="B72" s="167"/>
      <c r="C72" s="58" t="s">
        <v>186</v>
      </c>
      <c r="D72" s="58" t="s">
        <v>187</v>
      </c>
      <c r="E72" s="59" t="s">
        <v>188</v>
      </c>
      <c r="F72" s="59" t="s">
        <v>189</v>
      </c>
      <c r="G72" s="60" t="s">
        <v>190</v>
      </c>
      <c r="H72" s="60" t="s">
        <v>191</v>
      </c>
      <c r="I72" s="60" t="s">
        <v>192</v>
      </c>
      <c r="J72" s="60" t="s">
        <v>193</v>
      </c>
      <c r="K72" s="60" t="s">
        <v>194</v>
      </c>
      <c r="L72" s="60" t="s">
        <v>195</v>
      </c>
      <c r="M72" s="60" t="s">
        <v>196</v>
      </c>
      <c r="N72" s="60" t="s">
        <v>197</v>
      </c>
      <c r="O72" s="58" t="s">
        <v>198</v>
      </c>
      <c r="P72" s="60" t="s">
        <v>199</v>
      </c>
      <c r="Q72" s="60"/>
    </row>
    <row r="73" spans="2:16" ht="12.75" customHeight="1">
      <c r="B73" s="61" t="s">
        <v>200</v>
      </c>
      <c r="C73" s="61">
        <v>65</v>
      </c>
      <c r="D73" s="61">
        <v>30</v>
      </c>
      <c r="E73" s="62">
        <v>1.2</v>
      </c>
      <c r="F73" s="62">
        <v>1.2</v>
      </c>
      <c r="G73" s="63">
        <v>1.77</v>
      </c>
      <c r="H73" s="63">
        <v>1.39</v>
      </c>
      <c r="I73" s="63"/>
      <c r="J73" s="63"/>
      <c r="K73" s="63">
        <v>11.4</v>
      </c>
      <c r="L73" s="63">
        <v>2.5</v>
      </c>
      <c r="M73" s="63">
        <v>3.51</v>
      </c>
      <c r="N73" s="63">
        <v>1.35</v>
      </c>
      <c r="O73" s="64" t="b">
        <f>TRUE()</f>
        <v>1</v>
      </c>
      <c r="P73" s="63">
        <v>123.6</v>
      </c>
    </row>
    <row r="76" ht="12.75">
      <c r="A76" s="1" t="s">
        <v>201</v>
      </c>
    </row>
    <row r="78" ht="12.75">
      <c r="A78" s="1" t="s">
        <v>202</v>
      </c>
    </row>
    <row r="79" ht="12.75">
      <c r="A79" s="1" t="s">
        <v>203</v>
      </c>
    </row>
    <row r="80" spans="2:7" ht="12.75">
      <c r="B80" s="1" t="s">
        <v>204</v>
      </c>
      <c r="D80" s="1" t="s">
        <v>205</v>
      </c>
      <c r="E80" s="65">
        <f>SUM(B61)</f>
        <v>77</v>
      </c>
      <c r="G80" s="1" t="s">
        <v>206</v>
      </c>
    </row>
    <row r="81" ht="12.75">
      <c r="E81" s="65"/>
    </row>
    <row r="82" ht="12.75">
      <c r="E82" s="65"/>
    </row>
    <row r="83" ht="12.75">
      <c r="E83" s="65"/>
    </row>
    <row r="84" spans="1:5" ht="12.75">
      <c r="A84" s="1" t="s">
        <v>207</v>
      </c>
      <c r="E84" s="65"/>
    </row>
    <row r="85" spans="4:7" ht="12.75">
      <c r="D85" s="1" t="s">
        <v>208</v>
      </c>
      <c r="E85" s="65">
        <f>SUM(B56*B57)*B63</f>
        <v>1439.9999999999998</v>
      </c>
      <c r="G85" s="1" t="s">
        <v>209</v>
      </c>
    </row>
    <row r="86" ht="12.75">
      <c r="E86" s="65"/>
    </row>
    <row r="87" ht="12.75">
      <c r="E87" s="65"/>
    </row>
    <row r="88" spans="1:5" ht="12.75">
      <c r="A88" s="1" t="s">
        <v>210</v>
      </c>
      <c r="E88" s="65"/>
    </row>
    <row r="89" spans="1:5" ht="12.75">
      <c r="A89" s="1" t="s">
        <v>211</v>
      </c>
      <c r="E89" s="65"/>
    </row>
    <row r="90" spans="4:7" ht="12.75">
      <c r="D90" s="1" t="s">
        <v>212</v>
      </c>
      <c r="E90" s="65">
        <f>SUM(B64)</f>
        <v>704</v>
      </c>
      <c r="G90" s="1" t="s">
        <v>213</v>
      </c>
    </row>
    <row r="91" ht="12.75">
      <c r="E91" s="65"/>
    </row>
    <row r="92" spans="2:5" ht="12.75">
      <c r="B92" s="1" t="s">
        <v>214</v>
      </c>
      <c r="D92" s="1" t="s">
        <v>215</v>
      </c>
      <c r="E92" s="65"/>
    </row>
    <row r="93" spans="4:7" ht="12.75">
      <c r="D93" s="1" t="s">
        <v>216</v>
      </c>
      <c r="E93" s="66">
        <f>SUM(B61*COS(B66)*B56)+(9.81*H73*COS(B66))</f>
        <v>58.67392725257432</v>
      </c>
      <c r="G93" s="47" t="s">
        <v>217</v>
      </c>
    </row>
    <row r="94" spans="4:7" ht="12.75">
      <c r="D94" s="1" t="s">
        <v>218</v>
      </c>
      <c r="E94" s="65">
        <f>SUM(B63*B56*COS(B66))</f>
        <v>470.67872433164166</v>
      </c>
      <c r="G94" s="47" t="s">
        <v>219</v>
      </c>
    </row>
    <row r="95" spans="4:7" ht="12.75">
      <c r="D95" s="1" t="s">
        <v>220</v>
      </c>
      <c r="E95" s="65">
        <f>SUM(E90*B56)</f>
        <v>422.4</v>
      </c>
      <c r="G95" s="47" t="s">
        <v>221</v>
      </c>
    </row>
    <row r="96" ht="12.75">
      <c r="E96" s="65"/>
    </row>
    <row r="97" spans="2:5" ht="12.75">
      <c r="B97" s="1" t="s">
        <v>222</v>
      </c>
      <c r="E97" s="65"/>
    </row>
    <row r="98" spans="4:7" ht="12.75">
      <c r="D98" s="1" t="s">
        <v>223</v>
      </c>
      <c r="E98" s="65">
        <f>SUM((B61*B56)+(9.81*H73))*SIN(B66)</f>
        <v>11.734785450514865</v>
      </c>
      <c r="G98" s="47" t="s">
        <v>224</v>
      </c>
    </row>
    <row r="99" spans="4:7" ht="12.75">
      <c r="D99" s="1" t="s">
        <v>225</v>
      </c>
      <c r="E99" s="65">
        <f>SUM(B63*B56)*SIN(B66)</f>
        <v>94.13574486632834</v>
      </c>
      <c r="G99" s="47" t="s">
        <v>226</v>
      </c>
    </row>
    <row r="102" spans="1:3" ht="12.75">
      <c r="A102" s="1" t="s">
        <v>227</v>
      </c>
      <c r="C102" s="47" t="s">
        <v>228</v>
      </c>
    </row>
    <row r="103" spans="4:7" ht="12.75">
      <c r="D103" s="1" t="s">
        <v>229</v>
      </c>
      <c r="E103" s="63">
        <f>SUM(E93+E94)</f>
        <v>529.352651584216</v>
      </c>
      <c r="G103" s="47" t="s">
        <v>230</v>
      </c>
    </row>
    <row r="104" spans="4:7" ht="12.75">
      <c r="D104" s="1" t="s">
        <v>231</v>
      </c>
      <c r="E104" s="63">
        <f>SUM(E98+E99)</f>
        <v>105.8705303168432</v>
      </c>
      <c r="G104" s="47" t="s">
        <v>232</v>
      </c>
    </row>
    <row r="106" spans="1:3" ht="12.75">
      <c r="A106" s="1" t="s">
        <v>233</v>
      </c>
      <c r="C106" s="1" t="s">
        <v>234</v>
      </c>
    </row>
    <row r="107" spans="4:7" ht="12.75">
      <c r="D107" s="1" t="s">
        <v>235</v>
      </c>
      <c r="E107" s="63">
        <f>SUM(E93+E94+E95)*0.75</f>
        <v>713.814488688162</v>
      </c>
      <c r="G107" s="47" t="s">
        <v>236</v>
      </c>
    </row>
    <row r="108" spans="4:7" ht="12.75">
      <c r="D108" s="1" t="s">
        <v>237</v>
      </c>
      <c r="E108" s="63">
        <f>SUM(E98+E99)*0.75</f>
        <v>79.4028977376324</v>
      </c>
      <c r="G108" s="47" t="s">
        <v>238</v>
      </c>
    </row>
    <row r="110" spans="1:10" ht="12.75">
      <c r="A110" s="1" t="s">
        <v>239</v>
      </c>
      <c r="C110" s="67"/>
      <c r="H110" s="68"/>
      <c r="I110" s="68"/>
      <c r="J110" s="68"/>
    </row>
    <row r="111" spans="3:10" ht="12.75">
      <c r="C111" s="67"/>
      <c r="D111" s="69">
        <v>2</v>
      </c>
      <c r="H111" s="70"/>
      <c r="I111" s="71"/>
      <c r="J111" s="68"/>
    </row>
    <row r="112" spans="1:11" ht="12.75">
      <c r="A112" s="1" t="s">
        <v>240</v>
      </c>
      <c r="C112" s="72" t="s">
        <v>241</v>
      </c>
      <c r="K112" s="73"/>
    </row>
    <row r="113" spans="4:11" ht="12.75">
      <c r="D113" s="1" t="s">
        <v>242</v>
      </c>
      <c r="E113" s="62">
        <f>SUM(E103*B57*B57)/8</f>
        <v>595.521733032243</v>
      </c>
      <c r="F113" s="74" t="s">
        <v>243</v>
      </c>
      <c r="H113" s="62">
        <f>SUM(E103*B57*B57/32)</f>
        <v>148.88043325806075</v>
      </c>
      <c r="I113" s="62">
        <f>SUM(E103*B57*B57/90)</f>
        <v>52.9352651584216</v>
      </c>
      <c r="J113" s="75"/>
      <c r="K113" s="73"/>
    </row>
    <row r="114" spans="3:11" ht="12.75">
      <c r="C114" s="67"/>
      <c r="D114" s="69"/>
      <c r="E114" s="62"/>
      <c r="F114" s="74"/>
      <c r="H114" s="73"/>
      <c r="I114" s="73"/>
      <c r="J114" s="73"/>
      <c r="K114" s="73"/>
    </row>
    <row r="115" spans="3:11" ht="12.75">
      <c r="C115" s="72" t="s">
        <v>244</v>
      </c>
      <c r="E115" s="62"/>
      <c r="F115" s="74"/>
      <c r="H115" s="1" t="s">
        <v>245</v>
      </c>
      <c r="I115" s="1" t="s">
        <v>246</v>
      </c>
      <c r="J115" s="76"/>
      <c r="K115" s="73"/>
    </row>
    <row r="116" spans="4:9" ht="12.75">
      <c r="D116" s="1" t="s">
        <v>247</v>
      </c>
      <c r="E116" s="62">
        <f>SUM(E104*B57*B57)/8</f>
        <v>119.1043466064486</v>
      </c>
      <c r="F116" s="74" t="s">
        <v>248</v>
      </c>
      <c r="H116" s="62">
        <f>SUM(E104*B57*B57)/32</f>
        <v>29.77608665161215</v>
      </c>
      <c r="I116" s="62">
        <f>SUM(E104*B57*B57)/90</f>
        <v>10.58705303168432</v>
      </c>
    </row>
    <row r="118" ht="12.75">
      <c r="A118" s="1" t="s">
        <v>249</v>
      </c>
    </row>
    <row r="119" spans="4:5" ht="12.75">
      <c r="D119" s="1" t="s">
        <v>250</v>
      </c>
      <c r="E119" s="63">
        <f>SUM(E107*B57*B57)/8</f>
        <v>803.0412997741823</v>
      </c>
    </row>
    <row r="120" ht="12.75">
      <c r="E120" s="63"/>
    </row>
    <row r="121" spans="4:5" ht="12.75">
      <c r="D121" s="1" t="s">
        <v>251</v>
      </c>
      <c r="E121" s="63">
        <f>SUM(E108*B57*B57)/8</f>
        <v>89.32825995483645</v>
      </c>
    </row>
    <row r="123" ht="12.75">
      <c r="A123" s="1" t="s">
        <v>252</v>
      </c>
    </row>
    <row r="125" ht="12.75">
      <c r="A125" s="1" t="s">
        <v>253</v>
      </c>
    </row>
    <row r="127" spans="2:5" ht="12.75">
      <c r="B127" s="1" t="s">
        <v>254</v>
      </c>
      <c r="C127" s="63">
        <f>SUM(E113/M73)</f>
        <v>169.66431140519745</v>
      </c>
      <c r="E127" s="74" t="s">
        <v>255</v>
      </c>
    </row>
    <row r="128" ht="12.75">
      <c r="E128" s="74"/>
    </row>
    <row r="129" spans="2:5" ht="12.75">
      <c r="B129" s="1" t="s">
        <v>256</v>
      </c>
      <c r="C129" s="63">
        <f>SUM(E116/(0.5*N73))</f>
        <v>176.45088386140532</v>
      </c>
      <c r="E129" s="74" t="s">
        <v>257</v>
      </c>
    </row>
    <row r="132" ht="12.75">
      <c r="A132" s="1" t="s">
        <v>258</v>
      </c>
    </row>
    <row r="134" spans="2:5" ht="12.75">
      <c r="B134" s="1" t="s">
        <v>259</v>
      </c>
      <c r="C134" s="63">
        <f>SUM(E119/M73)</f>
        <v>228.78669509235965</v>
      </c>
      <c r="E134" s="74" t="s">
        <v>260</v>
      </c>
    </row>
    <row r="136" spans="2:5" ht="12.75">
      <c r="B136" s="1" t="s">
        <v>261</v>
      </c>
      <c r="C136" s="63">
        <f>SUM(E121/(0.5*N73))</f>
        <v>132.338162896054</v>
      </c>
      <c r="E136" s="74" t="s">
        <v>262</v>
      </c>
    </row>
    <row r="139" spans="1:4" ht="12.75">
      <c r="A139" s="1" t="s">
        <v>263</v>
      </c>
      <c r="C139" s="77" t="s">
        <v>264</v>
      </c>
      <c r="D139" s="78">
        <f>SUM(B68)</f>
        <v>230</v>
      </c>
    </row>
    <row r="141" spans="2:3" ht="12.75">
      <c r="B141" s="1" t="s">
        <v>265</v>
      </c>
      <c r="C141" s="63">
        <f>SUM(D73/(2*F73))</f>
        <v>12.5</v>
      </c>
    </row>
    <row r="143" spans="2:3" ht="12.75">
      <c r="B143" s="72" t="s">
        <v>266</v>
      </c>
      <c r="C143" s="79">
        <f>SUM(170/SQRT(248))</f>
        <v>10.795010795016193</v>
      </c>
    </row>
    <row r="146" spans="3:5" ht="12.75">
      <c r="C146" s="80" t="s">
        <v>267</v>
      </c>
      <c r="E146" s="1" t="s">
        <v>268</v>
      </c>
    </row>
    <row r="147" spans="2:4" ht="12.75">
      <c r="B147" s="1" t="s">
        <v>269</v>
      </c>
      <c r="C147" s="1">
        <f>SUM(0.66*D139)</f>
        <v>151.8</v>
      </c>
      <c r="D147" s="47" t="s">
        <v>270</v>
      </c>
    </row>
    <row r="148" spans="2:4" ht="12.75">
      <c r="B148" s="1" t="s">
        <v>271</v>
      </c>
      <c r="C148" s="1">
        <f>SUM(0.6*D139)</f>
        <v>138.00000000000003</v>
      </c>
      <c r="D148" s="47" t="s">
        <v>272</v>
      </c>
    </row>
    <row r="149" ht="12.75">
      <c r="A149" s="1" t="s">
        <v>273</v>
      </c>
    </row>
    <row r="151" ht="12.75">
      <c r="A151" s="1" t="s">
        <v>274</v>
      </c>
    </row>
    <row r="152" spans="3:6" ht="12.75">
      <c r="C152" s="79">
        <f>SUM(C127/C147)+(C129/C148)</f>
        <v>2.3963128040365165</v>
      </c>
      <c r="E152" s="1" t="s">
        <v>275</v>
      </c>
      <c r="F152" s="80" t="str">
        <f>IF(C152&lt;1,"OK   !!!","FAILS")</f>
        <v>FAILS</v>
      </c>
    </row>
    <row r="154" ht="12.75">
      <c r="A154" s="1" t="s">
        <v>276</v>
      </c>
    </row>
    <row r="155" spans="3:6" ht="12.75">
      <c r="C155" s="63">
        <f>SUM(C134/C147)+(C136/C148)</f>
        <v>2.466130924097622</v>
      </c>
      <c r="E155" s="1" t="s">
        <v>277</v>
      </c>
      <c r="F155" s="80" t="str">
        <f>IF(C155&lt;1,"OK   !!!","FAILS")</f>
        <v>FAILS</v>
      </c>
    </row>
    <row r="158" spans="5:6" ht="12.75">
      <c r="E158" s="23" t="s">
        <v>278</v>
      </c>
      <c r="F158" s="23"/>
    </row>
    <row r="160" ht="12.75">
      <c r="A160" s="1" t="s">
        <v>279</v>
      </c>
    </row>
    <row r="161" ht="12.75">
      <c r="G161" s="1">
        <f>EXP(4)</f>
        <v>54.598150033144236</v>
      </c>
    </row>
    <row r="162" spans="1:5" ht="12.75">
      <c r="A162" s="1" t="s">
        <v>280</v>
      </c>
      <c r="D162" s="63">
        <f>SUM(B57/180)*1000</f>
        <v>16.666666666666668</v>
      </c>
      <c r="E162" s="81" t="s">
        <v>281</v>
      </c>
    </row>
    <row r="165" spans="2:7" ht="12.75">
      <c r="B165" s="1" t="s">
        <v>282</v>
      </c>
      <c r="D165" s="63">
        <f>SUM((5*E107*(POWER(B57,4))*100))/(384*200*K73)</f>
        <v>33.01979028676736</v>
      </c>
      <c r="E165" s="81" t="s">
        <v>283</v>
      </c>
      <c r="F165" s="47" t="s">
        <v>284</v>
      </c>
      <c r="G165" s="82">
        <f>SUM(D162)</f>
        <v>16.666666666666668</v>
      </c>
    </row>
    <row r="166" spans="4:7" ht="12.75">
      <c r="D166" s="63"/>
      <c r="F166" s="47"/>
      <c r="G166" s="80"/>
    </row>
    <row r="167" spans="2:7" ht="12.75">
      <c r="B167" s="1" t="s">
        <v>285</v>
      </c>
      <c r="D167" s="63">
        <f>SUM((5*E104*(POWER(B57,4))*100))/(384*200*L73)</f>
        <v>22.332064988709114</v>
      </c>
      <c r="E167" s="81" t="s">
        <v>286</v>
      </c>
      <c r="F167" s="47" t="s">
        <v>287</v>
      </c>
      <c r="G167" s="82">
        <f>SUM(D162)</f>
        <v>16.666666666666668</v>
      </c>
    </row>
    <row r="171" spans="1:7" ht="12.75">
      <c r="A171" s="23" t="s">
        <v>288</v>
      </c>
      <c r="B171" s="23"/>
      <c r="C171" s="23"/>
      <c r="D171" s="23"/>
      <c r="E171" s="23"/>
      <c r="F171" s="23"/>
      <c r="G171" s="23"/>
    </row>
    <row r="172" spans="1:7" ht="12.75">
      <c r="A172" s="23" t="s">
        <v>289</v>
      </c>
      <c r="B172" s="23"/>
      <c r="C172" s="23"/>
      <c r="D172" s="23"/>
      <c r="E172" s="23"/>
      <c r="F172" s="23"/>
      <c r="G172" s="23"/>
    </row>
    <row r="173" spans="1:10" ht="12.75">
      <c r="A173" s="160" t="s">
        <v>290</v>
      </c>
      <c r="B173" s="160"/>
      <c r="C173" s="160"/>
      <c r="D173" s="3"/>
      <c r="E173" s="3"/>
      <c r="F173" s="3"/>
      <c r="G173" s="3"/>
      <c r="H173" s="24">
        <f ca="1">TODAY()</f>
        <v>39477</v>
      </c>
      <c r="I173" s="3"/>
      <c r="J173" s="5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5"/>
    </row>
    <row r="175" spans="1:10" ht="12.75">
      <c r="A175" s="160" t="s">
        <v>291</v>
      </c>
      <c r="B175" s="160"/>
      <c r="C175" s="160"/>
      <c r="D175" s="3" t="s">
        <v>292</v>
      </c>
      <c r="E175" s="3" t="s">
        <v>293</v>
      </c>
      <c r="F175" s="3"/>
      <c r="G175" s="3"/>
      <c r="H175" s="3"/>
      <c r="I175" s="3"/>
      <c r="J175" s="5"/>
    </row>
    <row r="176" spans="1:10" ht="12.75">
      <c r="A176" s="160" t="s">
        <v>294</v>
      </c>
      <c r="B176" s="160"/>
      <c r="C176" s="160"/>
      <c r="D176" s="3" t="s">
        <v>295</v>
      </c>
      <c r="E176" s="25" t="s">
        <v>296</v>
      </c>
      <c r="F176" s="3"/>
      <c r="G176" s="3"/>
      <c r="H176" s="3"/>
      <c r="I176" s="3"/>
      <c r="J176" s="5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5"/>
    </row>
    <row r="178" spans="1:10" ht="12.75">
      <c r="A178" s="3" t="s">
        <v>297</v>
      </c>
      <c r="B178" s="3"/>
      <c r="C178" s="3"/>
      <c r="D178" s="3"/>
      <c r="E178" s="3"/>
      <c r="F178" s="3"/>
      <c r="G178" s="3"/>
      <c r="H178" s="3"/>
      <c r="I178" s="3"/>
      <c r="J178" s="5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5"/>
    </row>
    <row r="180" spans="1:10" ht="12.75">
      <c r="A180" s="3" t="s">
        <v>298</v>
      </c>
      <c r="B180" s="3"/>
      <c r="C180" s="3"/>
      <c r="D180" s="3" t="s">
        <v>299</v>
      </c>
      <c r="E180" s="163" t="s">
        <v>300</v>
      </c>
      <c r="F180" s="163"/>
      <c r="G180" s="3"/>
      <c r="H180" s="3"/>
      <c r="I180" s="3"/>
      <c r="J180" s="5"/>
    </row>
    <row r="181" spans="1:10" ht="12.75">
      <c r="A181" s="3" t="s">
        <v>301</v>
      </c>
      <c r="B181" s="3"/>
      <c r="C181" s="3"/>
      <c r="D181" s="3" t="s">
        <v>302</v>
      </c>
      <c r="E181" s="163" t="s">
        <v>303</v>
      </c>
      <c r="F181" s="163"/>
      <c r="G181" s="3"/>
      <c r="H181" s="3"/>
      <c r="I181" s="3"/>
      <c r="J181" s="5"/>
    </row>
    <row r="182" spans="1:10" ht="12.75">
      <c r="A182" s="3" t="s">
        <v>304</v>
      </c>
      <c r="B182" s="3"/>
      <c r="C182" s="3"/>
      <c r="D182" s="3" t="s">
        <v>305</v>
      </c>
      <c r="E182" s="27">
        <f>SUM(E12)</f>
        <v>0.2</v>
      </c>
      <c r="F182" s="4"/>
      <c r="G182" s="3"/>
      <c r="H182" s="3"/>
      <c r="I182" s="3"/>
      <c r="J182" s="5"/>
    </row>
    <row r="183" spans="1:10" ht="12.75">
      <c r="A183" s="3" t="s">
        <v>306</v>
      </c>
      <c r="B183" s="3"/>
      <c r="C183" s="3"/>
      <c r="D183" s="3" t="s">
        <v>307</v>
      </c>
      <c r="E183" s="27">
        <f>SUM(E13)</f>
        <v>3</v>
      </c>
      <c r="F183" s="4" t="s">
        <v>308</v>
      </c>
      <c r="G183" s="3"/>
      <c r="H183" s="3"/>
      <c r="I183" s="3"/>
      <c r="J183" s="5"/>
    </row>
    <row r="184" spans="1:10" ht="12.75">
      <c r="A184" s="3" t="s">
        <v>309</v>
      </c>
      <c r="B184" s="3"/>
      <c r="C184" s="3"/>
      <c r="D184" s="3" t="s">
        <v>310</v>
      </c>
      <c r="E184" s="27">
        <f>SUM(E14)</f>
        <v>0.6</v>
      </c>
      <c r="F184" s="4" t="s">
        <v>311</v>
      </c>
      <c r="G184" s="3"/>
      <c r="H184" s="3"/>
      <c r="I184" s="3"/>
      <c r="J184" s="5"/>
    </row>
    <row r="185" spans="1:10" ht="12.75">
      <c r="A185" s="3"/>
      <c r="B185" s="3"/>
      <c r="C185" s="3"/>
      <c r="D185" s="3"/>
      <c r="E185" s="28"/>
      <c r="F185" s="4"/>
      <c r="G185" s="3"/>
      <c r="H185" s="3"/>
      <c r="I185" s="3"/>
      <c r="J185" s="5"/>
    </row>
    <row r="186" spans="1:10" ht="12.75">
      <c r="A186" s="3" t="s">
        <v>312</v>
      </c>
      <c r="B186" s="3"/>
      <c r="C186" s="3"/>
      <c r="D186" s="3"/>
      <c r="E186" s="28"/>
      <c r="F186" s="4"/>
      <c r="G186" s="3"/>
      <c r="H186" s="3"/>
      <c r="I186" s="3"/>
      <c r="J186" s="5"/>
    </row>
    <row r="187" spans="1:10" ht="12.75">
      <c r="A187" s="3"/>
      <c r="B187" s="3"/>
      <c r="C187" s="3"/>
      <c r="D187" s="3"/>
      <c r="E187" s="28"/>
      <c r="F187" s="4"/>
      <c r="G187" s="3"/>
      <c r="H187" s="3"/>
      <c r="I187" s="3"/>
      <c r="J187" s="5"/>
    </row>
    <row r="188" spans="1:10" ht="12.75">
      <c r="A188" s="3" t="s">
        <v>313</v>
      </c>
      <c r="B188" s="3"/>
      <c r="C188" s="3"/>
      <c r="D188" s="3" t="s">
        <v>314</v>
      </c>
      <c r="E188" s="28">
        <f>SUM(E18)</f>
        <v>77</v>
      </c>
      <c r="F188" s="4" t="s">
        <v>315</v>
      </c>
      <c r="G188" s="3"/>
      <c r="H188" s="3"/>
      <c r="I188" s="3"/>
      <c r="J188" s="5"/>
    </row>
    <row r="189" spans="1:10" ht="12.75">
      <c r="A189" s="3" t="s">
        <v>316</v>
      </c>
      <c r="B189" s="3"/>
      <c r="C189" s="3"/>
      <c r="D189" s="3" t="s">
        <v>317</v>
      </c>
      <c r="E189" s="28">
        <f>SUM(E19)</f>
        <v>800</v>
      </c>
      <c r="F189" s="4" t="s">
        <v>318</v>
      </c>
      <c r="G189" s="3"/>
      <c r="H189" s="3"/>
      <c r="I189" s="3"/>
      <c r="J189" s="5"/>
    </row>
    <row r="190" spans="1:10" ht="12.75">
      <c r="A190" s="3" t="s">
        <v>319</v>
      </c>
      <c r="B190" s="3"/>
      <c r="C190" s="3"/>
      <c r="D190" s="3" t="s">
        <v>320</v>
      </c>
      <c r="E190" s="28">
        <f>SUM(E20)</f>
        <v>704</v>
      </c>
      <c r="F190" s="4" t="s">
        <v>321</v>
      </c>
      <c r="G190" s="3"/>
      <c r="H190" s="3"/>
      <c r="I190" s="3"/>
      <c r="J190" s="5"/>
    </row>
    <row r="191" spans="1:10" ht="12.75">
      <c r="A191" s="3" t="s">
        <v>322</v>
      </c>
      <c r="B191" s="3"/>
      <c r="C191" s="3"/>
      <c r="D191" s="3" t="s">
        <v>323</v>
      </c>
      <c r="E191" s="28">
        <f>SUM(E21)</f>
        <v>230</v>
      </c>
      <c r="F191" s="4" t="s">
        <v>324</v>
      </c>
      <c r="G191" s="3"/>
      <c r="H191" s="3"/>
      <c r="I191" s="3"/>
      <c r="J191" s="5"/>
    </row>
    <row r="192" spans="1:10" ht="12.75">
      <c r="A192" s="3" t="s">
        <v>325</v>
      </c>
      <c r="B192" s="3"/>
      <c r="C192" s="3"/>
      <c r="D192" s="3" t="s">
        <v>326</v>
      </c>
      <c r="E192" s="28">
        <f>SUM(E22)</f>
        <v>200</v>
      </c>
      <c r="F192" s="4" t="s">
        <v>327</v>
      </c>
      <c r="G192" s="3"/>
      <c r="H192" s="3"/>
      <c r="I192" s="3"/>
      <c r="J192" s="5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5"/>
    </row>
    <row r="194" spans="1:10" ht="12.75">
      <c r="A194" s="3" t="s">
        <v>328</v>
      </c>
      <c r="B194" s="3"/>
      <c r="C194" s="3"/>
      <c r="D194" s="3"/>
      <c r="E194" s="3"/>
      <c r="F194" s="3"/>
      <c r="G194" s="3"/>
      <c r="H194" s="3"/>
      <c r="I194" s="3"/>
      <c r="J194" s="5"/>
    </row>
    <row r="195" spans="1:11" ht="12.75">
      <c r="A195" s="11"/>
      <c r="B195" s="164" t="s">
        <v>329</v>
      </c>
      <c r="C195" s="164"/>
      <c r="D195" s="29" t="s">
        <v>330</v>
      </c>
      <c r="E195" s="29" t="s">
        <v>331</v>
      </c>
      <c r="F195" s="30" t="s">
        <v>332</v>
      </c>
      <c r="G195" s="30" t="s">
        <v>333</v>
      </c>
      <c r="H195" s="31" t="s">
        <v>334</v>
      </c>
      <c r="I195" s="31" t="s">
        <v>335</v>
      </c>
      <c r="J195" s="11"/>
      <c r="K195" s="11"/>
    </row>
    <row r="196" spans="1:11" ht="12.75">
      <c r="A196" s="11"/>
      <c r="B196" s="165" t="str">
        <f>REPT(B243,1)</f>
        <v>LC  65x30x15x1.2</v>
      </c>
      <c r="C196" s="165"/>
      <c r="D196" s="32">
        <f aca="true" t="shared" si="2" ref="D196:I196">SUM(C243)</f>
        <v>65</v>
      </c>
      <c r="E196" s="32">
        <f t="shared" si="2"/>
        <v>30</v>
      </c>
      <c r="F196" s="32">
        <f t="shared" si="2"/>
        <v>1.2</v>
      </c>
      <c r="G196" s="32">
        <f t="shared" si="2"/>
        <v>1.2</v>
      </c>
      <c r="H196" s="32">
        <f t="shared" si="2"/>
        <v>1.77</v>
      </c>
      <c r="I196" s="32">
        <f t="shared" si="2"/>
        <v>1.39</v>
      </c>
      <c r="J196" s="11"/>
      <c r="K196" s="11"/>
    </row>
    <row r="197" spans="1:11" ht="12.75">
      <c r="A197" s="11"/>
      <c r="B197" s="31" t="s">
        <v>336</v>
      </c>
      <c r="C197" s="31" t="s">
        <v>337</v>
      </c>
      <c r="D197" s="31" t="s">
        <v>338</v>
      </c>
      <c r="E197" s="31" t="s">
        <v>339</v>
      </c>
      <c r="F197" s="31" t="s">
        <v>340</v>
      </c>
      <c r="G197" s="31" t="s">
        <v>341</v>
      </c>
      <c r="H197" s="29" t="s">
        <v>342</v>
      </c>
      <c r="I197" s="31" t="s">
        <v>343</v>
      </c>
      <c r="J197" s="2"/>
      <c r="K197" s="13"/>
    </row>
    <row r="198" spans="1:11" ht="12.75">
      <c r="A198" s="11"/>
      <c r="B198" s="33">
        <f aca="true" t="shared" si="3" ref="B198:G198">SUM(I243)</f>
        <v>0</v>
      </c>
      <c r="C198" s="33">
        <f t="shared" si="3"/>
        <v>0</v>
      </c>
      <c r="D198" s="32">
        <f t="shared" si="3"/>
        <v>11.4</v>
      </c>
      <c r="E198" s="32">
        <f t="shared" si="3"/>
        <v>2.5</v>
      </c>
      <c r="F198" s="32">
        <f t="shared" si="3"/>
        <v>3.51</v>
      </c>
      <c r="G198" s="32">
        <f t="shared" si="3"/>
        <v>1.35</v>
      </c>
      <c r="H198" s="32" t="str">
        <f>REPT(O243,1)</f>
        <v>TRUE</v>
      </c>
      <c r="I198" s="32">
        <f>SUM(P243)</f>
        <v>123.6</v>
      </c>
      <c r="J198" s="2"/>
      <c r="K198" s="13"/>
    </row>
    <row r="199" spans="1:10" ht="12.75">
      <c r="A199" s="3" t="s">
        <v>344</v>
      </c>
      <c r="B199" s="11"/>
      <c r="C199" s="11"/>
      <c r="D199" s="3"/>
      <c r="E199" s="3"/>
      <c r="F199" s="3"/>
      <c r="G199" s="3"/>
      <c r="H199" s="3"/>
      <c r="I199" s="3"/>
      <c r="J199" s="5"/>
    </row>
    <row r="200" spans="1:10" ht="12.75">
      <c r="A200" s="3"/>
      <c r="B200" s="11"/>
      <c r="C200" s="11"/>
      <c r="D200" s="3"/>
      <c r="E200" s="3"/>
      <c r="F200" s="3"/>
      <c r="G200" s="3"/>
      <c r="H200" s="3"/>
      <c r="I200" s="3"/>
      <c r="J200" s="5"/>
    </row>
    <row r="201" spans="1:10" ht="12.75">
      <c r="A201" s="3" t="s">
        <v>345</v>
      </c>
      <c r="B201" s="3"/>
      <c r="C201" s="3"/>
      <c r="D201" s="16"/>
      <c r="E201" s="16"/>
      <c r="F201" s="3"/>
      <c r="G201" s="3"/>
      <c r="H201" s="3"/>
      <c r="I201" s="3"/>
      <c r="J201" s="5"/>
    </row>
    <row r="202" spans="1:10" ht="12.75">
      <c r="A202" s="4" t="s">
        <v>346</v>
      </c>
      <c r="B202" s="34">
        <f>SUM(E283)</f>
        <v>148.88043325806075</v>
      </c>
      <c r="C202" s="3" t="s">
        <v>347</v>
      </c>
      <c r="D202" s="35" t="s">
        <v>348</v>
      </c>
      <c r="E202" s="36" t="e">
        <f>NA()</f>
        <v>#N/A</v>
      </c>
      <c r="F202" s="3" t="s">
        <v>349</v>
      </c>
      <c r="G202" s="3"/>
      <c r="H202" s="3"/>
      <c r="I202" s="3"/>
      <c r="J202" s="5"/>
    </row>
    <row r="203" spans="1:10" ht="12.75">
      <c r="A203" s="3" t="s">
        <v>350</v>
      </c>
      <c r="B203" s="3"/>
      <c r="C203" s="3"/>
      <c r="D203" s="3"/>
      <c r="E203" s="3"/>
      <c r="F203" s="3"/>
      <c r="G203" s="3"/>
      <c r="H203" s="3"/>
      <c r="I203" s="3"/>
      <c r="J203" s="5"/>
    </row>
    <row r="204" spans="1:10" ht="12.75">
      <c r="A204" s="4" t="s">
        <v>351</v>
      </c>
      <c r="B204" s="38">
        <f>SUM(C297)</f>
        <v>42.41607785129936</v>
      </c>
      <c r="C204" s="3" t="s">
        <v>352</v>
      </c>
      <c r="D204" s="4" t="s">
        <v>353</v>
      </c>
      <c r="E204" s="38">
        <f>SUM(I198)</f>
        <v>123.6</v>
      </c>
      <c r="F204" s="3" t="s">
        <v>354</v>
      </c>
      <c r="G204" s="3"/>
      <c r="H204" s="3"/>
      <c r="I204" s="3"/>
      <c r="J204" s="5"/>
    </row>
    <row r="205" spans="1:10" ht="12.75">
      <c r="A205" s="4" t="s">
        <v>355</v>
      </c>
      <c r="B205" s="38">
        <f>SUM(C299)</f>
        <v>44.11272096535133</v>
      </c>
      <c r="C205" s="3" t="s">
        <v>356</v>
      </c>
      <c r="D205" s="4" t="s">
        <v>357</v>
      </c>
      <c r="E205" s="38">
        <f>SUM(I198)</f>
        <v>123.6</v>
      </c>
      <c r="F205" s="3" t="s">
        <v>358</v>
      </c>
      <c r="G205" s="3"/>
      <c r="H205" s="3"/>
      <c r="I205" s="3"/>
      <c r="J205" s="5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5"/>
    </row>
    <row r="207" spans="1:10" ht="12.75">
      <c r="A207" s="3" t="s">
        <v>359</v>
      </c>
      <c r="B207" s="3"/>
      <c r="C207" s="3"/>
      <c r="D207" s="3"/>
      <c r="E207" s="3"/>
      <c r="F207" s="3" t="s">
        <v>360</v>
      </c>
      <c r="G207" s="3"/>
      <c r="H207" s="3"/>
      <c r="I207" s="3"/>
      <c r="J207" s="5"/>
    </row>
    <row r="208" spans="1:10" ht="12.75">
      <c r="A208" s="3"/>
      <c r="B208" s="3"/>
      <c r="C208" s="3"/>
      <c r="D208" s="3"/>
      <c r="E208" s="3"/>
      <c r="F208" s="3" t="s">
        <v>361</v>
      </c>
      <c r="G208" s="4" t="s">
        <v>362</v>
      </c>
      <c r="H208" s="3"/>
      <c r="I208" s="3"/>
      <c r="J208" s="5"/>
    </row>
    <row r="209" spans="1:10" ht="12.75">
      <c r="A209" s="4" t="s">
        <v>363</v>
      </c>
      <c r="B209" s="8">
        <f>IF(C322&gt;C325,1,2)</f>
        <v>2</v>
      </c>
      <c r="C209" s="3"/>
      <c r="D209" s="3"/>
      <c r="E209" s="3"/>
      <c r="F209" s="3"/>
      <c r="G209" s="38">
        <f>SUM(D332)</f>
        <v>16.666666666666668</v>
      </c>
      <c r="H209" s="4" t="s">
        <v>364</v>
      </c>
      <c r="I209" s="3"/>
      <c r="J209" s="5"/>
    </row>
    <row r="210" spans="1:10" ht="12.75">
      <c r="A210" s="4"/>
      <c r="B210" s="3"/>
      <c r="C210" s="39" t="str">
        <f>IF(C322&gt;C325,"DL+LL",".75(DL+LL)")</f>
        <v>.75(DL+LL)</v>
      </c>
      <c r="D210" s="3" t="s">
        <v>365</v>
      </c>
      <c r="E210" s="3"/>
      <c r="F210" s="3"/>
      <c r="G210" s="40"/>
      <c r="H210" s="4"/>
      <c r="I210" s="3"/>
      <c r="J210" s="5"/>
    </row>
    <row r="211" spans="1:10" ht="12.75">
      <c r="A211" s="4"/>
      <c r="B211" s="3"/>
      <c r="C211" s="3"/>
      <c r="D211" s="3"/>
      <c r="E211" s="3"/>
      <c r="F211" s="3" t="s">
        <v>366</v>
      </c>
      <c r="G211" s="38">
        <f>SUM(D335)</f>
        <v>33.01979028676736</v>
      </c>
      <c r="H211" s="4" t="s">
        <v>367</v>
      </c>
      <c r="I211" s="41">
        <f>SUM(G335)</f>
        <v>16.666666666666668</v>
      </c>
      <c r="J211" s="39" t="str">
        <f>IF(G211&lt;G209,"OK  !!! ","FAILS ")</f>
        <v>FAILS </v>
      </c>
    </row>
    <row r="212" spans="1:10" ht="12.75">
      <c r="A212" s="160" t="s">
        <v>368</v>
      </c>
      <c r="B212" s="160"/>
      <c r="C212" s="160"/>
      <c r="D212" s="160"/>
      <c r="E212" s="3"/>
      <c r="F212" s="3" t="s">
        <v>369</v>
      </c>
      <c r="G212" s="38">
        <f>SUM(D337)</f>
        <v>22.332064988709114</v>
      </c>
      <c r="H212" s="4" t="s">
        <v>370</v>
      </c>
      <c r="I212" s="41">
        <f>SUM(G337)</f>
        <v>16.666666666666668</v>
      </c>
      <c r="J212" s="39" t="str">
        <f>IF(G212&lt;G209,"OK   !!!","FAILS")</f>
        <v>FAILS</v>
      </c>
    </row>
    <row r="213" spans="1:10" ht="12.75">
      <c r="A213" s="22"/>
      <c r="B213" s="43">
        <f>SUM(B204/E204)+(B205/E205)</f>
        <v>0.7000711878369797</v>
      </c>
      <c r="C213" s="22" t="s">
        <v>371</v>
      </c>
      <c r="D213" s="83" t="str">
        <f>IF(B213&lt;1,"OK  !!! ","FAILS")</f>
        <v>OK  !!! </v>
      </c>
      <c r="E213" s="3"/>
      <c r="F213" s="3"/>
      <c r="G213" s="3"/>
      <c r="H213" s="3"/>
      <c r="I213" s="3"/>
      <c r="J213" s="5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5"/>
    </row>
    <row r="215" spans="1:10" ht="12.75">
      <c r="A215" s="45"/>
      <c r="B215" s="45"/>
      <c r="C215" s="45"/>
      <c r="D215" s="45"/>
      <c r="E215" s="45"/>
      <c r="F215" s="45"/>
      <c r="G215" s="45"/>
      <c r="H215" s="45"/>
      <c r="I215" s="45"/>
      <c r="J215" s="46"/>
    </row>
    <row r="219" spans="1:3" ht="18">
      <c r="A219" s="166" t="s">
        <v>372</v>
      </c>
      <c r="B219" s="166"/>
      <c r="C219" s="166"/>
    </row>
    <row r="222" spans="1:6" ht="12.75">
      <c r="A222" s="47" t="s">
        <v>373</v>
      </c>
      <c r="B222" s="48">
        <v>6</v>
      </c>
      <c r="C222" s="1" t="s">
        <v>374</v>
      </c>
      <c r="F222" s="1" t="s">
        <v>375</v>
      </c>
    </row>
    <row r="223" spans="1:6" ht="12.75">
      <c r="A223" s="47" t="s">
        <v>376</v>
      </c>
      <c r="B223" s="48">
        <v>6</v>
      </c>
      <c r="C223" s="1" t="s">
        <v>377</v>
      </c>
      <c r="F223" s="1" t="s">
        <v>378</v>
      </c>
    </row>
    <row r="224" spans="1:9" ht="12.75">
      <c r="A224" s="47" t="s">
        <v>379</v>
      </c>
      <c r="B224" s="48">
        <v>6</v>
      </c>
      <c r="C224" s="1" t="s">
        <v>380</v>
      </c>
      <c r="F224" s="1" t="s">
        <v>381</v>
      </c>
      <c r="G224" s="1" t="s">
        <v>382</v>
      </c>
      <c r="I224" s="1" t="s">
        <v>383</v>
      </c>
    </row>
    <row r="225" spans="1:9" ht="12.75">
      <c r="A225" s="47" t="s">
        <v>384</v>
      </c>
      <c r="B225" s="48">
        <v>6</v>
      </c>
      <c r="C225" s="1" t="s">
        <v>385</v>
      </c>
      <c r="F225" s="1" t="s">
        <v>386</v>
      </c>
      <c r="G225" s="1" t="s">
        <v>387</v>
      </c>
      <c r="I225" s="1" t="s">
        <v>388</v>
      </c>
    </row>
    <row r="226" spans="1:6" ht="12.75">
      <c r="A226" s="47" t="s">
        <v>389</v>
      </c>
      <c r="B226" s="49">
        <f>SUM(E184)</f>
        <v>0.6</v>
      </c>
      <c r="C226" s="1" t="s">
        <v>390</v>
      </c>
      <c r="F226" s="1" t="s">
        <v>391</v>
      </c>
    </row>
    <row r="227" spans="1:6" ht="12.75">
      <c r="A227" s="47" t="s">
        <v>392</v>
      </c>
      <c r="B227" s="49">
        <f>SUM(E183)</f>
        <v>3</v>
      </c>
      <c r="C227" s="1" t="s">
        <v>393</v>
      </c>
      <c r="F227" s="1" t="s">
        <v>394</v>
      </c>
    </row>
    <row r="228" spans="1:6" ht="12.75">
      <c r="A228" s="47" t="s">
        <v>395</v>
      </c>
      <c r="B228" s="48">
        <v>1.2</v>
      </c>
      <c r="C228" s="1" t="s">
        <v>396</v>
      </c>
      <c r="F228" s="1" t="s">
        <v>397</v>
      </c>
    </row>
    <row r="229" spans="1:6" ht="12.75">
      <c r="A229" s="47" t="s">
        <v>398</v>
      </c>
      <c r="B229" s="48">
        <v>6</v>
      </c>
      <c r="C229" s="1" t="s">
        <v>399</v>
      </c>
      <c r="F229" s="1" t="s">
        <v>400</v>
      </c>
    </row>
    <row r="230" spans="1:6" ht="12.75">
      <c r="A230" s="47" t="s">
        <v>401</v>
      </c>
      <c r="B230" s="48">
        <v>0.65</v>
      </c>
      <c r="C230" s="1" t="s">
        <v>402</v>
      </c>
      <c r="F230" s="1" t="s">
        <v>403</v>
      </c>
    </row>
    <row r="231" spans="1:6" ht="12.75">
      <c r="A231" s="47" t="s">
        <v>404</v>
      </c>
      <c r="B231" s="50">
        <f>SUM(E188)</f>
        <v>77</v>
      </c>
      <c r="C231" s="1" t="s">
        <v>405</v>
      </c>
      <c r="F231" s="1" t="s">
        <v>406</v>
      </c>
    </row>
    <row r="232" spans="1:6" ht="12.75">
      <c r="A232" s="47" t="s">
        <v>407</v>
      </c>
      <c r="B232" s="51"/>
      <c r="C232" s="1" t="s">
        <v>408</v>
      </c>
      <c r="F232" s="1" t="s">
        <v>409</v>
      </c>
    </row>
    <row r="233" spans="1:6" ht="12.75">
      <c r="A233" s="47" t="s">
        <v>410</v>
      </c>
      <c r="B233" s="52">
        <f>SUM(sda1!E189)</f>
        <v>800</v>
      </c>
      <c r="C233" s="1" t="s">
        <v>411</v>
      </c>
      <c r="D233" s="1" t="s">
        <v>412</v>
      </c>
      <c r="F233" s="1" t="s">
        <v>413</v>
      </c>
    </row>
    <row r="234" spans="1:6" ht="12.75">
      <c r="A234" s="47" t="s">
        <v>414</v>
      </c>
      <c r="B234" s="52">
        <f>SUM(sda1!E190)</f>
        <v>704</v>
      </c>
      <c r="C234" s="1" t="s">
        <v>415</v>
      </c>
      <c r="D234" s="1" t="s">
        <v>416</v>
      </c>
      <c r="F234" s="1" t="s">
        <v>417</v>
      </c>
    </row>
    <row r="235" spans="1:3" ht="12.75">
      <c r="A235" s="47" t="s">
        <v>418</v>
      </c>
      <c r="B235" s="53">
        <f>SUM(sda1!E182)</f>
        <v>0.2</v>
      </c>
      <c r="C235" s="1" t="s">
        <v>419</v>
      </c>
    </row>
    <row r="236" spans="1:3" ht="12.75">
      <c r="A236" s="47"/>
      <c r="B236" s="53">
        <f>ATAN(B235)</f>
        <v>0.19739555984988078</v>
      </c>
      <c r="C236" s="1" t="s">
        <v>420</v>
      </c>
    </row>
    <row r="237" spans="1:5" ht="12.75">
      <c r="A237" s="47"/>
      <c r="B237" s="54">
        <f>DEGREES(B236)</f>
        <v>11.309932474020215</v>
      </c>
      <c r="C237" s="1" t="s">
        <v>421</v>
      </c>
      <c r="E237" s="55"/>
    </row>
    <row r="238" spans="1:6" ht="12.75">
      <c r="A238" s="47" t="s">
        <v>422</v>
      </c>
      <c r="B238" s="56">
        <f>SUM(sda1!E191)</f>
        <v>230</v>
      </c>
      <c r="C238" s="1" t="s">
        <v>423</v>
      </c>
      <c r="F238" s="1" t="s">
        <v>424</v>
      </c>
    </row>
    <row r="239" spans="1:6" ht="12.75">
      <c r="A239" s="47" t="s">
        <v>425</v>
      </c>
      <c r="B239" s="52">
        <f>SUM(sda1!E192)</f>
        <v>200</v>
      </c>
      <c r="C239" s="1" t="s">
        <v>426</v>
      </c>
      <c r="F239" s="1" t="s">
        <v>427</v>
      </c>
    </row>
    <row r="240" spans="1:3" ht="12.75">
      <c r="A240" s="1" t="s">
        <v>428</v>
      </c>
      <c r="C240" s="57" t="s">
        <v>429</v>
      </c>
    </row>
    <row r="241" ht="12.75">
      <c r="D241" s="11"/>
    </row>
    <row r="242" spans="1:17" ht="12.75">
      <c r="A242" s="167" t="s">
        <v>430</v>
      </c>
      <c r="B242" s="167"/>
      <c r="C242" s="58" t="s">
        <v>431</v>
      </c>
      <c r="D242" s="58" t="s">
        <v>432</v>
      </c>
      <c r="E242" s="59" t="s">
        <v>433</v>
      </c>
      <c r="F242" s="59" t="s">
        <v>434</v>
      </c>
      <c r="G242" s="60" t="s">
        <v>435</v>
      </c>
      <c r="H242" s="60" t="s">
        <v>436</v>
      </c>
      <c r="I242" s="60" t="s">
        <v>437</v>
      </c>
      <c r="J242" s="60" t="s">
        <v>438</v>
      </c>
      <c r="K242" s="60" t="s">
        <v>439</v>
      </c>
      <c r="L242" s="60" t="s">
        <v>440</v>
      </c>
      <c r="M242" s="60" t="s">
        <v>441</v>
      </c>
      <c r="N242" s="60" t="s">
        <v>442</v>
      </c>
      <c r="O242" s="58" t="s">
        <v>443</v>
      </c>
      <c r="P242" s="60" t="s">
        <v>444</v>
      </c>
      <c r="Q242" s="60"/>
    </row>
    <row r="243" spans="2:16" ht="12.75">
      <c r="B243" s="61" t="s">
        <v>445</v>
      </c>
      <c r="C243" s="61">
        <v>65</v>
      </c>
      <c r="D243" s="61">
        <v>30</v>
      </c>
      <c r="E243" s="62">
        <v>1.2</v>
      </c>
      <c r="F243" s="62">
        <v>1.2</v>
      </c>
      <c r="G243" s="63">
        <v>1.77</v>
      </c>
      <c r="H243" s="63">
        <v>1.39</v>
      </c>
      <c r="I243" s="63"/>
      <c r="J243" s="63"/>
      <c r="K243" s="63">
        <v>11.4</v>
      </c>
      <c r="L243" s="63">
        <v>2.5</v>
      </c>
      <c r="M243" s="63">
        <v>3.51</v>
      </c>
      <c r="N243" s="63">
        <v>1.35</v>
      </c>
      <c r="O243" s="64" t="b">
        <f>TRUE()</f>
        <v>1</v>
      </c>
      <c r="P243" s="63">
        <v>123.6</v>
      </c>
    </row>
    <row r="246" ht="12.75">
      <c r="A246" s="1" t="s">
        <v>446</v>
      </c>
    </row>
    <row r="248" ht="12.75">
      <c r="A248" s="1" t="s">
        <v>447</v>
      </c>
    </row>
    <row r="249" ht="12.75">
      <c r="A249" s="1" t="s">
        <v>448</v>
      </c>
    </row>
    <row r="250" spans="2:7" ht="12.75">
      <c r="B250" s="1" t="s">
        <v>449</v>
      </c>
      <c r="D250" s="1" t="s">
        <v>450</v>
      </c>
      <c r="E250" s="65">
        <f>SUM(B231)</f>
        <v>77</v>
      </c>
      <c r="G250" s="1" t="s">
        <v>451</v>
      </c>
    </row>
    <row r="251" ht="12.75">
      <c r="E251" s="65"/>
    </row>
    <row r="252" ht="12.75">
      <c r="E252" s="65"/>
    </row>
    <row r="253" ht="12.75">
      <c r="E253" s="65"/>
    </row>
    <row r="254" spans="1:5" ht="12.75">
      <c r="A254" s="1" t="s">
        <v>452</v>
      </c>
      <c r="E254" s="65"/>
    </row>
    <row r="255" spans="4:7" ht="12.75">
      <c r="D255" s="1" t="s">
        <v>453</v>
      </c>
      <c r="E255" s="65">
        <f>SUM(B226*B227)*B233</f>
        <v>1439.9999999999998</v>
      </c>
      <c r="G255" s="1" t="s">
        <v>454</v>
      </c>
    </row>
    <row r="256" ht="12.75">
      <c r="E256" s="65"/>
    </row>
    <row r="257" ht="12.75">
      <c r="E257" s="65"/>
    </row>
    <row r="258" spans="1:5" ht="12.75">
      <c r="A258" s="1" t="s">
        <v>455</v>
      </c>
      <c r="E258" s="65"/>
    </row>
    <row r="259" spans="1:5" ht="12.75">
      <c r="A259" s="1" t="s">
        <v>456</v>
      </c>
      <c r="E259" s="65"/>
    </row>
    <row r="260" spans="4:7" ht="12.75">
      <c r="D260" s="1" t="s">
        <v>457</v>
      </c>
      <c r="E260" s="65">
        <f>SUM(B234)</f>
        <v>704</v>
      </c>
      <c r="G260" s="1" t="s">
        <v>458</v>
      </c>
    </row>
    <row r="261" ht="12.75">
      <c r="E261" s="65"/>
    </row>
    <row r="262" spans="2:5" ht="12.75">
      <c r="B262" s="1" t="s">
        <v>459</v>
      </c>
      <c r="D262" s="1" t="s">
        <v>460</v>
      </c>
      <c r="E262" s="65"/>
    </row>
    <row r="263" spans="4:7" ht="12.75">
      <c r="D263" s="1" t="s">
        <v>461</v>
      </c>
      <c r="E263" s="66">
        <f>SUM(B231*COS(B236)*B226)+(9.81*H243*COS(B236))</f>
        <v>58.67392725257432</v>
      </c>
      <c r="G263" s="47" t="s">
        <v>462</v>
      </c>
    </row>
    <row r="264" spans="4:7" ht="12.75">
      <c r="D264" s="1" t="s">
        <v>463</v>
      </c>
      <c r="E264" s="65">
        <f>SUM(B233*B226*COS(B236))</f>
        <v>470.67872433164166</v>
      </c>
      <c r="G264" s="47" t="s">
        <v>464</v>
      </c>
    </row>
    <row r="265" spans="4:7" ht="12.75">
      <c r="D265" s="1" t="s">
        <v>465</v>
      </c>
      <c r="E265" s="65">
        <f>SUM(E260*B226)</f>
        <v>422.4</v>
      </c>
      <c r="G265" s="47" t="s">
        <v>466</v>
      </c>
    </row>
    <row r="266" ht="12.75">
      <c r="E266" s="65"/>
    </row>
    <row r="267" spans="2:5" ht="12.75">
      <c r="B267" s="1" t="s">
        <v>467</v>
      </c>
      <c r="E267" s="65"/>
    </row>
    <row r="268" spans="4:7" ht="12.75">
      <c r="D268" s="1" t="s">
        <v>468</v>
      </c>
      <c r="E268" s="65">
        <f>SUM((B231*B226)+(9.81*H243))*SIN(B236)</f>
        <v>11.734785450514865</v>
      </c>
      <c r="G268" s="47" t="s">
        <v>469</v>
      </c>
    </row>
    <row r="269" spans="4:7" ht="12.75">
      <c r="D269" s="1" t="s">
        <v>470</v>
      </c>
      <c r="E269" s="65">
        <f>SUM(B233*B226)*SIN(B236)</f>
        <v>94.13574486632834</v>
      </c>
      <c r="G269" s="47" t="s">
        <v>471</v>
      </c>
    </row>
    <row r="272" spans="1:3" ht="12.75">
      <c r="A272" s="1" t="s">
        <v>472</v>
      </c>
      <c r="C272" s="47" t="s">
        <v>473</v>
      </c>
    </row>
    <row r="273" spans="4:7" ht="12.75">
      <c r="D273" s="1" t="s">
        <v>474</v>
      </c>
      <c r="E273" s="63">
        <f>SUM(E263+E264)</f>
        <v>529.352651584216</v>
      </c>
      <c r="G273" s="47" t="s">
        <v>475</v>
      </c>
    </row>
    <row r="274" spans="4:7" ht="12.75">
      <c r="D274" s="1" t="s">
        <v>476</v>
      </c>
      <c r="E274" s="63">
        <f>SUM(E268+E269)</f>
        <v>105.8705303168432</v>
      </c>
      <c r="G274" s="47" t="s">
        <v>477</v>
      </c>
    </row>
    <row r="276" spans="1:3" ht="12.75">
      <c r="A276" s="1" t="s">
        <v>478</v>
      </c>
      <c r="C276" s="1" t="s">
        <v>479</v>
      </c>
    </row>
    <row r="277" spans="4:7" ht="12.75">
      <c r="D277" s="1" t="s">
        <v>480</v>
      </c>
      <c r="E277" s="63">
        <f>SUM(E263+E264+E265)*0.75</f>
        <v>713.814488688162</v>
      </c>
      <c r="G277" s="47" t="s">
        <v>481</v>
      </c>
    </row>
    <row r="278" spans="4:7" ht="12.75">
      <c r="D278" s="1" t="s">
        <v>482</v>
      </c>
      <c r="E278" s="63">
        <f>SUM(E268+E269)*0.75</f>
        <v>79.4028977376324</v>
      </c>
      <c r="G278" s="47" t="s">
        <v>483</v>
      </c>
    </row>
    <row r="280" spans="1:10" ht="12.75">
      <c r="A280" s="1" t="s">
        <v>484</v>
      </c>
      <c r="C280" s="67"/>
      <c r="H280" s="68"/>
      <c r="I280" s="68"/>
      <c r="J280" s="68"/>
    </row>
    <row r="281" spans="3:10" ht="12.75">
      <c r="C281" s="67"/>
      <c r="D281" s="69">
        <v>2</v>
      </c>
      <c r="H281" s="70"/>
      <c r="I281" s="71"/>
      <c r="J281" s="68"/>
    </row>
    <row r="282" spans="1:11" ht="12.75">
      <c r="A282" s="1" t="s">
        <v>485</v>
      </c>
      <c r="C282" s="72" t="s">
        <v>486</v>
      </c>
      <c r="K282" s="73"/>
    </row>
    <row r="283" spans="4:11" ht="12.75">
      <c r="D283" s="1" t="s">
        <v>487</v>
      </c>
      <c r="E283" s="62">
        <f>SUM(E443*B397*B397/32)</f>
        <v>148.88043325806075</v>
      </c>
      <c r="F283" s="74" t="s">
        <v>488</v>
      </c>
      <c r="H283" s="62"/>
      <c r="I283" s="62"/>
      <c r="J283" s="75"/>
      <c r="K283" s="73"/>
    </row>
    <row r="284" spans="3:11" ht="12.75">
      <c r="C284" s="67"/>
      <c r="D284" s="69"/>
      <c r="E284" s="62"/>
      <c r="F284" s="74"/>
      <c r="H284" s="73"/>
      <c r="I284" s="73"/>
      <c r="J284" s="73"/>
      <c r="K284" s="73"/>
    </row>
    <row r="285" spans="3:11" ht="12.75">
      <c r="C285" s="1" t="s">
        <v>489</v>
      </c>
      <c r="E285" s="62"/>
      <c r="F285" s="74"/>
      <c r="J285" s="76"/>
      <c r="K285" s="73"/>
    </row>
    <row r="286" spans="4:9" ht="12.75">
      <c r="D286" s="1" t="s">
        <v>490</v>
      </c>
      <c r="E286" s="62">
        <f>SUM(E444*B397*B397)/32</f>
        <v>29.77608665161215</v>
      </c>
      <c r="F286" s="74" t="s">
        <v>491</v>
      </c>
      <c r="H286" s="62"/>
      <c r="I286" s="62"/>
    </row>
    <row r="288" ht="12.75">
      <c r="A288" s="1" t="s">
        <v>492</v>
      </c>
    </row>
    <row r="289" spans="4:5" ht="12.75">
      <c r="D289" s="1" t="s">
        <v>493</v>
      </c>
      <c r="E289" s="63">
        <f>SUM(E277*B227*B227)/32</f>
        <v>200.76032494354558</v>
      </c>
    </row>
    <row r="290" ht="12.75">
      <c r="E290" s="63"/>
    </row>
    <row r="291" spans="4:8" ht="12.75">
      <c r="D291" s="1" t="s">
        <v>494</v>
      </c>
      <c r="E291" s="63">
        <f>SUM(E278*B227*B227)/32</f>
        <v>22.332064988709114</v>
      </c>
      <c r="H291" s="73"/>
    </row>
    <row r="293" ht="12.75">
      <c r="A293" s="1" t="s">
        <v>495</v>
      </c>
    </row>
    <row r="295" ht="12.75">
      <c r="A295" s="1" t="s">
        <v>496</v>
      </c>
    </row>
    <row r="297" spans="2:5" ht="12.75">
      <c r="B297" s="1" t="s">
        <v>497</v>
      </c>
      <c r="C297" s="63">
        <f>SUM(E283/M243)</f>
        <v>42.41607785129936</v>
      </c>
      <c r="E297" s="74" t="s">
        <v>498</v>
      </c>
    </row>
    <row r="298" ht="12.75">
      <c r="E298" s="74"/>
    </row>
    <row r="299" spans="2:5" ht="12.75">
      <c r="B299" s="1" t="s">
        <v>499</v>
      </c>
      <c r="C299" s="63">
        <f>SUM(E286/(0.5*N243))</f>
        <v>44.11272096535133</v>
      </c>
      <c r="E299" s="74" t="s">
        <v>500</v>
      </c>
    </row>
    <row r="302" ht="12.75">
      <c r="A302" s="1" t="s">
        <v>501</v>
      </c>
    </row>
    <row r="304" spans="2:5" ht="12.75">
      <c r="B304" s="1" t="s">
        <v>502</v>
      </c>
      <c r="C304" s="63">
        <f>SUM(E289/M243)</f>
        <v>57.19667377308991</v>
      </c>
      <c r="E304" s="74" t="s">
        <v>503</v>
      </c>
    </row>
    <row r="306" spans="2:5" ht="12.75">
      <c r="B306" s="1" t="s">
        <v>504</v>
      </c>
      <c r="C306" s="63">
        <f>SUM(E291/(0.5*N243))</f>
        <v>33.0845407240135</v>
      </c>
      <c r="E306" s="74" t="s">
        <v>505</v>
      </c>
    </row>
    <row r="309" spans="1:4" ht="12.75">
      <c r="A309" s="1" t="s">
        <v>506</v>
      </c>
      <c r="C309" s="77" t="s">
        <v>507</v>
      </c>
      <c r="D309" s="78">
        <f>SUM(B238)</f>
        <v>230</v>
      </c>
    </row>
    <row r="311" spans="2:3" ht="12.75">
      <c r="B311" s="1" t="s">
        <v>508</v>
      </c>
      <c r="C311" s="63">
        <f>SUM(D243/(2*F243))</f>
        <v>12.5</v>
      </c>
    </row>
    <row r="313" spans="2:3" ht="12.75">
      <c r="B313" s="72" t="s">
        <v>509</v>
      </c>
      <c r="C313" s="79">
        <f>SUM(170/SQRT(248))</f>
        <v>10.795010795016193</v>
      </c>
    </row>
    <row r="316" spans="3:5" ht="12.75">
      <c r="C316" s="80" t="s">
        <v>510</v>
      </c>
      <c r="E316" s="1" t="s">
        <v>511</v>
      </c>
    </row>
    <row r="317" spans="2:4" ht="12.75">
      <c r="B317" s="1" t="s">
        <v>512</v>
      </c>
      <c r="C317" s="1">
        <f>SUM(0.66*D309)</f>
        <v>151.8</v>
      </c>
      <c r="D317" s="47" t="s">
        <v>513</v>
      </c>
    </row>
    <row r="318" spans="2:4" ht="12.75">
      <c r="B318" s="1" t="s">
        <v>514</v>
      </c>
      <c r="C318" s="1">
        <f>SUM(0.6*D309)</f>
        <v>138.00000000000003</v>
      </c>
      <c r="D318" s="47" t="s">
        <v>515</v>
      </c>
    </row>
    <row r="319" ht="12.75">
      <c r="A319" s="1" t="s">
        <v>516</v>
      </c>
    </row>
    <row r="321" ht="12.75">
      <c r="A321" s="1" t="s">
        <v>517</v>
      </c>
    </row>
    <row r="322" spans="3:6" ht="12.75">
      <c r="C322" s="79">
        <f>SUM(C297/C317)+(C299/C318)</f>
        <v>0.5990782010091291</v>
      </c>
      <c r="E322" s="1" t="s">
        <v>518</v>
      </c>
      <c r="F322" s="80" t="str">
        <f>IF(C322&lt;1,"OK   !!!","FAILS")</f>
        <v>OK   !!!</v>
      </c>
    </row>
    <row r="324" ht="12.75">
      <c r="A324" s="1" t="s">
        <v>519</v>
      </c>
    </row>
    <row r="325" spans="3:6" ht="12.75">
      <c r="C325" s="63">
        <f>SUM(C304/C317)+(C306/C318)</f>
        <v>0.6165327310244055</v>
      </c>
      <c r="E325" s="1" t="s">
        <v>520</v>
      </c>
      <c r="F325" s="80" t="str">
        <f>IF(C325&lt;1,"OK   !!!","FAILS")</f>
        <v>OK   !!!</v>
      </c>
    </row>
    <row r="328" spans="5:6" ht="12.75">
      <c r="E328" s="23" t="s">
        <v>521</v>
      </c>
      <c r="F328" s="23"/>
    </row>
    <row r="330" ht="12.75">
      <c r="A330" s="1" t="s">
        <v>522</v>
      </c>
    </row>
    <row r="331" ht="12.75">
      <c r="G331" s="1">
        <f>EXP(4)</f>
        <v>54.598150033144236</v>
      </c>
    </row>
    <row r="332" spans="1:5" ht="12.75">
      <c r="A332" s="1" t="s">
        <v>523</v>
      </c>
      <c r="D332" s="63">
        <f>SUM(B227/180)*1000</f>
        <v>16.666666666666668</v>
      </c>
      <c r="E332" s="81" t="s">
        <v>524</v>
      </c>
    </row>
    <row r="335" spans="2:7" ht="12.75">
      <c r="B335" s="1" t="s">
        <v>525</v>
      </c>
      <c r="D335" s="63">
        <f>SUM((5*E277*(POWER(B227,4))*100))/(384*200*K243)</f>
        <v>33.01979028676736</v>
      </c>
      <c r="E335" s="81" t="s">
        <v>526</v>
      </c>
      <c r="F335" s="47" t="s">
        <v>527</v>
      </c>
      <c r="G335" s="82">
        <f>SUM(D332)</f>
        <v>16.666666666666668</v>
      </c>
    </row>
    <row r="336" spans="4:7" ht="12.75">
      <c r="D336" s="63"/>
      <c r="F336" s="47"/>
      <c r="G336" s="80"/>
    </row>
    <row r="337" spans="2:7" ht="12.75">
      <c r="B337" s="1" t="s">
        <v>528</v>
      </c>
      <c r="D337" s="63">
        <f>SUM((5*E274*(POWER(B227,4))*100))/(384*200*L243)</f>
        <v>22.332064988709114</v>
      </c>
      <c r="E337" s="81" t="s">
        <v>529</v>
      </c>
      <c r="F337" s="47" t="s">
        <v>530</v>
      </c>
      <c r="G337" s="82">
        <f>SUM(D332)</f>
        <v>16.666666666666668</v>
      </c>
    </row>
    <row r="341" spans="1:7" ht="12.75">
      <c r="A341" s="23" t="s">
        <v>531</v>
      </c>
      <c r="B341" s="23"/>
      <c r="C341" s="23"/>
      <c r="D341" s="23"/>
      <c r="E341" s="23"/>
      <c r="F341" s="23"/>
      <c r="G341" s="23"/>
    </row>
    <row r="342" spans="1:7" ht="12.75">
      <c r="A342" s="23" t="s">
        <v>532</v>
      </c>
      <c r="B342" s="23"/>
      <c r="C342" s="23"/>
      <c r="D342" s="23"/>
      <c r="E342" s="23"/>
      <c r="F342" s="23"/>
      <c r="G342" s="23"/>
    </row>
    <row r="343" spans="1:10" ht="12.75">
      <c r="A343" s="160" t="s">
        <v>533</v>
      </c>
      <c r="B343" s="160"/>
      <c r="C343" s="160"/>
      <c r="D343" s="160"/>
      <c r="E343" s="160"/>
      <c r="F343" s="160"/>
      <c r="G343" s="160"/>
      <c r="H343" s="24">
        <f ca="1">TODAY()</f>
        <v>39477</v>
      </c>
      <c r="I343" s="3"/>
      <c r="J343" s="5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5"/>
    </row>
    <row r="345" spans="1:10" ht="12.75">
      <c r="A345" s="160" t="s">
        <v>534</v>
      </c>
      <c r="B345" s="160"/>
      <c r="C345" s="160"/>
      <c r="D345" s="3" t="s">
        <v>535</v>
      </c>
      <c r="E345" s="3" t="s">
        <v>536</v>
      </c>
      <c r="F345" s="3"/>
      <c r="G345" s="3"/>
      <c r="H345" s="3"/>
      <c r="I345" s="3"/>
      <c r="J345" s="5"/>
    </row>
    <row r="346" spans="1:10" ht="12.75">
      <c r="A346" s="160" t="s">
        <v>537</v>
      </c>
      <c r="B346" s="160"/>
      <c r="C346" s="160"/>
      <c r="D346" s="3" t="s">
        <v>538</v>
      </c>
      <c r="E346" s="25" t="s">
        <v>539</v>
      </c>
      <c r="F346" s="3"/>
      <c r="G346" s="3"/>
      <c r="H346" s="3"/>
      <c r="I346" s="3"/>
      <c r="J346" s="5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5"/>
    </row>
    <row r="348" spans="1:10" ht="12.75">
      <c r="A348" s="3" t="s">
        <v>540</v>
      </c>
      <c r="B348" s="3"/>
      <c r="C348" s="3"/>
      <c r="D348" s="3"/>
      <c r="E348" s="3"/>
      <c r="F348" s="3"/>
      <c r="G348" s="3"/>
      <c r="H348" s="3"/>
      <c r="I348" s="3"/>
      <c r="J348" s="5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5"/>
    </row>
    <row r="350" spans="1:10" ht="12.75">
      <c r="A350" s="3" t="s">
        <v>541</v>
      </c>
      <c r="B350" s="3"/>
      <c r="C350" s="3"/>
      <c r="D350" s="3" t="s">
        <v>542</v>
      </c>
      <c r="E350" s="163" t="s">
        <v>543</v>
      </c>
      <c r="F350" s="163"/>
      <c r="G350" s="3"/>
      <c r="H350" s="3"/>
      <c r="I350" s="3"/>
      <c r="J350" s="5"/>
    </row>
    <row r="351" spans="1:10" ht="12.75">
      <c r="A351" s="3" t="s">
        <v>544</v>
      </c>
      <c r="B351" s="3"/>
      <c r="C351" s="3"/>
      <c r="D351" s="3" t="s">
        <v>545</v>
      </c>
      <c r="E351" s="168" t="s">
        <v>546</v>
      </c>
      <c r="F351" s="168"/>
      <c r="G351" s="3"/>
      <c r="H351" s="3"/>
      <c r="I351" s="3"/>
      <c r="J351" s="5"/>
    </row>
    <row r="352" spans="1:10" ht="12.75">
      <c r="A352" s="3" t="s">
        <v>547</v>
      </c>
      <c r="B352" s="3"/>
      <c r="C352" s="3"/>
      <c r="D352" s="3" t="s">
        <v>548</v>
      </c>
      <c r="E352" s="27">
        <f>SUM(E12)</f>
        <v>0.2</v>
      </c>
      <c r="F352" s="4"/>
      <c r="G352" s="3"/>
      <c r="H352" s="3"/>
      <c r="I352" s="3"/>
      <c r="J352" s="5"/>
    </row>
    <row r="353" spans="1:10" ht="12.75">
      <c r="A353" s="3" t="s">
        <v>549</v>
      </c>
      <c r="B353" s="3"/>
      <c r="C353" s="3"/>
      <c r="D353" s="3" t="s">
        <v>550</v>
      </c>
      <c r="E353" s="27">
        <f>SUM(E13)</f>
        <v>3</v>
      </c>
      <c r="F353" s="4" t="s">
        <v>551</v>
      </c>
      <c r="G353" s="3"/>
      <c r="H353" s="3"/>
      <c r="I353" s="3"/>
      <c r="J353" s="5"/>
    </row>
    <row r="354" spans="1:10" ht="12.75">
      <c r="A354" s="3" t="s">
        <v>552</v>
      </c>
      <c r="B354" s="3"/>
      <c r="C354" s="3"/>
      <c r="D354" s="3" t="s">
        <v>553</v>
      </c>
      <c r="E354" s="27">
        <f>SUM(E14)</f>
        <v>0.6</v>
      </c>
      <c r="F354" s="4" t="s">
        <v>554</v>
      </c>
      <c r="G354" s="3"/>
      <c r="H354" s="3"/>
      <c r="I354" s="3"/>
      <c r="J354" s="5"/>
    </row>
    <row r="355" spans="1:10" ht="12.75">
      <c r="A355" s="3"/>
      <c r="B355" s="3"/>
      <c r="C355" s="3"/>
      <c r="D355" s="3"/>
      <c r="E355" s="28"/>
      <c r="F355" s="4"/>
      <c r="G355" s="3"/>
      <c r="H355" s="3"/>
      <c r="I355" s="3"/>
      <c r="J355" s="5"/>
    </row>
    <row r="356" spans="1:10" ht="12.75">
      <c r="A356" s="3" t="s">
        <v>555</v>
      </c>
      <c r="B356" s="3"/>
      <c r="C356" s="3"/>
      <c r="D356" s="3"/>
      <c r="E356" s="28"/>
      <c r="F356" s="4"/>
      <c r="G356" s="3"/>
      <c r="H356" s="3"/>
      <c r="I356" s="3"/>
      <c r="J356" s="5"/>
    </row>
    <row r="357" spans="1:10" ht="12.75">
      <c r="A357" s="3"/>
      <c r="B357" s="3"/>
      <c r="C357" s="3"/>
      <c r="D357" s="3"/>
      <c r="E357" s="28"/>
      <c r="F357" s="4"/>
      <c r="G357" s="3"/>
      <c r="H357" s="3"/>
      <c r="I357" s="3"/>
      <c r="J357" s="5"/>
    </row>
    <row r="358" spans="1:10" ht="12.75">
      <c r="A358" s="3" t="s">
        <v>556</v>
      </c>
      <c r="B358" s="3"/>
      <c r="C358" s="3"/>
      <c r="D358" s="3" t="s">
        <v>557</v>
      </c>
      <c r="E358" s="28">
        <f>SUM(E18)</f>
        <v>77</v>
      </c>
      <c r="F358" s="4" t="s">
        <v>558</v>
      </c>
      <c r="G358" s="3"/>
      <c r="H358" s="3"/>
      <c r="I358" s="3"/>
      <c r="J358" s="5"/>
    </row>
    <row r="359" spans="1:10" ht="12.75">
      <c r="A359" s="3" t="s">
        <v>559</v>
      </c>
      <c r="B359" s="3"/>
      <c r="C359" s="3"/>
      <c r="D359" s="3" t="s">
        <v>560</v>
      </c>
      <c r="E359" s="28">
        <f>SUM(E19)</f>
        <v>800</v>
      </c>
      <c r="F359" s="4" t="s">
        <v>561</v>
      </c>
      <c r="G359" s="3"/>
      <c r="H359" s="3"/>
      <c r="I359" s="3"/>
      <c r="J359" s="5"/>
    </row>
    <row r="360" spans="1:10" ht="12.75">
      <c r="A360" s="3" t="s">
        <v>562</v>
      </c>
      <c r="B360" s="3"/>
      <c r="C360" s="3"/>
      <c r="D360" s="3" t="s">
        <v>563</v>
      </c>
      <c r="E360" s="28">
        <f>SUM(E20)</f>
        <v>704</v>
      </c>
      <c r="F360" s="4" t="s">
        <v>564</v>
      </c>
      <c r="G360" s="3"/>
      <c r="H360" s="3"/>
      <c r="I360" s="3"/>
      <c r="J360" s="5"/>
    </row>
    <row r="361" spans="1:10" ht="12.75">
      <c r="A361" s="3" t="s">
        <v>565</v>
      </c>
      <c r="B361" s="3"/>
      <c r="C361" s="3"/>
      <c r="D361" s="3" t="s">
        <v>566</v>
      </c>
      <c r="E361" s="28">
        <f>SUM(E21)</f>
        <v>230</v>
      </c>
      <c r="F361" s="4" t="s">
        <v>567</v>
      </c>
      <c r="G361" s="3"/>
      <c r="H361" s="3"/>
      <c r="I361" s="3"/>
      <c r="J361" s="5"/>
    </row>
    <row r="362" spans="1:10" ht="12.75">
      <c r="A362" s="3" t="s">
        <v>568</v>
      </c>
      <c r="B362" s="3"/>
      <c r="C362" s="3"/>
      <c r="D362" s="3" t="s">
        <v>569</v>
      </c>
      <c r="E362" s="28">
        <f>SUM(E22)</f>
        <v>200</v>
      </c>
      <c r="F362" s="4" t="s">
        <v>570</v>
      </c>
      <c r="G362" s="3"/>
      <c r="H362" s="3"/>
      <c r="I362" s="3"/>
      <c r="J362" s="5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5"/>
    </row>
    <row r="364" spans="1:10" ht="12.75">
      <c r="A364" s="3" t="s">
        <v>571</v>
      </c>
      <c r="B364" s="3"/>
      <c r="C364" s="3"/>
      <c r="D364" s="3"/>
      <c r="E364" s="3"/>
      <c r="F364" s="3"/>
      <c r="G364" s="3"/>
      <c r="H364" s="3"/>
      <c r="I364" s="3"/>
      <c r="J364" s="5"/>
    </row>
    <row r="365" spans="1:11" ht="12.75">
      <c r="A365" s="11"/>
      <c r="B365" s="164" t="s">
        <v>572</v>
      </c>
      <c r="C365" s="164"/>
      <c r="D365" s="29" t="s">
        <v>573</v>
      </c>
      <c r="E365" s="29" t="s">
        <v>574</v>
      </c>
      <c r="F365" s="30" t="s">
        <v>575</v>
      </c>
      <c r="G365" s="30" t="s">
        <v>576</v>
      </c>
      <c r="H365" s="31" t="s">
        <v>577</v>
      </c>
      <c r="I365" s="31" t="s">
        <v>578</v>
      </c>
      <c r="J365" s="11"/>
      <c r="K365" s="11"/>
    </row>
    <row r="366" spans="1:11" ht="12.75">
      <c r="A366" s="11"/>
      <c r="B366" s="165" t="str">
        <f>REPT(B73,1)</f>
        <v>LC  65x30x15x1.2</v>
      </c>
      <c r="C366" s="165"/>
      <c r="D366" s="32">
        <f aca="true" t="shared" si="4" ref="D366:I366">SUM(C413)</f>
        <v>65</v>
      </c>
      <c r="E366" s="32">
        <f t="shared" si="4"/>
        <v>30</v>
      </c>
      <c r="F366" s="32">
        <f t="shared" si="4"/>
        <v>1.2</v>
      </c>
      <c r="G366" s="32">
        <f t="shared" si="4"/>
        <v>1.2</v>
      </c>
      <c r="H366" s="32">
        <f t="shared" si="4"/>
        <v>1.77</v>
      </c>
      <c r="I366" s="32">
        <f t="shared" si="4"/>
        <v>1.39</v>
      </c>
      <c r="J366" s="11"/>
      <c r="K366" s="11"/>
    </row>
    <row r="367" spans="1:11" ht="12.75">
      <c r="A367" s="11"/>
      <c r="B367" s="31" t="s">
        <v>579</v>
      </c>
      <c r="C367" s="31" t="s">
        <v>580</v>
      </c>
      <c r="D367" s="31" t="s">
        <v>581</v>
      </c>
      <c r="E367" s="31" t="s">
        <v>582</v>
      </c>
      <c r="F367" s="31" t="s">
        <v>583</v>
      </c>
      <c r="G367" s="31" t="s">
        <v>584</v>
      </c>
      <c r="H367" s="29" t="s">
        <v>585</v>
      </c>
      <c r="I367" s="31" t="s">
        <v>586</v>
      </c>
      <c r="J367" s="2"/>
      <c r="K367" s="13"/>
    </row>
    <row r="368" spans="1:11" ht="12.75">
      <c r="A368" s="11"/>
      <c r="B368" s="33">
        <f aca="true" t="shared" si="5" ref="B368:G368">SUM(I413)</f>
        <v>0</v>
      </c>
      <c r="C368" s="33">
        <f t="shared" si="5"/>
        <v>0</v>
      </c>
      <c r="D368" s="32">
        <f t="shared" si="5"/>
        <v>11.4</v>
      </c>
      <c r="E368" s="32">
        <f t="shared" si="5"/>
        <v>2.5</v>
      </c>
      <c r="F368" s="32">
        <f t="shared" si="5"/>
        <v>3.51</v>
      </c>
      <c r="G368" s="32">
        <f t="shared" si="5"/>
        <v>1.35</v>
      </c>
      <c r="H368" s="32" t="str">
        <f>REPT(O413,1)</f>
        <v>TRUE</v>
      </c>
      <c r="I368" s="32">
        <f>SUM(P413)</f>
        <v>123.6</v>
      </c>
      <c r="J368" s="2"/>
      <c r="K368" s="13"/>
    </row>
    <row r="369" spans="1:10" ht="12.75">
      <c r="A369" s="3" t="s">
        <v>587</v>
      </c>
      <c r="B369" s="11"/>
      <c r="C369" s="11"/>
      <c r="D369" s="3"/>
      <c r="E369" s="3"/>
      <c r="F369" s="3"/>
      <c r="G369" s="3"/>
      <c r="H369" s="3"/>
      <c r="I369" s="3"/>
      <c r="J369" s="5"/>
    </row>
    <row r="370" spans="1:10" ht="12.75">
      <c r="A370" s="3"/>
      <c r="B370" s="11"/>
      <c r="C370" s="11"/>
      <c r="D370" s="3"/>
      <c r="E370" s="3"/>
      <c r="F370" s="3"/>
      <c r="G370" s="3"/>
      <c r="H370" s="3"/>
      <c r="I370" s="3"/>
      <c r="J370" s="5"/>
    </row>
    <row r="371" spans="1:10" ht="12.75">
      <c r="A371" s="3" t="s">
        <v>588</v>
      </c>
      <c r="B371" s="3"/>
      <c r="C371" s="3"/>
      <c r="D371" s="16"/>
      <c r="E371" s="16"/>
      <c r="F371" s="3"/>
      <c r="G371" s="3"/>
      <c r="H371" s="3"/>
      <c r="I371" s="3"/>
      <c r="J371" s="5"/>
    </row>
    <row r="372" spans="1:10" ht="12.75">
      <c r="A372" s="4" t="s">
        <v>589</v>
      </c>
      <c r="B372" s="34">
        <f>SUM(E453)</f>
        <v>52.9352651584216</v>
      </c>
      <c r="C372" s="3" t="s">
        <v>590</v>
      </c>
      <c r="D372" s="35" t="s">
        <v>591</v>
      </c>
      <c r="E372" s="36">
        <f>SUM(E456)</f>
        <v>10.58705303168432</v>
      </c>
      <c r="F372" s="3" t="s">
        <v>592</v>
      </c>
      <c r="G372" s="3"/>
      <c r="H372" s="3"/>
      <c r="I372" s="3"/>
      <c r="J372" s="5"/>
    </row>
    <row r="373" spans="1:10" ht="12.75">
      <c r="A373" s="3" t="s">
        <v>593</v>
      </c>
      <c r="B373" s="3"/>
      <c r="C373" s="3"/>
      <c r="D373" s="3"/>
      <c r="E373" s="3"/>
      <c r="F373" s="3"/>
      <c r="G373" s="3"/>
      <c r="H373" s="3"/>
      <c r="I373" s="3"/>
      <c r="J373" s="5"/>
    </row>
    <row r="374" spans="1:10" ht="12.75">
      <c r="A374" s="4" t="s">
        <v>594</v>
      </c>
      <c r="B374" s="38">
        <f>SUM(C467)</f>
        <v>15.08127212490644</v>
      </c>
      <c r="C374" s="3" t="s">
        <v>595</v>
      </c>
      <c r="D374" s="4" t="s">
        <v>596</v>
      </c>
      <c r="E374" s="38">
        <f>SUM(I368)</f>
        <v>123.6</v>
      </c>
      <c r="F374" s="3" t="s">
        <v>597</v>
      </c>
      <c r="G374" s="3"/>
      <c r="H374" s="3"/>
      <c r="I374" s="3"/>
      <c r="J374" s="5"/>
    </row>
    <row r="375" spans="1:10" ht="12.75">
      <c r="A375" s="4" t="s">
        <v>598</v>
      </c>
      <c r="B375" s="38">
        <f>SUM(C469)</f>
        <v>15.684523009902696</v>
      </c>
      <c r="C375" s="3" t="s">
        <v>599</v>
      </c>
      <c r="D375" s="4" t="s">
        <v>600</v>
      </c>
      <c r="E375" s="38">
        <f>SUM(I368)</f>
        <v>123.6</v>
      </c>
      <c r="F375" s="3" t="s">
        <v>601</v>
      </c>
      <c r="G375" s="3"/>
      <c r="H375" s="3"/>
      <c r="I375" s="3"/>
      <c r="J375" s="5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5"/>
    </row>
    <row r="377" spans="1:10" ht="12.75">
      <c r="A377" s="3" t="s">
        <v>602</v>
      </c>
      <c r="B377" s="3"/>
      <c r="C377" s="3"/>
      <c r="D377" s="3"/>
      <c r="E377" s="3"/>
      <c r="F377" s="3" t="s">
        <v>603</v>
      </c>
      <c r="G377" s="3"/>
      <c r="H377" s="3"/>
      <c r="I377" s="3"/>
      <c r="J377" s="5"/>
    </row>
    <row r="378" spans="1:10" ht="12.75">
      <c r="A378" s="3"/>
      <c r="B378" s="3"/>
      <c r="C378" s="3"/>
      <c r="D378" s="3"/>
      <c r="E378" s="3"/>
      <c r="F378" s="3" t="s">
        <v>604</v>
      </c>
      <c r="G378" s="4" t="s">
        <v>605</v>
      </c>
      <c r="H378" s="3"/>
      <c r="I378" s="3"/>
      <c r="J378" s="5"/>
    </row>
    <row r="379" spans="1:10" ht="12.75">
      <c r="A379" s="4" t="s">
        <v>606</v>
      </c>
      <c r="B379" s="8">
        <f>IF(C492&gt;C495,1,2)</f>
        <v>2</v>
      </c>
      <c r="C379" s="3"/>
      <c r="D379" s="3"/>
      <c r="E379" s="3"/>
      <c r="F379" s="3"/>
      <c r="G379" s="38">
        <f>SUM(D502)</f>
        <v>16.666666666666668</v>
      </c>
      <c r="H379" s="4" t="s">
        <v>607</v>
      </c>
      <c r="I379" s="3"/>
      <c r="J379" s="5"/>
    </row>
    <row r="380" spans="1:10" ht="12.75">
      <c r="A380" s="4"/>
      <c r="B380" s="3"/>
      <c r="C380" s="39" t="str">
        <f>IF(C492&gt;C495,"DL+LL",".75(DL+LL)")</f>
        <v>.75(DL+LL)</v>
      </c>
      <c r="D380" s="3" t="s">
        <v>608</v>
      </c>
      <c r="E380" s="3"/>
      <c r="F380" s="3"/>
      <c r="G380" s="40"/>
      <c r="H380" s="4"/>
      <c r="I380" s="3"/>
      <c r="J380" s="5"/>
    </row>
    <row r="381" spans="1:10" ht="12.75">
      <c r="A381" s="4"/>
      <c r="B381" s="3"/>
      <c r="C381" s="3"/>
      <c r="D381" s="3"/>
      <c r="E381" s="3"/>
      <c r="F381" s="3" t="s">
        <v>609</v>
      </c>
      <c r="G381" s="38">
        <f>SUM(D505)</f>
        <v>33.01979028676736</v>
      </c>
      <c r="H381" s="4" t="s">
        <v>610</v>
      </c>
      <c r="I381" s="41">
        <f>SUM(G505)</f>
        <v>16.666666666666668</v>
      </c>
      <c r="J381" s="39" t="str">
        <f>IF(G381&lt;G379,"OK  !!! ","FAILS ")</f>
        <v>FAILS </v>
      </c>
    </row>
    <row r="382" spans="1:10" ht="12.75">
      <c r="A382" s="160" t="s">
        <v>611</v>
      </c>
      <c r="B382" s="160"/>
      <c r="C382" s="160"/>
      <c r="D382" s="160"/>
      <c r="E382" s="3"/>
      <c r="F382" s="3" t="s">
        <v>612</v>
      </c>
      <c r="G382" s="38">
        <f>SUM(D507)</f>
        <v>22.332064988709114</v>
      </c>
      <c r="H382" s="4" t="s">
        <v>613</v>
      </c>
      <c r="I382" s="41">
        <f>SUM(G507)</f>
        <v>16.666666666666668</v>
      </c>
      <c r="J382" s="39" t="str">
        <f>IF(G382&lt;G379,"OK   !!!","FAILS")</f>
        <v>FAILS</v>
      </c>
    </row>
    <row r="383" spans="1:10" ht="12.75">
      <c r="A383" s="22"/>
      <c r="B383" s="43">
        <f>SUM(B374/E374)+(B375/E375)</f>
        <v>0.24891420011981502</v>
      </c>
      <c r="C383" s="22" t="s">
        <v>614</v>
      </c>
      <c r="D383" s="83" t="str">
        <f>IF(B383&lt;1,"OK  !!! ","FAILS")</f>
        <v>OK  !!! </v>
      </c>
      <c r="E383" s="3"/>
      <c r="F383" s="3"/>
      <c r="G383" s="3"/>
      <c r="H383" s="3"/>
      <c r="I383" s="3"/>
      <c r="J383" s="5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5"/>
    </row>
    <row r="385" spans="1:10" ht="12.75">
      <c r="A385" s="45"/>
      <c r="B385" s="45"/>
      <c r="C385" s="45"/>
      <c r="D385" s="45"/>
      <c r="E385" s="45"/>
      <c r="F385" s="45"/>
      <c r="G385" s="45"/>
      <c r="H385" s="45"/>
      <c r="I385" s="45"/>
      <c r="J385" s="46"/>
    </row>
    <row r="389" spans="1:3" ht="18">
      <c r="A389" s="166" t="s">
        <v>615</v>
      </c>
      <c r="B389" s="166"/>
      <c r="C389" s="166"/>
    </row>
    <row r="392" spans="1:6" ht="12.75">
      <c r="A392" s="47" t="s">
        <v>616</v>
      </c>
      <c r="B392" s="48">
        <v>6</v>
      </c>
      <c r="C392" s="1" t="s">
        <v>617</v>
      </c>
      <c r="F392" s="1" t="s">
        <v>618</v>
      </c>
    </row>
    <row r="393" spans="1:6" ht="12.75">
      <c r="A393" s="47" t="s">
        <v>619</v>
      </c>
      <c r="B393" s="48">
        <v>6</v>
      </c>
      <c r="C393" s="1" t="s">
        <v>620</v>
      </c>
      <c r="F393" s="1" t="s">
        <v>621</v>
      </c>
    </row>
    <row r="394" spans="1:9" ht="12.75">
      <c r="A394" s="47" t="s">
        <v>622</v>
      </c>
      <c r="B394" s="48">
        <v>6</v>
      </c>
      <c r="C394" s="1" t="s">
        <v>623</v>
      </c>
      <c r="F394" s="1" t="s">
        <v>624</v>
      </c>
      <c r="G394" s="1" t="s">
        <v>625</v>
      </c>
      <c r="I394" s="1" t="s">
        <v>626</v>
      </c>
    </row>
    <row r="395" spans="1:9" ht="12.75">
      <c r="A395" s="47" t="s">
        <v>627</v>
      </c>
      <c r="B395" s="48">
        <v>6</v>
      </c>
      <c r="C395" s="1" t="s">
        <v>628</v>
      </c>
      <c r="F395" s="1" t="s">
        <v>629</v>
      </c>
      <c r="G395" s="1" t="s">
        <v>630</v>
      </c>
      <c r="I395" s="1" t="s">
        <v>631</v>
      </c>
    </row>
    <row r="396" spans="1:6" ht="12.75">
      <c r="A396" s="47" t="s">
        <v>632</v>
      </c>
      <c r="B396" s="49">
        <f>SUM(E354)</f>
        <v>0.6</v>
      </c>
      <c r="C396" s="1" t="s">
        <v>633</v>
      </c>
      <c r="F396" s="1" t="s">
        <v>634</v>
      </c>
    </row>
    <row r="397" spans="1:6" ht="12.75">
      <c r="A397" s="47" t="s">
        <v>635</v>
      </c>
      <c r="B397" s="49">
        <f>SUM(E353)</f>
        <v>3</v>
      </c>
      <c r="C397" s="1" t="s">
        <v>636</v>
      </c>
      <c r="F397" s="1" t="s">
        <v>637</v>
      </c>
    </row>
    <row r="398" spans="1:6" ht="12.75">
      <c r="A398" s="47" t="s">
        <v>638</v>
      </c>
      <c r="B398" s="48">
        <v>1.2</v>
      </c>
      <c r="C398" s="1" t="s">
        <v>639</v>
      </c>
      <c r="F398" s="1" t="s">
        <v>640</v>
      </c>
    </row>
    <row r="399" spans="1:6" ht="12.75">
      <c r="A399" s="47" t="s">
        <v>641</v>
      </c>
      <c r="B399" s="48">
        <v>6</v>
      </c>
      <c r="C399" s="1" t="s">
        <v>642</v>
      </c>
      <c r="F399" s="1" t="s">
        <v>643</v>
      </c>
    </row>
    <row r="400" spans="1:6" ht="12.75">
      <c r="A400" s="47" t="s">
        <v>644</v>
      </c>
      <c r="B400" s="48">
        <v>0.65</v>
      </c>
      <c r="C400" s="1" t="s">
        <v>645</v>
      </c>
      <c r="F400" s="1" t="s">
        <v>646</v>
      </c>
    </row>
    <row r="401" spans="1:6" ht="12.75">
      <c r="A401" s="47" t="s">
        <v>647</v>
      </c>
      <c r="B401" s="50">
        <f>SUM(E358)</f>
        <v>77</v>
      </c>
      <c r="C401" s="1" t="s">
        <v>648</v>
      </c>
      <c r="F401" s="1" t="s">
        <v>649</v>
      </c>
    </row>
    <row r="402" spans="1:6" ht="12.75">
      <c r="A402" s="47" t="s">
        <v>650</v>
      </c>
      <c r="B402" s="51"/>
      <c r="C402" s="1" t="s">
        <v>651</v>
      </c>
      <c r="F402" s="1" t="s">
        <v>652</v>
      </c>
    </row>
    <row r="403" spans="1:6" ht="12.75">
      <c r="A403" s="47" t="s">
        <v>653</v>
      </c>
      <c r="B403" s="52">
        <f>SUM(sda1!E359)</f>
        <v>800</v>
      </c>
      <c r="C403" s="1" t="s">
        <v>654</v>
      </c>
      <c r="D403" s="1" t="s">
        <v>655</v>
      </c>
      <c r="F403" s="1" t="s">
        <v>656</v>
      </c>
    </row>
    <row r="404" spans="1:6" ht="12.75">
      <c r="A404" s="47" t="s">
        <v>657</v>
      </c>
      <c r="B404" s="52">
        <f>SUM(sda1!E360)</f>
        <v>704</v>
      </c>
      <c r="C404" s="1" t="s">
        <v>658</v>
      </c>
      <c r="D404" s="1" t="s">
        <v>659</v>
      </c>
      <c r="F404" s="1" t="s">
        <v>660</v>
      </c>
    </row>
    <row r="405" spans="1:3" ht="12.75">
      <c r="A405" s="47" t="s">
        <v>661</v>
      </c>
      <c r="B405" s="53">
        <f>SUM(sda1!E352)</f>
        <v>0.2</v>
      </c>
      <c r="C405" s="1" t="s">
        <v>662</v>
      </c>
    </row>
    <row r="406" spans="1:3" ht="12.75">
      <c r="A406" s="47"/>
      <c r="B406" s="53">
        <f>ATAN(B405)</f>
        <v>0.19739555984988078</v>
      </c>
      <c r="C406" s="1" t="s">
        <v>663</v>
      </c>
    </row>
    <row r="407" spans="1:5" ht="12.75">
      <c r="A407" s="47"/>
      <c r="B407" s="54">
        <f>DEGREES(B406)</f>
        <v>11.309932474020215</v>
      </c>
      <c r="C407" s="1" t="s">
        <v>664</v>
      </c>
      <c r="E407" s="55"/>
    </row>
    <row r="408" spans="1:6" ht="12.75">
      <c r="A408" s="47" t="s">
        <v>665</v>
      </c>
      <c r="B408" s="56">
        <f>SUM(sda1!E361)</f>
        <v>230</v>
      </c>
      <c r="C408" s="1" t="s">
        <v>666</v>
      </c>
      <c r="F408" s="1" t="s">
        <v>667</v>
      </c>
    </row>
    <row r="409" spans="1:6" ht="12.75">
      <c r="A409" s="47" t="s">
        <v>668</v>
      </c>
      <c r="B409" s="52">
        <f>SUM(sda1!E362)</f>
        <v>200</v>
      </c>
      <c r="C409" s="1" t="s">
        <v>669</v>
      </c>
      <c r="F409" s="1" t="s">
        <v>670</v>
      </c>
    </row>
    <row r="410" spans="1:3" ht="12.75">
      <c r="A410" s="1" t="s">
        <v>671</v>
      </c>
      <c r="C410" s="57" t="s">
        <v>672</v>
      </c>
    </row>
    <row r="411" ht="12.75">
      <c r="D411" s="11"/>
    </row>
    <row r="412" spans="1:17" ht="12.75">
      <c r="A412" s="167" t="s">
        <v>673</v>
      </c>
      <c r="B412" s="167"/>
      <c r="C412" s="58" t="s">
        <v>674</v>
      </c>
      <c r="D412" s="58" t="s">
        <v>675</v>
      </c>
      <c r="E412" s="59" t="s">
        <v>676</v>
      </c>
      <c r="F412" s="59" t="s">
        <v>677</v>
      </c>
      <c r="G412" s="60" t="s">
        <v>678</v>
      </c>
      <c r="H412" s="60" t="s">
        <v>679</v>
      </c>
      <c r="I412" s="60" t="s">
        <v>680</v>
      </c>
      <c r="J412" s="60" t="s">
        <v>681</v>
      </c>
      <c r="K412" s="60" t="s">
        <v>682</v>
      </c>
      <c r="L412" s="60" t="s">
        <v>683</v>
      </c>
      <c r="M412" s="60" t="s">
        <v>684</v>
      </c>
      <c r="N412" s="60" t="s">
        <v>685</v>
      </c>
      <c r="O412" s="58" t="s">
        <v>686</v>
      </c>
      <c r="P412" s="60" t="s">
        <v>687</v>
      </c>
      <c r="Q412" s="60"/>
    </row>
    <row r="413" spans="2:16" ht="12.75">
      <c r="B413" s="61" t="s">
        <v>688</v>
      </c>
      <c r="C413" s="61">
        <v>65</v>
      </c>
      <c r="D413" s="61">
        <v>30</v>
      </c>
      <c r="E413" s="62">
        <v>1.2</v>
      </c>
      <c r="F413" s="62">
        <v>1.2</v>
      </c>
      <c r="G413" s="63">
        <v>1.77</v>
      </c>
      <c r="H413" s="63">
        <v>1.39</v>
      </c>
      <c r="I413" s="63"/>
      <c r="J413" s="63"/>
      <c r="K413" s="63">
        <v>11.4</v>
      </c>
      <c r="L413" s="63">
        <v>2.5</v>
      </c>
      <c r="M413" s="63">
        <v>3.51</v>
      </c>
      <c r="N413" s="63">
        <v>1.35</v>
      </c>
      <c r="O413" s="64" t="b">
        <f>TRUE()</f>
        <v>1</v>
      </c>
      <c r="P413" s="63">
        <v>123.6</v>
      </c>
    </row>
    <row r="416" ht="12.75">
      <c r="A416" s="1" t="s">
        <v>689</v>
      </c>
    </row>
    <row r="418" ht="12.75">
      <c r="A418" s="1" t="s">
        <v>690</v>
      </c>
    </row>
    <row r="419" ht="12.75">
      <c r="A419" s="1" t="s">
        <v>691</v>
      </c>
    </row>
    <row r="420" spans="2:7" ht="12.75">
      <c r="B420" s="1" t="s">
        <v>692</v>
      </c>
      <c r="D420" s="1" t="s">
        <v>693</v>
      </c>
      <c r="E420" s="65">
        <f>SUM(B401)</f>
        <v>77</v>
      </c>
      <c r="G420" s="1" t="s">
        <v>694</v>
      </c>
    </row>
    <row r="421" ht="12.75">
      <c r="E421" s="65"/>
    </row>
    <row r="422" ht="12.75">
      <c r="E422" s="65"/>
    </row>
    <row r="423" ht="12.75">
      <c r="E423" s="65"/>
    </row>
    <row r="424" spans="1:5" ht="12.75">
      <c r="A424" s="1" t="s">
        <v>695</v>
      </c>
      <c r="E424" s="65"/>
    </row>
    <row r="425" spans="4:7" ht="12.75">
      <c r="D425" s="1" t="s">
        <v>696</v>
      </c>
      <c r="E425" s="65">
        <f>SUM(B396*B397)*B403</f>
        <v>1439.9999999999998</v>
      </c>
      <c r="G425" s="1" t="s">
        <v>697</v>
      </c>
    </row>
    <row r="426" ht="12.75">
      <c r="E426" s="65"/>
    </row>
    <row r="427" ht="12.75">
      <c r="E427" s="65"/>
    </row>
    <row r="428" spans="1:5" ht="12.75">
      <c r="A428" s="1" t="s">
        <v>698</v>
      </c>
      <c r="E428" s="65"/>
    </row>
    <row r="429" spans="1:5" ht="12.75">
      <c r="A429" s="1" t="s">
        <v>699</v>
      </c>
      <c r="E429" s="65"/>
    </row>
    <row r="430" spans="4:7" ht="12.75">
      <c r="D430" s="1" t="s">
        <v>700</v>
      </c>
      <c r="E430" s="65">
        <f>SUM(B404)</f>
        <v>704</v>
      </c>
      <c r="G430" s="1" t="s">
        <v>701</v>
      </c>
    </row>
    <row r="431" ht="12.75">
      <c r="E431" s="65"/>
    </row>
    <row r="432" spans="2:5" ht="12.75">
      <c r="B432" s="1" t="s">
        <v>702</v>
      </c>
      <c r="D432" s="1" t="s">
        <v>703</v>
      </c>
      <c r="E432" s="65"/>
    </row>
    <row r="433" spans="4:7" ht="12.75">
      <c r="D433" s="1" t="s">
        <v>704</v>
      </c>
      <c r="E433" s="66">
        <f>SUM(B401*COS(B406)*B396)+(9.81*H413*COS(B406))</f>
        <v>58.67392725257432</v>
      </c>
      <c r="G433" s="47" t="s">
        <v>705</v>
      </c>
    </row>
    <row r="434" spans="4:7" ht="12.75">
      <c r="D434" s="1" t="s">
        <v>706</v>
      </c>
      <c r="E434" s="65">
        <f>SUM(B403*B396*COS(B406))</f>
        <v>470.67872433164166</v>
      </c>
      <c r="G434" s="47" t="s">
        <v>707</v>
      </c>
    </row>
    <row r="435" spans="4:7" ht="12.75">
      <c r="D435" s="1" t="s">
        <v>708</v>
      </c>
      <c r="E435" s="65">
        <f>SUM(E430*B396)</f>
        <v>422.4</v>
      </c>
      <c r="G435" s="47" t="s">
        <v>709</v>
      </c>
    </row>
    <row r="436" ht="12.75">
      <c r="E436" s="65"/>
    </row>
    <row r="437" spans="2:5" ht="12.75">
      <c r="B437" s="1" t="s">
        <v>710</v>
      </c>
      <c r="E437" s="65"/>
    </row>
    <row r="438" spans="4:7" ht="12.75">
      <c r="D438" s="1" t="s">
        <v>711</v>
      </c>
      <c r="E438" s="65">
        <f>SUM((B401*B396)+(9.81*H413))*SIN(B406)</f>
        <v>11.734785450514865</v>
      </c>
      <c r="G438" s="47" t="s">
        <v>712</v>
      </c>
    </row>
    <row r="439" spans="4:7" ht="12.75">
      <c r="D439" s="1" t="s">
        <v>713</v>
      </c>
      <c r="E439" s="65">
        <f>SUM(B403*B396)*SIN(B406)</f>
        <v>94.13574486632834</v>
      </c>
      <c r="G439" s="47" t="s">
        <v>714</v>
      </c>
    </row>
    <row r="442" spans="1:3" ht="12.75">
      <c r="A442" s="1" t="s">
        <v>715</v>
      </c>
      <c r="C442" s="47" t="s">
        <v>716</v>
      </c>
    </row>
    <row r="443" spans="4:7" ht="12.75">
      <c r="D443" s="1" t="s">
        <v>717</v>
      </c>
      <c r="E443" s="63">
        <f>SUM(E433+E434)</f>
        <v>529.352651584216</v>
      </c>
      <c r="G443" s="47" t="s">
        <v>718</v>
      </c>
    </row>
    <row r="444" spans="4:7" ht="12.75">
      <c r="D444" s="1" t="s">
        <v>719</v>
      </c>
      <c r="E444" s="63">
        <f>SUM(E438+E439)</f>
        <v>105.8705303168432</v>
      </c>
      <c r="G444" s="47" t="s">
        <v>720</v>
      </c>
    </row>
    <row r="446" spans="1:3" ht="12.75">
      <c r="A446" s="1" t="s">
        <v>721</v>
      </c>
      <c r="C446" s="1" t="s">
        <v>722</v>
      </c>
    </row>
    <row r="447" spans="4:7" ht="12.75">
      <c r="D447" s="1" t="s">
        <v>723</v>
      </c>
      <c r="E447" s="63">
        <f>SUM(E433+E434+E435)*0.75</f>
        <v>713.814488688162</v>
      </c>
      <c r="G447" s="47" t="s">
        <v>724</v>
      </c>
    </row>
    <row r="448" spans="4:7" ht="12.75">
      <c r="D448" s="1" t="s">
        <v>725</v>
      </c>
      <c r="E448" s="63">
        <f>SUM(E438+E439)*0.75</f>
        <v>79.4028977376324</v>
      </c>
      <c r="G448" s="47" t="s">
        <v>726</v>
      </c>
    </row>
    <row r="450" spans="1:10" ht="12.75">
      <c r="A450" s="1" t="s">
        <v>727</v>
      </c>
      <c r="C450" s="67"/>
      <c r="H450" s="68"/>
      <c r="I450" s="68"/>
      <c r="J450" s="68"/>
    </row>
    <row r="451" spans="3:10" ht="12.75">
      <c r="C451" s="67"/>
      <c r="D451" s="69">
        <v>2</v>
      </c>
      <c r="H451" s="70"/>
      <c r="I451" s="71"/>
      <c r="J451" s="68"/>
    </row>
    <row r="452" spans="1:11" ht="12.75">
      <c r="A452" s="1" t="s">
        <v>728</v>
      </c>
      <c r="C452" s="1" t="s">
        <v>729</v>
      </c>
      <c r="K452" s="73"/>
    </row>
    <row r="453" spans="4:11" ht="12.75">
      <c r="D453" s="1" t="s">
        <v>730</v>
      </c>
      <c r="E453" s="62">
        <f>SUM(E443*B397*B397/90)</f>
        <v>52.9352651584216</v>
      </c>
      <c r="F453" s="74" t="s">
        <v>731</v>
      </c>
      <c r="J453" s="75"/>
      <c r="K453" s="73"/>
    </row>
    <row r="454" spans="3:11" ht="12.75">
      <c r="C454" s="67"/>
      <c r="D454" s="69"/>
      <c r="E454" s="62"/>
      <c r="F454" s="74"/>
      <c r="I454" s="73"/>
      <c r="J454" s="73"/>
      <c r="K454" s="73"/>
    </row>
    <row r="455" spans="3:11" ht="12.75">
      <c r="C455" s="1" t="s">
        <v>732</v>
      </c>
      <c r="E455" s="62"/>
      <c r="F455" s="74"/>
      <c r="J455" s="76"/>
      <c r="K455" s="73"/>
    </row>
    <row r="456" spans="4:6" ht="12.75">
      <c r="D456" s="1" t="s">
        <v>733</v>
      </c>
      <c r="E456" s="62">
        <f>SUM(E444*B397*B397)/90</f>
        <v>10.58705303168432</v>
      </c>
      <c r="F456" s="74" t="s">
        <v>734</v>
      </c>
    </row>
    <row r="458" ht="12.75">
      <c r="A458" s="1" t="s">
        <v>735</v>
      </c>
    </row>
    <row r="459" spans="4:5" ht="12.75">
      <c r="D459" s="1" t="s">
        <v>736</v>
      </c>
      <c r="E459" s="63">
        <f>SUM(E447*B397*B397)/90</f>
        <v>71.38144886881621</v>
      </c>
    </row>
    <row r="460" ht="12.75">
      <c r="E460" s="63"/>
    </row>
    <row r="461" spans="4:5" ht="12.75">
      <c r="D461" s="1" t="s">
        <v>737</v>
      </c>
      <c r="E461" s="63">
        <f>SUM(E448*B397*B397)/90</f>
        <v>7.94028977376324</v>
      </c>
    </row>
    <row r="463" ht="12.75">
      <c r="A463" s="1" t="s">
        <v>738</v>
      </c>
    </row>
    <row r="465" ht="12.75">
      <c r="A465" s="1" t="s">
        <v>739</v>
      </c>
    </row>
    <row r="467" spans="2:5" ht="12.75">
      <c r="B467" s="1" t="s">
        <v>740</v>
      </c>
      <c r="C467" s="63">
        <f>SUM(E453/M413)</f>
        <v>15.08127212490644</v>
      </c>
      <c r="E467" s="74" t="s">
        <v>741</v>
      </c>
    </row>
    <row r="468" ht="12.75">
      <c r="E468" s="74"/>
    </row>
    <row r="469" spans="2:5" ht="12.75">
      <c r="B469" s="1" t="s">
        <v>742</v>
      </c>
      <c r="C469" s="63">
        <f>SUM(E456/(0.5*N413))</f>
        <v>15.684523009902696</v>
      </c>
      <c r="E469" s="74" t="s">
        <v>743</v>
      </c>
    </row>
    <row r="472" ht="12.75">
      <c r="A472" s="1" t="s">
        <v>744</v>
      </c>
    </row>
    <row r="474" spans="2:5" ht="12.75">
      <c r="B474" s="1" t="s">
        <v>745</v>
      </c>
      <c r="C474" s="63">
        <f>SUM(E459/M413)</f>
        <v>20.336595119320858</v>
      </c>
      <c r="E474" s="74" t="s">
        <v>746</v>
      </c>
    </row>
    <row r="476" spans="2:5" ht="12.75">
      <c r="B476" s="1" t="s">
        <v>747</v>
      </c>
      <c r="C476" s="63">
        <f>SUM(E461/(0.5*N413))</f>
        <v>11.763392257427022</v>
      </c>
      <c r="E476" s="74" t="s">
        <v>748</v>
      </c>
    </row>
    <row r="479" spans="1:4" ht="12.75">
      <c r="A479" s="1" t="s">
        <v>749</v>
      </c>
      <c r="C479" s="77" t="s">
        <v>750</v>
      </c>
      <c r="D479" s="78">
        <f>SUM(B408)</f>
        <v>230</v>
      </c>
    </row>
    <row r="481" spans="2:3" ht="12.75">
      <c r="B481" s="1" t="s">
        <v>751</v>
      </c>
      <c r="C481" s="63">
        <f>SUM(D413/(2*F413))</f>
        <v>12.5</v>
      </c>
    </row>
    <row r="483" spans="2:3" ht="12.75">
      <c r="B483" s="72" t="s">
        <v>752</v>
      </c>
      <c r="C483" s="79">
        <f>SUM(170/SQRT(248))</f>
        <v>10.795010795016193</v>
      </c>
    </row>
    <row r="486" spans="3:5" ht="12.75">
      <c r="C486" s="80" t="s">
        <v>753</v>
      </c>
      <c r="E486" s="1" t="s">
        <v>754</v>
      </c>
    </row>
    <row r="487" spans="2:4" ht="12.75">
      <c r="B487" s="1" t="s">
        <v>755</v>
      </c>
      <c r="C487" s="1">
        <f>SUM(0.66*D479)</f>
        <v>151.8</v>
      </c>
      <c r="D487" s="47" t="s">
        <v>756</v>
      </c>
    </row>
    <row r="488" spans="2:4" ht="12.75">
      <c r="B488" s="1" t="s">
        <v>757</v>
      </c>
      <c r="C488" s="1">
        <f>SUM(0.6*D479)</f>
        <v>138.00000000000003</v>
      </c>
      <c r="D488" s="47" t="s">
        <v>758</v>
      </c>
    </row>
    <row r="489" ht="12.75">
      <c r="A489" s="1" t="s">
        <v>759</v>
      </c>
    </row>
    <row r="491" ht="12.75">
      <c r="A491" s="1" t="s">
        <v>760</v>
      </c>
    </row>
    <row r="492" spans="3:6" ht="12.75">
      <c r="C492" s="79">
        <f>SUM(C467/C487)+(C469/C488)</f>
        <v>0.2130055825810237</v>
      </c>
      <c r="E492" s="1" t="s">
        <v>761</v>
      </c>
      <c r="F492" s="80" t="str">
        <f>IF(C492&lt;1,"OK   !!!","FAILS")</f>
        <v>OK   !!!</v>
      </c>
    </row>
    <row r="494" ht="12.75">
      <c r="A494" s="1" t="s">
        <v>762</v>
      </c>
    </row>
    <row r="495" spans="3:6" ht="12.75">
      <c r="C495" s="63">
        <f>SUM(C474/C487)+(C476/C488)</f>
        <v>0.2192116376975664</v>
      </c>
      <c r="E495" s="1" t="s">
        <v>763</v>
      </c>
      <c r="F495" s="80" t="str">
        <f>IF(C495&lt;1,"OK   !!!","FAILS")</f>
        <v>OK   !!!</v>
      </c>
    </row>
    <row r="498" spans="5:6" ht="12.75">
      <c r="E498" s="23" t="s">
        <v>764</v>
      </c>
      <c r="F498" s="23"/>
    </row>
    <row r="500" ht="12.75">
      <c r="A500" s="1" t="s">
        <v>765</v>
      </c>
    </row>
    <row r="501" ht="12.75">
      <c r="G501" s="1">
        <f>EXP(4)</f>
        <v>54.598150033144236</v>
      </c>
    </row>
    <row r="502" spans="1:5" ht="12.75">
      <c r="A502" s="1" t="s">
        <v>766</v>
      </c>
      <c r="D502" s="63">
        <f>SUM(B397/180)*1000</f>
        <v>16.666666666666668</v>
      </c>
      <c r="E502" s="81" t="s">
        <v>767</v>
      </c>
    </row>
    <row r="505" spans="2:7" ht="12.75">
      <c r="B505" s="1" t="s">
        <v>768</v>
      </c>
      <c r="D505" s="63">
        <f>SUM((5*E447*(POWER(B397,4))*100))/(384*200*K413)</f>
        <v>33.01979028676736</v>
      </c>
      <c r="E505" s="81" t="s">
        <v>769</v>
      </c>
      <c r="F505" s="47" t="s">
        <v>770</v>
      </c>
      <c r="G505" s="82">
        <f>SUM(D502)</f>
        <v>16.666666666666668</v>
      </c>
    </row>
    <row r="506" spans="4:7" ht="12.75">
      <c r="D506" s="63"/>
      <c r="F506" s="47"/>
      <c r="G506" s="80"/>
    </row>
    <row r="507" spans="2:7" ht="12.75">
      <c r="B507" s="1" t="s">
        <v>771</v>
      </c>
      <c r="D507" s="63">
        <f>SUM((5*E444*(POWER(B397,4))*100))/(384*200*L413)</f>
        <v>22.332064988709114</v>
      </c>
      <c r="E507" s="81" t="s">
        <v>772</v>
      </c>
      <c r="F507" s="47" t="s">
        <v>773</v>
      </c>
      <c r="G507" s="82">
        <f>SUM(D502)</f>
        <v>16.666666666666668</v>
      </c>
    </row>
  </sheetData>
  <mergeCells count="29">
    <mergeCell ref="A412:B412"/>
    <mergeCell ref="B365:C365"/>
    <mergeCell ref="B366:C366"/>
    <mergeCell ref="A382:D382"/>
    <mergeCell ref="A389:C389"/>
    <mergeCell ref="A345:C345"/>
    <mergeCell ref="A346:C346"/>
    <mergeCell ref="E350:F350"/>
    <mergeCell ref="E351:F351"/>
    <mergeCell ref="A212:D212"/>
    <mergeCell ref="A219:C219"/>
    <mergeCell ref="A242:B242"/>
    <mergeCell ref="A343:G343"/>
    <mergeCell ref="E180:F180"/>
    <mergeCell ref="E181:F181"/>
    <mergeCell ref="B195:C195"/>
    <mergeCell ref="B196:C196"/>
    <mergeCell ref="A72:B72"/>
    <mergeCell ref="A173:C173"/>
    <mergeCell ref="A175:C175"/>
    <mergeCell ref="A176:C176"/>
    <mergeCell ref="B25:C25"/>
    <mergeCell ref="B26:C26"/>
    <mergeCell ref="A42:D42"/>
    <mergeCell ref="A49:C49"/>
    <mergeCell ref="A3:C3"/>
    <mergeCell ref="A5:C5"/>
    <mergeCell ref="A6:C6"/>
    <mergeCell ref="E10:F10"/>
  </mergeCells>
  <conditionalFormatting sqref="H35 H205">
    <cfRule type="cellIs" priority="1" dxfId="0" operator="lessThanOrEqual" stopIfTrue="1">
      <formula>2</formula>
    </cfRule>
    <cfRule type="cellIs" priority="2" dxfId="0" operator="greaterThanOrEqual" stopIfTrue="1">
      <formula>5</formula>
    </cfRule>
  </conditionalFormatting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8" sqref="I18"/>
    </sheetView>
  </sheetViews>
  <sheetFormatPr defaultColWidth="8.28125" defaultRowHeight="12.75"/>
  <cols>
    <col min="1" max="16384" width="8.2812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29" sqref="A29"/>
    </sheetView>
  </sheetViews>
  <sheetFormatPr defaultColWidth="9.140625" defaultRowHeight="12.75"/>
  <cols>
    <col min="1" max="2" width="6.28125" style="84" customWidth="1"/>
    <col min="3" max="3" width="18.421875" style="84" customWidth="1"/>
    <col min="4" max="4" width="9.140625" style="84" customWidth="1"/>
    <col min="5" max="7" width="6.28125" style="84" customWidth="1"/>
    <col min="8" max="8" width="9.28125" style="84" customWidth="1"/>
    <col min="9" max="9" width="11.57421875" style="84" customWidth="1"/>
    <col min="10" max="10" width="8.28125" style="84" customWidth="1"/>
    <col min="11" max="16384" width="6.28125" style="84" customWidth="1"/>
  </cols>
  <sheetData>
    <row r="1" spans="2:8" ht="19.5">
      <c r="B1" s="85"/>
      <c r="C1" s="85"/>
      <c r="D1" s="85"/>
      <c r="E1" s="85"/>
      <c r="F1" s="85"/>
      <c r="G1" s="85"/>
      <c r="H1" s="85"/>
    </row>
    <row r="2" spans="2:12" ht="19.5">
      <c r="B2" s="169" t="s">
        <v>774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ht="19.5">
      <c r="B3" s="84" t="s">
        <v>775</v>
      </c>
    </row>
    <row r="5" spans="2:7" ht="19.5">
      <c r="B5" s="84" t="s">
        <v>776</v>
      </c>
      <c r="D5" s="86">
        <v>20</v>
      </c>
      <c r="E5" s="84" t="s">
        <v>777</v>
      </c>
      <c r="F5" s="84" t="str">
        <f>FIXED((D5*4.448)*3.281*3.281,0)</f>
        <v>958</v>
      </c>
      <c r="G5" s="84" t="s">
        <v>778</v>
      </c>
    </row>
    <row r="6" spans="2:12" ht="19.5">
      <c r="B6" s="84" t="s">
        <v>779</v>
      </c>
      <c r="D6" s="86">
        <v>2.2</v>
      </c>
      <c r="E6" s="84" t="s">
        <v>780</v>
      </c>
      <c r="I6" s="84" t="s">
        <v>781</v>
      </c>
      <c r="L6" s="84" t="s">
        <v>782</v>
      </c>
    </row>
    <row r="7" spans="2:12" ht="19.5">
      <c r="B7" s="84" t="s">
        <v>783</v>
      </c>
      <c r="D7" s="86">
        <v>5</v>
      </c>
      <c r="E7" s="84" t="s">
        <v>784</v>
      </c>
      <c r="H7" s="84" t="s">
        <v>785</v>
      </c>
      <c r="I7" s="85" t="s">
        <v>786</v>
      </c>
      <c r="J7" s="87" t="e">
        <f>SUM(F5*D12)/(1+D13)</f>
        <v>#VALUE!</v>
      </c>
      <c r="L7" s="84" t="s">
        <v>787</v>
      </c>
    </row>
    <row r="8" spans="2:4" ht="19.5">
      <c r="B8" s="84" t="s">
        <v>788</v>
      </c>
      <c r="D8" s="87" t="e">
        <f>ATAN((D6)/(D7/2))</f>
        <v>#VALUE!</v>
      </c>
    </row>
    <row r="9" spans="2:12" ht="19.5">
      <c r="B9" s="84" t="s">
        <v>789</v>
      </c>
      <c r="D9" s="87" t="e">
        <f>DEGREES(D8)</f>
        <v>#VALUE!</v>
      </c>
      <c r="E9" s="84" t="s">
        <v>790</v>
      </c>
      <c r="H9" s="84" t="s">
        <v>791</v>
      </c>
      <c r="I9" s="85" t="s">
        <v>792</v>
      </c>
      <c r="J9" s="88" t="e">
        <f>SUM(J7*D21)</f>
        <v>#VALUE!</v>
      </c>
      <c r="L9" s="84" t="s">
        <v>793</v>
      </c>
    </row>
    <row r="10" spans="2:13" ht="19.5">
      <c r="B10" s="84" t="s">
        <v>794</v>
      </c>
      <c r="D10" s="87">
        <f>SQRT(POWER(D6,2)+POWER(D7/2,2))</f>
        <v>3.3301651610693423</v>
      </c>
      <c r="E10" s="84" t="s">
        <v>795</v>
      </c>
      <c r="H10" s="84" t="s">
        <v>796</v>
      </c>
      <c r="I10" s="85" t="s">
        <v>797</v>
      </c>
      <c r="J10" s="170" t="s">
        <v>798</v>
      </c>
      <c r="K10" s="170"/>
      <c r="L10" s="170"/>
      <c r="M10" s="170"/>
    </row>
    <row r="11" spans="2:10" ht="19.5">
      <c r="B11" s="84" t="s">
        <v>799</v>
      </c>
      <c r="D11" s="87" t="e">
        <f>SIN(D8)</f>
        <v>#VALUE!</v>
      </c>
      <c r="J11" s="87" t="e">
        <f>NA()</f>
        <v>#N/A</v>
      </c>
    </row>
    <row r="12" spans="2:10" ht="19.5">
      <c r="B12" s="84" t="s">
        <v>800</v>
      </c>
      <c r="D12" s="87" t="e">
        <f>SUM(2*D11)</f>
        <v>#VALUE!</v>
      </c>
      <c r="H12" s="84" t="s">
        <v>801</v>
      </c>
      <c r="I12" s="85" t="s">
        <v>802</v>
      </c>
      <c r="J12" s="84" t="s">
        <v>803</v>
      </c>
    </row>
    <row r="13" spans="2:10" ht="19.5">
      <c r="B13" s="84" t="s">
        <v>804</v>
      </c>
      <c r="D13" s="87" t="e">
        <f>POWER(D11,2)</f>
        <v>#VALUE!</v>
      </c>
      <c r="I13" s="85"/>
      <c r="J13" s="88">
        <f>SUM(F26*D20)</f>
        <v>718.2381979200002</v>
      </c>
    </row>
    <row r="14" spans="2:10" ht="19.5">
      <c r="B14" s="84" t="s">
        <v>805</v>
      </c>
      <c r="D14" s="87" t="e">
        <f>COS(D8)</f>
        <v>#VALUE!</v>
      </c>
      <c r="H14" s="84" t="s">
        <v>806</v>
      </c>
      <c r="I14" s="85" t="s">
        <v>807</v>
      </c>
      <c r="J14" s="84" t="s">
        <v>808</v>
      </c>
    </row>
    <row r="15" spans="4:10" ht="19.5">
      <c r="D15" s="89"/>
      <c r="J15" s="87" t="e">
        <f>NA()</f>
        <v>#N/A</v>
      </c>
    </row>
    <row r="16" spans="2:5" ht="19.5">
      <c r="B16" s="84" t="s">
        <v>809</v>
      </c>
      <c r="D16" s="86">
        <v>0.3</v>
      </c>
      <c r="E16" s="84" t="s">
        <v>810</v>
      </c>
    </row>
    <row r="17" spans="2:5" ht="19.5">
      <c r="B17" s="84" t="s">
        <v>811</v>
      </c>
      <c r="D17" s="86">
        <v>1.5</v>
      </c>
      <c r="E17" s="84" t="s">
        <v>812</v>
      </c>
    </row>
    <row r="18" spans="2:5" ht="19.5">
      <c r="B18" s="90" t="s">
        <v>813</v>
      </c>
      <c r="D18" s="86">
        <v>2</v>
      </c>
      <c r="E18" s="84" t="s">
        <v>814</v>
      </c>
    </row>
    <row r="19" spans="2:11" ht="19.5">
      <c r="B19" s="90" t="s">
        <v>815</v>
      </c>
      <c r="D19" s="86">
        <v>2.11</v>
      </c>
      <c r="E19" s="84" t="s">
        <v>816</v>
      </c>
      <c r="H19" s="84" t="s">
        <v>817</v>
      </c>
      <c r="I19" s="85" t="s">
        <v>818</v>
      </c>
      <c r="J19" s="91" t="e">
        <f>FIXED(((J9+J15)*(D16))/(1000),2)</f>
        <v>#VALUE!</v>
      </c>
      <c r="K19" s="84" t="s">
        <v>819</v>
      </c>
    </row>
    <row r="20" spans="2:11" ht="19.5">
      <c r="B20" s="90" t="s">
        <v>820</v>
      </c>
      <c r="D20" s="87">
        <f>SUM(D17*D18)</f>
        <v>3</v>
      </c>
      <c r="E20" s="84" t="s">
        <v>821</v>
      </c>
      <c r="H20" s="84" t="s">
        <v>822</v>
      </c>
      <c r="I20" s="85" t="s">
        <v>823</v>
      </c>
      <c r="J20" s="91" t="str">
        <f>FIXED(J13/1000,2)</f>
        <v>0.72</v>
      </c>
      <c r="K20" s="84" t="s">
        <v>824</v>
      </c>
    </row>
    <row r="21" spans="2:5" ht="19.5">
      <c r="B21" s="90" t="s">
        <v>825</v>
      </c>
      <c r="D21" s="87">
        <f>SUM(D19*D17)</f>
        <v>3.165</v>
      </c>
      <c r="E21" s="84" t="s">
        <v>826</v>
      </c>
    </row>
    <row r="23" spans="2:5" ht="19.5">
      <c r="B23" s="84" t="s">
        <v>827</v>
      </c>
      <c r="D23" s="84" t="s">
        <v>828</v>
      </c>
      <c r="E23" s="84" t="s">
        <v>829</v>
      </c>
    </row>
    <row r="24" spans="4:5" ht="19.5">
      <c r="D24" s="84">
        <f>SUM(0.5+(0.075*D7*3.281))*POWER(3.281,2)*4.448</f>
        <v>82.85476144838802</v>
      </c>
      <c r="E24" s="84" t="s">
        <v>830</v>
      </c>
    </row>
    <row r="26" spans="2:7" ht="19.5">
      <c r="B26" s="84" t="s">
        <v>831</v>
      </c>
      <c r="D26" s="84">
        <v>5</v>
      </c>
      <c r="E26" s="84" t="s">
        <v>832</v>
      </c>
      <c r="F26" s="87">
        <f>SUM(D26*4.448*POWER(3.281,2))</f>
        <v>239.41273264000006</v>
      </c>
      <c r="G26" s="84" t="s">
        <v>833</v>
      </c>
    </row>
    <row r="29" spans="1:6" ht="19.5">
      <c r="A29" s="3" t="s">
        <v>834</v>
      </c>
      <c r="B29" s="3"/>
      <c r="C29" s="3"/>
      <c r="D29" s="3" t="s">
        <v>835</v>
      </c>
      <c r="E29" s="163" t="s">
        <v>836</v>
      </c>
      <c r="F29" s="163"/>
    </row>
    <row r="30" spans="1:6" ht="19.5">
      <c r="A30" s="3" t="s">
        <v>837</v>
      </c>
      <c r="B30" s="3"/>
      <c r="C30" s="3"/>
      <c r="D30" s="3" t="s">
        <v>838</v>
      </c>
      <c r="E30" s="27">
        <v>0.88</v>
      </c>
      <c r="F30" s="4"/>
    </row>
    <row r="31" spans="1:6" ht="19.5">
      <c r="A31" s="3" t="s">
        <v>839</v>
      </c>
      <c r="B31" s="3"/>
      <c r="C31" s="3"/>
      <c r="D31" s="3" t="s">
        <v>840</v>
      </c>
      <c r="E31" s="27">
        <v>0.3</v>
      </c>
      <c r="F31" s="4" t="s">
        <v>841</v>
      </c>
    </row>
    <row r="32" spans="1:6" ht="19.5">
      <c r="A32" s="3" t="s">
        <v>842</v>
      </c>
      <c r="B32" s="3"/>
      <c r="C32" s="3"/>
      <c r="D32" s="3"/>
      <c r="E32" s="28"/>
      <c r="F32" s="4"/>
    </row>
    <row r="33" spans="1:6" ht="19.5">
      <c r="A33" s="3" t="s">
        <v>843</v>
      </c>
      <c r="B33" s="3"/>
      <c r="C33" s="3"/>
      <c r="D33" s="3" t="s">
        <v>844</v>
      </c>
      <c r="E33" s="28">
        <v>900</v>
      </c>
      <c r="F33" s="4" t="s">
        <v>845</v>
      </c>
    </row>
    <row r="34" spans="1:6" ht="19.5">
      <c r="A34" s="3"/>
      <c r="B34" s="3"/>
      <c r="C34" s="3"/>
      <c r="D34" s="3"/>
      <c r="E34" s="28"/>
      <c r="F34" s="4"/>
    </row>
    <row r="35" spans="1:6" ht="19.5">
      <c r="A35" s="3"/>
      <c r="B35" s="3"/>
      <c r="C35" s="3"/>
      <c r="D35" s="3"/>
      <c r="E35" s="28"/>
      <c r="F35" s="4"/>
    </row>
    <row r="36" spans="1:6" ht="19.5">
      <c r="A36" s="3" t="s">
        <v>846</v>
      </c>
      <c r="B36" s="3"/>
      <c r="C36" s="3"/>
      <c r="D36" s="3" t="s">
        <v>847</v>
      </c>
      <c r="E36" s="28">
        <v>230</v>
      </c>
      <c r="F36" s="4" t="s">
        <v>848</v>
      </c>
    </row>
    <row r="37" spans="1:6" ht="19.5">
      <c r="A37" s="3" t="s">
        <v>849</v>
      </c>
      <c r="B37" s="3"/>
      <c r="C37" s="3"/>
      <c r="D37" s="3" t="s">
        <v>850</v>
      </c>
      <c r="E37" s="28">
        <v>200</v>
      </c>
      <c r="F37" s="4" t="s">
        <v>851</v>
      </c>
    </row>
  </sheetData>
  <mergeCells count="3">
    <mergeCell ref="B2:L2"/>
    <mergeCell ref="J10:M10"/>
    <mergeCell ref="E29:F29"/>
  </mergeCells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E12">
      <selection activeCell="H42" sqref="H42"/>
    </sheetView>
  </sheetViews>
  <sheetFormatPr defaultColWidth="9.140625" defaultRowHeight="12.75"/>
  <cols>
    <col min="1" max="1" width="30.421875" style="1" customWidth="1"/>
    <col min="2" max="3" width="12.7109375" style="1" customWidth="1"/>
    <col min="4" max="4" width="53.421875" style="1" customWidth="1"/>
    <col min="5" max="5" width="12.421875" style="1" customWidth="1"/>
    <col min="6" max="7" width="11.28125" style="1" customWidth="1"/>
    <col min="8" max="16384" width="8.28125" style="1" customWidth="1"/>
  </cols>
  <sheetData>
    <row r="1" ht="12.75">
      <c r="D1" s="92" t="s">
        <v>852</v>
      </c>
    </row>
    <row r="2" spans="1:7" ht="12.75">
      <c r="A2" s="92" t="s">
        <v>853</v>
      </c>
      <c r="D2" s="171" t="s">
        <v>854</v>
      </c>
      <c r="E2" s="171"/>
      <c r="F2" s="171"/>
      <c r="G2" s="171"/>
    </row>
    <row r="3" spans="1:7" ht="12.75">
      <c r="A3" s="74" t="s">
        <v>855</v>
      </c>
      <c r="D3" s="93" t="s">
        <v>856</v>
      </c>
      <c r="E3" s="93" t="s">
        <v>857</v>
      </c>
      <c r="F3" s="93" t="s">
        <v>858</v>
      </c>
      <c r="G3" s="93" t="s">
        <v>859</v>
      </c>
    </row>
    <row r="4" spans="1:7" ht="12.75">
      <c r="A4" s="74" t="s">
        <v>860</v>
      </c>
      <c r="D4" s="94" t="s">
        <v>861</v>
      </c>
      <c r="E4" s="95">
        <v>1000</v>
      </c>
      <c r="F4" s="95">
        <v>800</v>
      </c>
      <c r="G4" s="95">
        <v>6000</v>
      </c>
    </row>
    <row r="5" spans="1:7" ht="12.75">
      <c r="A5" s="74" t="s">
        <v>862</v>
      </c>
      <c r="D5" s="94" t="s">
        <v>863</v>
      </c>
      <c r="E5" s="95">
        <v>800</v>
      </c>
      <c r="F5" s="95">
        <v>700</v>
      </c>
      <c r="G5" s="95">
        <v>600</v>
      </c>
    </row>
    <row r="6" spans="1:7" ht="12.75">
      <c r="A6" s="74" t="s">
        <v>864</v>
      </c>
      <c r="D6" s="94" t="s">
        <v>865</v>
      </c>
      <c r="E6" s="95">
        <v>600</v>
      </c>
      <c r="F6" s="95">
        <v>600</v>
      </c>
      <c r="G6" s="95">
        <v>600</v>
      </c>
    </row>
    <row r="7" spans="1:7" ht="12.75">
      <c r="A7" s="96" t="s">
        <v>866</v>
      </c>
      <c r="D7" s="94" t="s">
        <v>867</v>
      </c>
      <c r="E7" s="95">
        <v>250</v>
      </c>
      <c r="F7" s="95">
        <v>250</v>
      </c>
      <c r="G7" s="95">
        <v>250</v>
      </c>
    </row>
    <row r="8" spans="4:7" ht="12.75">
      <c r="D8" s="94" t="s">
        <v>868</v>
      </c>
      <c r="E8" s="95">
        <v>500</v>
      </c>
      <c r="F8" s="95">
        <v>500</v>
      </c>
      <c r="G8" s="95">
        <v>500</v>
      </c>
    </row>
    <row r="11" ht="12.75">
      <c r="D11" s="1" t="s">
        <v>869</v>
      </c>
    </row>
    <row r="13" spans="4:7" ht="12.75">
      <c r="D13" s="97" t="s">
        <v>870</v>
      </c>
      <c r="E13" s="97" t="s">
        <v>871</v>
      </c>
      <c r="F13" s="97" t="s">
        <v>872</v>
      </c>
      <c r="G13" s="97" t="s">
        <v>873</v>
      </c>
    </row>
    <row r="14" spans="4:7" ht="12.75">
      <c r="D14" s="94"/>
      <c r="E14" s="94"/>
      <c r="F14" s="94"/>
      <c r="G14" s="94"/>
    </row>
    <row r="15" spans="4:7" ht="12.75">
      <c r="D15" s="98" t="s">
        <v>874</v>
      </c>
      <c r="E15" s="98">
        <v>1.41</v>
      </c>
      <c r="F15" s="98">
        <v>1.08</v>
      </c>
      <c r="G15" s="98">
        <v>0.63</v>
      </c>
    </row>
    <row r="16" spans="4:7" ht="12.75">
      <c r="D16" s="99">
        <v>6</v>
      </c>
      <c r="E16" s="98">
        <v>1.45</v>
      </c>
      <c r="F16" s="98">
        <v>1.13</v>
      </c>
      <c r="G16" s="98">
        <v>0.67</v>
      </c>
    </row>
    <row r="17" spans="4:7" ht="12.75">
      <c r="D17" s="99">
        <v>7</v>
      </c>
      <c r="E17" s="98">
        <v>1.48</v>
      </c>
      <c r="F17" s="98">
        <v>1.17</v>
      </c>
      <c r="G17" s="98">
        <v>0.7</v>
      </c>
    </row>
    <row r="18" spans="4:7" ht="12.75">
      <c r="D18" s="99">
        <v>8</v>
      </c>
      <c r="E18" s="98">
        <v>1.51</v>
      </c>
      <c r="F18" s="98">
        <v>1.2</v>
      </c>
      <c r="G18" s="98">
        <v>0.73</v>
      </c>
    </row>
    <row r="19" spans="4:7" ht="12.75">
      <c r="D19" s="99">
        <v>9</v>
      </c>
      <c r="E19" s="98">
        <v>1.54</v>
      </c>
      <c r="F19" s="98">
        <v>1.23</v>
      </c>
      <c r="G19" s="98">
        <v>0.76</v>
      </c>
    </row>
    <row r="20" spans="4:7" ht="12.75">
      <c r="D20" s="99">
        <v>10</v>
      </c>
      <c r="E20" s="98">
        <v>1.56</v>
      </c>
      <c r="F20" s="98">
        <v>1.25</v>
      </c>
      <c r="G20" s="98">
        <v>0.78</v>
      </c>
    </row>
    <row r="21" spans="4:7" ht="12.75">
      <c r="D21" s="99">
        <v>15</v>
      </c>
      <c r="E21" s="98">
        <v>1.65</v>
      </c>
      <c r="F21" s="98">
        <v>1.35</v>
      </c>
      <c r="G21" s="98">
        <v>0.89</v>
      </c>
    </row>
    <row r="22" spans="4:7" ht="12.75">
      <c r="D22" s="99">
        <v>20</v>
      </c>
      <c r="E22" s="98">
        <v>1.75</v>
      </c>
      <c r="F22" s="98">
        <v>1.46</v>
      </c>
      <c r="G22" s="98">
        <v>0.98</v>
      </c>
    </row>
    <row r="23" spans="4:7" ht="12.75">
      <c r="D23" s="99">
        <v>30</v>
      </c>
      <c r="E23" s="98">
        <v>1.87</v>
      </c>
      <c r="F23" s="98">
        <v>1.6</v>
      </c>
      <c r="G23" s="98">
        <v>1.12</v>
      </c>
    </row>
    <row r="24" spans="4:7" ht="12.75">
      <c r="D24" s="99">
        <v>40</v>
      </c>
      <c r="E24" s="98">
        <v>1.96</v>
      </c>
      <c r="F24" s="98">
        <v>1.7</v>
      </c>
      <c r="G24" s="98">
        <v>1.23</v>
      </c>
    </row>
    <row r="25" spans="4:7" ht="12.75">
      <c r="D25" s="99">
        <v>60</v>
      </c>
      <c r="E25" s="98">
        <v>2.09</v>
      </c>
      <c r="F25" s="98">
        <v>1.86</v>
      </c>
      <c r="G25" s="98">
        <v>1.41</v>
      </c>
    </row>
    <row r="26" spans="4:7" ht="12.75">
      <c r="D26" s="99">
        <v>80</v>
      </c>
      <c r="E26" s="98">
        <v>2.17</v>
      </c>
      <c r="F26" s="98">
        <v>2</v>
      </c>
      <c r="G26" s="98">
        <v>1.55</v>
      </c>
    </row>
    <row r="27" spans="4:7" ht="12.75">
      <c r="D27" s="99">
        <v>100</v>
      </c>
      <c r="E27" s="98">
        <v>2.26</v>
      </c>
      <c r="F27" s="98">
        <v>2.09</v>
      </c>
      <c r="G27" s="98">
        <v>1.68</v>
      </c>
    </row>
    <row r="29" ht="12.75">
      <c r="D29" s="1" t="s">
        <v>875</v>
      </c>
    </row>
    <row r="32" ht="12.75">
      <c r="D32" s="92" t="s">
        <v>876</v>
      </c>
    </row>
    <row r="34" spans="4:7" ht="12.75">
      <c r="D34" s="97" t="s">
        <v>877</v>
      </c>
      <c r="E34" s="93" t="s">
        <v>878</v>
      </c>
      <c r="F34" s="93" t="s">
        <v>879</v>
      </c>
      <c r="G34" s="93" t="s">
        <v>880</v>
      </c>
    </row>
    <row r="35" spans="4:7" ht="12.75">
      <c r="D35" s="94" t="s">
        <v>881</v>
      </c>
      <c r="E35" s="95">
        <v>200</v>
      </c>
      <c r="F35" s="95">
        <v>175</v>
      </c>
      <c r="G35" s="95">
        <v>150</v>
      </c>
    </row>
    <row r="36" spans="4:7" ht="12.75">
      <c r="D36" s="94" t="s">
        <v>882</v>
      </c>
      <c r="E36" s="95">
        <v>2000</v>
      </c>
      <c r="F36" s="95">
        <v>1500</v>
      </c>
      <c r="G36" s="95">
        <v>1000</v>
      </c>
    </row>
    <row r="39" ht="12.75">
      <c r="D39" s="92" t="s">
        <v>883</v>
      </c>
    </row>
    <row r="41" spans="4:6" ht="12.75">
      <c r="D41" s="93" t="s">
        <v>884</v>
      </c>
      <c r="E41" s="93" t="s">
        <v>885</v>
      </c>
      <c r="F41" s="93" t="s">
        <v>886</v>
      </c>
    </row>
    <row r="42" spans="4:6" ht="12.75">
      <c r="D42" s="95" t="s">
        <v>887</v>
      </c>
      <c r="E42" s="95" t="s">
        <v>888</v>
      </c>
      <c r="F42" s="100">
        <v>1.15</v>
      </c>
    </row>
    <row r="43" spans="4:6" ht="12.75">
      <c r="D43" s="95" t="s">
        <v>889</v>
      </c>
      <c r="E43" s="95" t="s">
        <v>890</v>
      </c>
      <c r="F43" s="100">
        <v>1.15</v>
      </c>
    </row>
    <row r="44" spans="4:6" ht="12.75">
      <c r="D44" s="95" t="s">
        <v>891</v>
      </c>
      <c r="E44" s="95" t="s">
        <v>892</v>
      </c>
      <c r="F44" s="100">
        <v>1.15</v>
      </c>
    </row>
    <row r="45" spans="4:6" ht="12.75">
      <c r="D45" s="95" t="s">
        <v>893</v>
      </c>
      <c r="E45" s="95" t="s">
        <v>894</v>
      </c>
      <c r="F45" s="100">
        <v>1</v>
      </c>
    </row>
    <row r="46" spans="4:6" ht="12.75">
      <c r="D46" s="95" t="s">
        <v>895</v>
      </c>
      <c r="E46" s="95" t="s">
        <v>896</v>
      </c>
      <c r="F46" s="100">
        <v>0.87</v>
      </c>
    </row>
  </sheetData>
  <mergeCells count="1">
    <mergeCell ref="D2:G2"/>
  </mergeCells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250"/>
  <sheetViews>
    <sheetView workbookViewId="0" topLeftCell="A1">
      <pane xSplit="1" ySplit="1" topLeftCell="D95" activePane="bottomLeft" state="frozen"/>
      <selection pane="topLeft" activeCell="A231" sqref="A231"/>
      <selection pane="topRight" activeCell="A231" sqref="A231"/>
      <selection pane="bottomLeft" activeCell="A231" sqref="A231"/>
      <selection pane="bottomRight" activeCell="A231" sqref="A231"/>
    </sheetView>
  </sheetViews>
  <sheetFormatPr defaultColWidth="9.140625" defaultRowHeight="12.75"/>
  <cols>
    <col min="1" max="1" width="12.8515625" style="1" customWidth="1"/>
    <col min="2" max="17" width="6.421875" style="1" customWidth="1"/>
    <col min="18" max="16384" width="14.140625" style="1" customWidth="1"/>
  </cols>
  <sheetData>
    <row r="1" spans="1:15" ht="12.75" customHeight="1">
      <c r="A1" s="61" t="s">
        <v>897</v>
      </c>
      <c r="B1" s="61" t="s">
        <v>898</v>
      </c>
      <c r="C1" s="61" t="s">
        <v>899</v>
      </c>
      <c r="D1" s="62" t="s">
        <v>900</v>
      </c>
      <c r="E1" s="62" t="s">
        <v>901</v>
      </c>
      <c r="F1" s="63" t="s">
        <v>902</v>
      </c>
      <c r="G1" s="63" t="s">
        <v>903</v>
      </c>
      <c r="H1" s="63" t="s">
        <v>904</v>
      </c>
      <c r="I1" s="63" t="s">
        <v>905</v>
      </c>
      <c r="J1" s="63" t="s">
        <v>906</v>
      </c>
      <c r="K1" s="63" t="s">
        <v>907</v>
      </c>
      <c r="L1" s="63" t="s">
        <v>908</v>
      </c>
      <c r="M1" s="63" t="s">
        <v>909</v>
      </c>
      <c r="N1" s="61" t="s">
        <v>910</v>
      </c>
      <c r="O1" s="63" t="s">
        <v>911</v>
      </c>
    </row>
    <row r="2" spans="1:15" ht="12.75" customHeight="1">
      <c r="A2" s="61" t="s">
        <v>912</v>
      </c>
      <c r="B2" s="61">
        <v>175</v>
      </c>
      <c r="C2" s="61">
        <v>175</v>
      </c>
      <c r="D2" s="62">
        <v>7.5</v>
      </c>
      <c r="E2" s="62">
        <v>11</v>
      </c>
      <c r="F2" s="63">
        <v>51.21</v>
      </c>
      <c r="G2" s="63">
        <v>40.2</v>
      </c>
      <c r="H2" s="63">
        <v>0</v>
      </c>
      <c r="I2" s="63">
        <v>0</v>
      </c>
      <c r="J2" s="63">
        <v>2880</v>
      </c>
      <c r="K2" s="63">
        <v>984</v>
      </c>
      <c r="L2" s="63">
        <v>330</v>
      </c>
      <c r="M2" s="63">
        <v>112</v>
      </c>
      <c r="N2" s="64" t="b">
        <f>TRUE()</f>
        <v>1</v>
      </c>
      <c r="O2" s="63"/>
    </row>
    <row r="3" spans="1:15" ht="12.75" customHeight="1">
      <c r="A3" s="61" t="s">
        <v>913</v>
      </c>
      <c r="B3" s="61">
        <v>150</v>
      </c>
      <c r="C3" s="61">
        <v>150</v>
      </c>
      <c r="D3" s="62">
        <v>7</v>
      </c>
      <c r="E3" s="62">
        <v>10</v>
      </c>
      <c r="F3" s="63">
        <v>40.14</v>
      </c>
      <c r="G3" s="63">
        <v>31.5</v>
      </c>
      <c r="H3" s="63">
        <v>0</v>
      </c>
      <c r="I3" s="63">
        <v>0</v>
      </c>
      <c r="J3" s="63">
        <v>1640</v>
      </c>
      <c r="K3" s="63">
        <v>563</v>
      </c>
      <c r="L3" s="63">
        <v>219</v>
      </c>
      <c r="M3" s="63">
        <v>75.1</v>
      </c>
      <c r="N3" s="64" t="b">
        <f>TRUE()</f>
        <v>1</v>
      </c>
      <c r="O3" s="63"/>
    </row>
    <row r="4" spans="1:15" ht="12.75" customHeight="1">
      <c r="A4" s="61" t="s">
        <v>914</v>
      </c>
      <c r="B4" s="61">
        <v>150</v>
      </c>
      <c r="C4" s="61">
        <v>100</v>
      </c>
      <c r="D4" s="62">
        <v>6</v>
      </c>
      <c r="E4" s="62">
        <v>9</v>
      </c>
      <c r="F4" s="63">
        <v>26.84</v>
      </c>
      <c r="G4" s="63">
        <v>21.1</v>
      </c>
      <c r="H4" s="63">
        <v>0</v>
      </c>
      <c r="I4" s="63">
        <v>0</v>
      </c>
      <c r="J4" s="63">
        <v>1020</v>
      </c>
      <c r="K4" s="63">
        <v>151</v>
      </c>
      <c r="L4" s="63">
        <v>138</v>
      </c>
      <c r="M4" s="63">
        <v>30.1</v>
      </c>
      <c r="N4" s="64" t="b">
        <f>TRUE()</f>
        <v>1</v>
      </c>
      <c r="O4" s="63"/>
    </row>
    <row r="5" spans="1:15" ht="12.75" customHeight="1">
      <c r="A5" s="61" t="s">
        <v>915</v>
      </c>
      <c r="B5" s="61">
        <v>150</v>
      </c>
      <c r="C5" s="61">
        <v>75</v>
      </c>
      <c r="D5" s="62">
        <v>5</v>
      </c>
      <c r="E5" s="62">
        <v>7</v>
      </c>
      <c r="F5" s="63">
        <v>17.85</v>
      </c>
      <c r="G5" s="63">
        <v>14</v>
      </c>
      <c r="H5" s="63">
        <v>0</v>
      </c>
      <c r="I5" s="63">
        <v>0</v>
      </c>
      <c r="J5" s="63">
        <v>666</v>
      </c>
      <c r="K5" s="63">
        <v>49.5</v>
      </c>
      <c r="L5" s="63">
        <v>88.8</v>
      </c>
      <c r="M5" s="63">
        <v>13.2</v>
      </c>
      <c r="N5" s="64" t="b">
        <f>TRUE()</f>
        <v>1</v>
      </c>
      <c r="O5" s="63"/>
    </row>
    <row r="6" spans="1:15" ht="12.75" customHeight="1">
      <c r="A6" s="61" t="s">
        <v>916</v>
      </c>
      <c r="B6" s="61">
        <v>125</v>
      </c>
      <c r="C6" s="61">
        <v>125</v>
      </c>
      <c r="D6" s="62">
        <v>6.5</v>
      </c>
      <c r="E6" s="62">
        <v>9</v>
      </c>
      <c r="F6" s="63">
        <v>30.31</v>
      </c>
      <c r="G6" s="63">
        <v>23.8</v>
      </c>
      <c r="H6" s="63">
        <v>0</v>
      </c>
      <c r="I6" s="63">
        <v>0</v>
      </c>
      <c r="J6" s="63">
        <v>847</v>
      </c>
      <c r="K6" s="63">
        <v>293</v>
      </c>
      <c r="L6" s="63">
        <v>136</v>
      </c>
      <c r="M6" s="63">
        <v>47</v>
      </c>
      <c r="N6" s="64" t="b">
        <f>TRUE()</f>
        <v>1</v>
      </c>
      <c r="O6" s="63"/>
    </row>
    <row r="7" spans="1:15" ht="12.75" customHeight="1">
      <c r="A7" s="61" t="s">
        <v>917</v>
      </c>
      <c r="B7" s="61">
        <v>125</v>
      </c>
      <c r="C7" s="61">
        <v>60</v>
      </c>
      <c r="D7" s="62">
        <v>6</v>
      </c>
      <c r="E7" s="62">
        <v>8</v>
      </c>
      <c r="F7" s="63">
        <v>16.84</v>
      </c>
      <c r="G7" s="63">
        <v>13.2</v>
      </c>
      <c r="H7" s="63">
        <v>0</v>
      </c>
      <c r="I7" s="63">
        <v>0</v>
      </c>
      <c r="J7" s="63">
        <v>413</v>
      </c>
      <c r="K7" s="63">
        <v>29.2</v>
      </c>
      <c r="L7" s="63">
        <v>66.1</v>
      </c>
      <c r="M7" s="63">
        <v>9.7</v>
      </c>
      <c r="N7" s="64" t="b">
        <f>TRUE()</f>
        <v>1</v>
      </c>
      <c r="O7" s="63"/>
    </row>
    <row r="8" spans="1:15" ht="12.75" customHeight="1">
      <c r="A8" s="61" t="s">
        <v>918</v>
      </c>
      <c r="B8" s="61">
        <v>100</v>
      </c>
      <c r="C8" s="61">
        <v>100</v>
      </c>
      <c r="D8" s="62">
        <v>6</v>
      </c>
      <c r="E8" s="62">
        <v>8</v>
      </c>
      <c r="F8" s="63">
        <v>21.9</v>
      </c>
      <c r="G8" s="63">
        <v>17.2</v>
      </c>
      <c r="H8" s="63">
        <v>0</v>
      </c>
      <c r="I8" s="63">
        <v>0</v>
      </c>
      <c r="J8" s="63">
        <v>383</v>
      </c>
      <c r="K8" s="63">
        <v>134</v>
      </c>
      <c r="L8" s="63">
        <v>76.5</v>
      </c>
      <c r="M8" s="63">
        <v>26.7</v>
      </c>
      <c r="N8" s="64" t="b">
        <f>TRUE()</f>
        <v>1</v>
      </c>
      <c r="O8" s="63"/>
    </row>
    <row r="9" spans="1:15" ht="12.75" customHeight="1">
      <c r="A9" s="61" t="s">
        <v>919</v>
      </c>
      <c r="B9" s="61">
        <v>100</v>
      </c>
      <c r="C9" s="61">
        <v>50</v>
      </c>
      <c r="D9" s="62">
        <v>5</v>
      </c>
      <c r="E9" s="62">
        <v>7</v>
      </c>
      <c r="F9" s="63">
        <v>11.85</v>
      </c>
      <c r="G9" s="63">
        <v>9.3</v>
      </c>
      <c r="H9" s="63">
        <v>0</v>
      </c>
      <c r="I9" s="63">
        <v>0</v>
      </c>
      <c r="J9" s="63">
        <v>187</v>
      </c>
      <c r="K9" s="63">
        <v>14.8</v>
      </c>
      <c r="L9" s="63">
        <v>37.5</v>
      </c>
      <c r="M9" s="63">
        <v>5.9</v>
      </c>
      <c r="N9" s="64" t="b">
        <f>TRUE()</f>
        <v>1</v>
      </c>
      <c r="O9" s="63"/>
    </row>
    <row r="10" spans="1:15" ht="12.75" customHeight="1">
      <c r="A10" s="61" t="s">
        <v>920</v>
      </c>
      <c r="B10" s="61">
        <v>200</v>
      </c>
      <c r="C10" s="61">
        <v>150</v>
      </c>
      <c r="D10" s="62">
        <v>9</v>
      </c>
      <c r="E10" s="62">
        <v>16</v>
      </c>
      <c r="F10" s="63">
        <v>64.16</v>
      </c>
      <c r="G10" s="63">
        <v>50.4</v>
      </c>
      <c r="H10" s="63">
        <v>0</v>
      </c>
      <c r="I10" s="63">
        <v>0</v>
      </c>
      <c r="J10" s="63">
        <v>4460</v>
      </c>
      <c r="K10" s="63">
        <v>753</v>
      </c>
      <c r="L10" s="63">
        <v>446</v>
      </c>
      <c r="M10" s="63">
        <v>10</v>
      </c>
      <c r="N10" s="64" t="b">
        <f>TRUE()</f>
        <v>1</v>
      </c>
      <c r="O10" s="63"/>
    </row>
    <row r="11" spans="1:15" ht="12.75" customHeight="1">
      <c r="A11" s="61" t="s">
        <v>921</v>
      </c>
      <c r="B11" s="61">
        <v>200</v>
      </c>
      <c r="C11" s="61">
        <v>100</v>
      </c>
      <c r="D11" s="62">
        <v>7</v>
      </c>
      <c r="E11" s="62">
        <v>10</v>
      </c>
      <c r="F11" s="63">
        <v>33.06</v>
      </c>
      <c r="G11" s="63">
        <v>26</v>
      </c>
      <c r="H11" s="63">
        <v>0</v>
      </c>
      <c r="I11" s="63">
        <v>0</v>
      </c>
      <c r="J11" s="63">
        <v>2170</v>
      </c>
      <c r="K11" s="63">
        <v>138</v>
      </c>
      <c r="L11" s="63">
        <v>217</v>
      </c>
      <c r="M11" s="63">
        <v>27.7</v>
      </c>
      <c r="N11" s="64" t="b">
        <f>TRUE()</f>
        <v>1</v>
      </c>
      <c r="O11" s="63"/>
    </row>
    <row r="12" spans="1:15" ht="12.75" customHeight="1">
      <c r="A12" s="61" t="s">
        <v>922</v>
      </c>
      <c r="B12" s="61">
        <v>180</v>
      </c>
      <c r="C12" s="61">
        <v>100</v>
      </c>
      <c r="D12" s="62">
        <v>6</v>
      </c>
      <c r="E12" s="62">
        <v>10</v>
      </c>
      <c r="F12" s="63">
        <v>30.06</v>
      </c>
      <c r="G12" s="63">
        <v>23.6</v>
      </c>
      <c r="H12" s="63">
        <v>0</v>
      </c>
      <c r="I12" s="63">
        <v>0</v>
      </c>
      <c r="J12" s="63">
        <v>1670</v>
      </c>
      <c r="K12" s="63">
        <v>138</v>
      </c>
      <c r="L12" s="63">
        <v>186</v>
      </c>
      <c r="M12" s="63">
        <v>27.5</v>
      </c>
      <c r="N12" s="64" t="b">
        <f>TRUE()</f>
        <v>1</v>
      </c>
      <c r="O12" s="63"/>
    </row>
    <row r="13" spans="1:15" ht="12.75" customHeight="1">
      <c r="A13" s="61" t="s">
        <v>923</v>
      </c>
      <c r="B13" s="61">
        <v>150</v>
      </c>
      <c r="C13" s="61">
        <v>125</v>
      </c>
      <c r="D13" s="62">
        <v>8.5</v>
      </c>
      <c r="E13" s="62">
        <v>14</v>
      </c>
      <c r="F13" s="63">
        <v>46.15</v>
      </c>
      <c r="G13" s="63">
        <v>36.2</v>
      </c>
      <c r="H13" s="63">
        <v>0</v>
      </c>
      <c r="I13" s="63">
        <v>0</v>
      </c>
      <c r="J13" s="63">
        <v>1760</v>
      </c>
      <c r="K13" s="63">
        <v>385</v>
      </c>
      <c r="L13" s="63">
        <v>235</v>
      </c>
      <c r="M13" s="63">
        <v>61.6</v>
      </c>
      <c r="N13" s="64" t="b">
        <f>TRUE()</f>
        <v>1</v>
      </c>
      <c r="O13" s="63"/>
    </row>
    <row r="14" spans="1:15" ht="12.75" customHeight="1">
      <c r="A14" s="61" t="s">
        <v>924</v>
      </c>
      <c r="B14" s="61">
        <v>150</v>
      </c>
      <c r="C14" s="61">
        <v>75</v>
      </c>
      <c r="D14" s="62">
        <v>5.5</v>
      </c>
      <c r="E14" s="62">
        <v>9.5</v>
      </c>
      <c r="F14" s="63">
        <v>21.83</v>
      </c>
      <c r="G14" s="63">
        <v>17.1</v>
      </c>
      <c r="H14" s="63">
        <v>0</v>
      </c>
      <c r="I14" s="63">
        <v>0</v>
      </c>
      <c r="J14" s="63">
        <v>819</v>
      </c>
      <c r="K14" s="63">
        <v>57.5</v>
      </c>
      <c r="L14" s="63">
        <v>109</v>
      </c>
      <c r="M14" s="63">
        <v>15.3</v>
      </c>
      <c r="N14" s="64" t="b">
        <f>TRUE()</f>
        <v>1</v>
      </c>
      <c r="O14" s="63"/>
    </row>
    <row r="15" spans="1:15" ht="12.75" customHeight="1">
      <c r="A15" s="61" t="s">
        <v>925</v>
      </c>
      <c r="B15" s="61">
        <v>125</v>
      </c>
      <c r="C15" s="61">
        <v>75</v>
      </c>
      <c r="D15" s="62">
        <v>5.5</v>
      </c>
      <c r="E15" s="62">
        <v>9.5</v>
      </c>
      <c r="F15" s="63">
        <v>20.45</v>
      </c>
      <c r="G15" s="63">
        <v>16.1</v>
      </c>
      <c r="H15" s="63">
        <v>0</v>
      </c>
      <c r="I15" s="63">
        <v>0</v>
      </c>
      <c r="J15" s="63">
        <v>538</v>
      </c>
      <c r="K15" s="63">
        <v>57.5</v>
      </c>
      <c r="L15" s="63">
        <v>86</v>
      </c>
      <c r="M15" s="63">
        <v>15.3</v>
      </c>
      <c r="N15" s="64" t="b">
        <f>TRUE()</f>
        <v>1</v>
      </c>
      <c r="O15" s="63"/>
    </row>
    <row r="16" spans="1:15" ht="12.75" customHeight="1">
      <c r="A16" s="61" t="s">
        <v>926</v>
      </c>
      <c r="B16" s="61">
        <v>100</v>
      </c>
      <c r="C16" s="61">
        <v>75</v>
      </c>
      <c r="D16" s="62">
        <v>5</v>
      </c>
      <c r="E16" s="62">
        <v>8</v>
      </c>
      <c r="F16" s="63">
        <v>16.43</v>
      </c>
      <c r="G16" s="63">
        <v>12.9</v>
      </c>
      <c r="H16" s="63">
        <v>0</v>
      </c>
      <c r="I16" s="63">
        <v>0</v>
      </c>
      <c r="J16" s="63">
        <v>281</v>
      </c>
      <c r="K16" s="63">
        <v>47.3</v>
      </c>
      <c r="L16" s="63">
        <v>56.2</v>
      </c>
      <c r="M16" s="63">
        <v>12.6</v>
      </c>
      <c r="N16" s="64" t="b">
        <f>TRUE()</f>
        <v>1</v>
      </c>
      <c r="O16" s="63"/>
    </row>
    <row r="17" spans="1:15" ht="12.75" customHeight="1">
      <c r="A17" s="61" t="s">
        <v>927</v>
      </c>
      <c r="B17" s="61">
        <v>180</v>
      </c>
      <c r="C17" s="61">
        <v>75</v>
      </c>
      <c r="D17" s="62">
        <v>7</v>
      </c>
      <c r="E17" s="62">
        <v>10.5</v>
      </c>
      <c r="F17" s="63">
        <v>27.2</v>
      </c>
      <c r="G17" s="63">
        <v>21.4</v>
      </c>
      <c r="H17" s="63">
        <v>2.13</v>
      </c>
      <c r="I17" s="63">
        <v>0</v>
      </c>
      <c r="J17" s="63">
        <v>1380</v>
      </c>
      <c r="K17" s="63">
        <v>131</v>
      </c>
      <c r="L17" s="63">
        <v>153</v>
      </c>
      <c r="M17" s="63">
        <v>24.3</v>
      </c>
      <c r="N17" s="64" t="b">
        <f>TRUE()</f>
        <v>1</v>
      </c>
      <c r="O17" s="63"/>
    </row>
    <row r="18" spans="1:15" ht="12.75" customHeight="1">
      <c r="A18" s="61" t="s">
        <v>928</v>
      </c>
      <c r="B18" s="61">
        <v>150</v>
      </c>
      <c r="C18" s="61">
        <v>75</v>
      </c>
      <c r="D18" s="62">
        <v>9</v>
      </c>
      <c r="E18" s="62">
        <v>12.5</v>
      </c>
      <c r="F18" s="63">
        <v>30.59</v>
      </c>
      <c r="G18" s="63">
        <v>24</v>
      </c>
      <c r="H18" s="63">
        <v>2.31</v>
      </c>
      <c r="I18" s="63">
        <v>0</v>
      </c>
      <c r="J18" s="63">
        <v>1050</v>
      </c>
      <c r="K18" s="63">
        <v>147</v>
      </c>
      <c r="L18" s="63">
        <v>140</v>
      </c>
      <c r="M18" s="63">
        <v>28.3</v>
      </c>
      <c r="N18" s="64" t="b">
        <f>TRUE()</f>
        <v>1</v>
      </c>
      <c r="O18" s="63"/>
    </row>
    <row r="19" spans="1:15" ht="12.75" customHeight="1">
      <c r="A19" s="61" t="s">
        <v>929</v>
      </c>
      <c r="B19" s="61">
        <v>150</v>
      </c>
      <c r="C19" s="61">
        <v>75</v>
      </c>
      <c r="D19" s="62">
        <v>6.5</v>
      </c>
      <c r="E19" s="62">
        <v>10</v>
      </c>
      <c r="F19" s="63">
        <v>23.71</v>
      </c>
      <c r="G19" s="63">
        <v>18.6</v>
      </c>
      <c r="H19" s="63">
        <v>2.28</v>
      </c>
      <c r="I19" s="63">
        <v>0</v>
      </c>
      <c r="J19" s="63">
        <v>861</v>
      </c>
      <c r="K19" s="63">
        <v>117</v>
      </c>
      <c r="L19" s="63">
        <v>115</v>
      </c>
      <c r="M19" s="63">
        <v>22.4</v>
      </c>
      <c r="N19" s="64" t="b">
        <f>TRUE()</f>
        <v>1</v>
      </c>
      <c r="O19" s="63"/>
    </row>
    <row r="20" spans="1:15" ht="12.75" customHeight="1">
      <c r="A20" s="61" t="s">
        <v>930</v>
      </c>
      <c r="B20" s="61">
        <v>125</v>
      </c>
      <c r="C20" s="61">
        <v>65</v>
      </c>
      <c r="D20" s="62">
        <v>6</v>
      </c>
      <c r="E20" s="62">
        <v>8</v>
      </c>
      <c r="F20" s="63">
        <v>17.11</v>
      </c>
      <c r="G20" s="63">
        <v>13.4</v>
      </c>
      <c r="H20" s="63">
        <v>1.9</v>
      </c>
      <c r="I20" s="63">
        <v>0</v>
      </c>
      <c r="J20" s="63">
        <v>424</v>
      </c>
      <c r="K20" s="63">
        <v>61.8</v>
      </c>
      <c r="L20" s="63">
        <v>67.8</v>
      </c>
      <c r="M20" s="63">
        <v>13.4</v>
      </c>
      <c r="N20" s="64" t="b">
        <f>TRUE()</f>
        <v>1</v>
      </c>
      <c r="O20" s="63"/>
    </row>
    <row r="21" spans="1:15" ht="12.75" customHeight="1">
      <c r="A21" s="61" t="s">
        <v>931</v>
      </c>
      <c r="B21" s="61">
        <v>100</v>
      </c>
      <c r="C21" s="61">
        <v>50</v>
      </c>
      <c r="D21" s="62">
        <v>5</v>
      </c>
      <c r="E21" s="62">
        <v>7.5</v>
      </c>
      <c r="F21" s="63">
        <v>11.92</v>
      </c>
      <c r="G21" s="63">
        <v>9.4</v>
      </c>
      <c r="H21" s="63">
        <v>1.54</v>
      </c>
      <c r="I21" s="63">
        <v>0</v>
      </c>
      <c r="J21" s="63">
        <v>188</v>
      </c>
      <c r="K21" s="63">
        <v>26</v>
      </c>
      <c r="L21" s="63">
        <v>37.6</v>
      </c>
      <c r="M21" s="63">
        <v>7.5</v>
      </c>
      <c r="N21" s="64" t="b">
        <f>TRUE()</f>
        <v>1</v>
      </c>
      <c r="O21" s="63"/>
    </row>
    <row r="22" spans="1:15" ht="12.75" customHeight="1">
      <c r="A22" s="61" t="s">
        <v>932</v>
      </c>
      <c r="B22" s="61">
        <v>75</v>
      </c>
      <c r="C22" s="61">
        <v>40</v>
      </c>
      <c r="D22" s="62">
        <v>5</v>
      </c>
      <c r="E22" s="62">
        <v>7</v>
      </c>
      <c r="F22" s="63">
        <v>8.82</v>
      </c>
      <c r="G22" s="63">
        <v>6.9</v>
      </c>
      <c r="H22" s="63">
        <v>1.28</v>
      </c>
      <c r="I22" s="63">
        <v>0</v>
      </c>
      <c r="J22" s="63">
        <v>75.3</v>
      </c>
      <c r="K22" s="63">
        <v>12.2</v>
      </c>
      <c r="L22" s="63">
        <v>20.1</v>
      </c>
      <c r="M22" s="63">
        <v>4.5</v>
      </c>
      <c r="N22" s="64" t="b">
        <f>TRUE()</f>
        <v>1</v>
      </c>
      <c r="O22" s="63"/>
    </row>
    <row r="23" spans="1:15" ht="12.75" customHeight="1">
      <c r="A23" s="61" t="s">
        <v>933</v>
      </c>
      <c r="B23" s="61">
        <v>255</v>
      </c>
      <c r="C23" s="61">
        <v>90</v>
      </c>
      <c r="D23" s="62">
        <v>4.7</v>
      </c>
      <c r="E23" s="62">
        <v>4.7</v>
      </c>
      <c r="F23" s="63">
        <v>21.34</v>
      </c>
      <c r="G23" s="63">
        <v>16.75</v>
      </c>
      <c r="H23" s="63"/>
      <c r="I23" s="63"/>
      <c r="J23" s="63">
        <v>2055.9</v>
      </c>
      <c r="K23" s="63">
        <v>328.1</v>
      </c>
      <c r="L23" s="63">
        <v>161.25</v>
      </c>
      <c r="M23" s="63">
        <v>37.43</v>
      </c>
      <c r="N23" s="64" t="b">
        <f>TRUE()</f>
        <v>1</v>
      </c>
      <c r="O23" s="63">
        <v>147</v>
      </c>
    </row>
    <row r="24" spans="1:15" ht="12.75" customHeight="1">
      <c r="A24" s="61" t="s">
        <v>934</v>
      </c>
      <c r="B24" s="61">
        <v>255</v>
      </c>
      <c r="C24" s="61">
        <v>90</v>
      </c>
      <c r="D24" s="62">
        <v>4.5</v>
      </c>
      <c r="E24" s="62">
        <v>4.5</v>
      </c>
      <c r="F24" s="63">
        <v>20.49</v>
      </c>
      <c r="G24" s="63">
        <v>16.09</v>
      </c>
      <c r="H24" s="63"/>
      <c r="I24" s="63"/>
      <c r="J24" s="63">
        <v>1979.6</v>
      </c>
      <c r="K24" s="63">
        <v>317.6</v>
      </c>
      <c r="L24" s="63">
        <v>155.27</v>
      </c>
      <c r="M24" s="63">
        <v>36.2</v>
      </c>
      <c r="N24" s="64" t="b">
        <f>TRUE()</f>
        <v>1</v>
      </c>
      <c r="O24" s="63">
        <v>147</v>
      </c>
    </row>
    <row r="25" spans="1:15" ht="12.75" customHeight="1">
      <c r="A25" s="61" t="s">
        <v>935</v>
      </c>
      <c r="B25" s="61">
        <v>255</v>
      </c>
      <c r="C25" s="61">
        <v>90</v>
      </c>
      <c r="D25" s="62">
        <v>4.3</v>
      </c>
      <c r="E25" s="62">
        <v>4.3</v>
      </c>
      <c r="F25" s="63">
        <v>19.64</v>
      </c>
      <c r="G25" s="63">
        <v>15.42</v>
      </c>
      <c r="H25" s="63"/>
      <c r="I25" s="63"/>
      <c r="J25" s="63">
        <v>1902.4</v>
      </c>
      <c r="K25" s="63">
        <v>306.8</v>
      </c>
      <c r="L25" s="63">
        <v>149.21</v>
      </c>
      <c r="M25" s="63">
        <v>34.93</v>
      </c>
      <c r="N25" s="64" t="b">
        <f>TRUE()</f>
        <v>1</v>
      </c>
      <c r="O25" s="63">
        <v>147</v>
      </c>
    </row>
    <row r="26" spans="1:15" ht="12.75" customHeight="1">
      <c r="A26" s="61" t="s">
        <v>936</v>
      </c>
      <c r="B26" s="61">
        <v>255</v>
      </c>
      <c r="C26" s="61">
        <v>90</v>
      </c>
      <c r="D26" s="62">
        <v>4</v>
      </c>
      <c r="E26" s="62">
        <v>4</v>
      </c>
      <c r="F26" s="63">
        <v>18.35</v>
      </c>
      <c r="G26" s="63">
        <v>14.4</v>
      </c>
      <c r="H26" s="63"/>
      <c r="I26" s="63"/>
      <c r="J26" s="63">
        <v>1784.6</v>
      </c>
      <c r="K26" s="63">
        <v>290.1</v>
      </c>
      <c r="L26" s="63">
        <v>139.97</v>
      </c>
      <c r="M26" s="63">
        <v>32.97</v>
      </c>
      <c r="N26" s="64" t="b">
        <f>TRUE()</f>
        <v>1</v>
      </c>
      <c r="O26" s="63">
        <v>147</v>
      </c>
    </row>
    <row r="27" spans="1:15" ht="12.75" customHeight="1">
      <c r="A27" s="61" t="s">
        <v>937</v>
      </c>
      <c r="B27" s="61">
        <v>255</v>
      </c>
      <c r="C27" s="61">
        <v>90</v>
      </c>
      <c r="D27" s="62">
        <v>3.2</v>
      </c>
      <c r="E27" s="62">
        <v>3.2</v>
      </c>
      <c r="F27" s="63">
        <v>14.85</v>
      </c>
      <c r="G27" s="63">
        <v>11.65</v>
      </c>
      <c r="H27" s="63"/>
      <c r="I27" s="63"/>
      <c r="J27" s="63">
        <v>1459.9</v>
      </c>
      <c r="K27" s="63">
        <v>242.2</v>
      </c>
      <c r="L27" s="63">
        <v>114.5</v>
      </c>
      <c r="M27" s="63">
        <v>27.4</v>
      </c>
      <c r="N27" s="64" t="b">
        <f>TRUE()</f>
        <v>1</v>
      </c>
      <c r="O27" s="63">
        <v>147</v>
      </c>
    </row>
    <row r="28" spans="1:15" ht="12.75" customHeight="1">
      <c r="A28" s="61" t="s">
        <v>938</v>
      </c>
      <c r="B28" s="61">
        <v>255</v>
      </c>
      <c r="C28" s="61">
        <v>90</v>
      </c>
      <c r="D28" s="62">
        <v>2.9</v>
      </c>
      <c r="E28" s="62">
        <v>2.9</v>
      </c>
      <c r="F28" s="63">
        <v>13.51</v>
      </c>
      <c r="G28" s="63">
        <v>10.61</v>
      </c>
      <c r="H28" s="63"/>
      <c r="I28" s="63"/>
      <c r="J28" s="63">
        <v>1334</v>
      </c>
      <c r="K28" s="63">
        <v>223</v>
      </c>
      <c r="L28" s="63">
        <v>104.63</v>
      </c>
      <c r="M28" s="63">
        <v>25.19</v>
      </c>
      <c r="N28" s="64" t="b">
        <f>TRUE()</f>
        <v>1</v>
      </c>
      <c r="O28" s="63">
        <v>147</v>
      </c>
    </row>
    <row r="29" spans="1:15" ht="12.75" customHeight="1">
      <c r="A29" s="61" t="s">
        <v>939</v>
      </c>
      <c r="B29" s="61">
        <v>220</v>
      </c>
      <c r="C29" s="61">
        <v>75</v>
      </c>
      <c r="D29" s="62">
        <v>4.7</v>
      </c>
      <c r="E29" s="62">
        <v>4.7</v>
      </c>
      <c r="F29" s="63">
        <v>18.29</v>
      </c>
      <c r="G29" s="63">
        <v>14.36</v>
      </c>
      <c r="H29" s="63"/>
      <c r="I29" s="63"/>
      <c r="J29" s="63">
        <v>1287.7</v>
      </c>
      <c r="K29" s="63">
        <v>199.6</v>
      </c>
      <c r="L29" s="63">
        <v>117.06</v>
      </c>
      <c r="M29" s="63">
        <v>27.47</v>
      </c>
      <c r="N29" s="64" t="b">
        <f>TRUE()</f>
        <v>1</v>
      </c>
      <c r="O29" s="63">
        <v>147</v>
      </c>
    </row>
    <row r="30" spans="1:15" ht="12.75" customHeight="1">
      <c r="A30" s="61" t="s">
        <v>940</v>
      </c>
      <c r="B30" s="61">
        <v>220</v>
      </c>
      <c r="C30" s="61">
        <v>75</v>
      </c>
      <c r="D30" s="62">
        <v>4.5</v>
      </c>
      <c r="E30" s="62">
        <v>4.5</v>
      </c>
      <c r="F30" s="63">
        <v>17.57</v>
      </c>
      <c r="G30" s="63">
        <v>13.79</v>
      </c>
      <c r="H30" s="63"/>
      <c r="I30" s="63"/>
      <c r="J30" s="63">
        <v>1241.1</v>
      </c>
      <c r="K30" s="63">
        <v>193.5</v>
      </c>
      <c r="L30" s="63">
        <v>112.83</v>
      </c>
      <c r="M30" s="63">
        <v>26.6</v>
      </c>
      <c r="N30" s="64" t="b">
        <f>TRUE()</f>
        <v>1</v>
      </c>
      <c r="O30" s="63">
        <v>147</v>
      </c>
    </row>
    <row r="31" spans="1:15" ht="12.75" customHeight="1">
      <c r="A31" s="61" t="s">
        <v>941</v>
      </c>
      <c r="B31" s="61">
        <v>220</v>
      </c>
      <c r="C31" s="61">
        <v>75</v>
      </c>
      <c r="D31" s="62">
        <v>4.3</v>
      </c>
      <c r="E31" s="62">
        <v>4.3</v>
      </c>
      <c r="F31" s="63">
        <v>16.84</v>
      </c>
      <c r="G31" s="63">
        <v>13.22</v>
      </c>
      <c r="H31" s="63"/>
      <c r="I31" s="63"/>
      <c r="J31" s="63">
        <v>1193.9</v>
      </c>
      <c r="K31" s="63">
        <v>187.3</v>
      </c>
      <c r="L31" s="63">
        <v>108.53</v>
      </c>
      <c r="M31" s="63">
        <v>25.71</v>
      </c>
      <c r="N31" s="64" t="b">
        <f>TRUE()</f>
        <v>1</v>
      </c>
      <c r="O31" s="63">
        <v>147</v>
      </c>
    </row>
    <row r="32" spans="1:15" ht="12.75" customHeight="1">
      <c r="A32" s="61" t="s">
        <v>942</v>
      </c>
      <c r="B32" s="61">
        <v>220</v>
      </c>
      <c r="C32" s="61">
        <v>75</v>
      </c>
      <c r="D32" s="62">
        <v>4</v>
      </c>
      <c r="E32" s="62">
        <v>4</v>
      </c>
      <c r="F32" s="63">
        <v>15.75</v>
      </c>
      <c r="G32" s="63">
        <v>12.36</v>
      </c>
      <c r="H32" s="63"/>
      <c r="I32" s="63"/>
      <c r="J32" s="63">
        <v>1121.6</v>
      </c>
      <c r="K32" s="63">
        <v>177.5</v>
      </c>
      <c r="L32" s="63">
        <v>101.96</v>
      </c>
      <c r="M32" s="63">
        <v>24.32</v>
      </c>
      <c r="N32" s="64" t="b">
        <f>TRUE()</f>
        <v>1</v>
      </c>
      <c r="O32" s="63">
        <v>147</v>
      </c>
    </row>
    <row r="33" spans="1:15" ht="12.75" customHeight="1">
      <c r="A33" s="61" t="s">
        <v>943</v>
      </c>
      <c r="B33" s="61">
        <v>220</v>
      </c>
      <c r="C33" s="61">
        <v>75</v>
      </c>
      <c r="D33" s="62">
        <v>3.2</v>
      </c>
      <c r="E33" s="62">
        <v>3.2</v>
      </c>
      <c r="F33" s="63">
        <v>12.77</v>
      </c>
      <c r="G33" s="63">
        <v>10.02</v>
      </c>
      <c r="H33" s="63"/>
      <c r="I33" s="63"/>
      <c r="J33" s="63">
        <v>920.9</v>
      </c>
      <c r="K33" s="63">
        <v>149.2</v>
      </c>
      <c r="L33" s="63">
        <v>83.72</v>
      </c>
      <c r="M33" s="63">
        <v>20.33</v>
      </c>
      <c r="N33" s="64" t="b">
        <f>TRUE()</f>
        <v>1</v>
      </c>
      <c r="O33" s="63">
        <v>147</v>
      </c>
    </row>
    <row r="34" spans="1:15" ht="12.75" customHeight="1">
      <c r="A34" s="61" t="s">
        <v>944</v>
      </c>
      <c r="B34" s="61">
        <v>220</v>
      </c>
      <c r="C34" s="61">
        <v>75</v>
      </c>
      <c r="D34" s="62">
        <v>2.9</v>
      </c>
      <c r="E34" s="62">
        <v>2.9</v>
      </c>
      <c r="F34" s="63">
        <v>11.63</v>
      </c>
      <c r="G34" s="63">
        <v>9.13</v>
      </c>
      <c r="H34" s="63"/>
      <c r="I34" s="63"/>
      <c r="J34" s="63">
        <v>842.7</v>
      </c>
      <c r="K34" s="63">
        <v>137.7</v>
      </c>
      <c r="L34" s="63">
        <v>76.61</v>
      </c>
      <c r="M34" s="63">
        <v>18.73</v>
      </c>
      <c r="N34" s="64" t="b">
        <f>TRUE()</f>
        <v>1</v>
      </c>
      <c r="O34" s="63">
        <v>147</v>
      </c>
    </row>
    <row r="35" spans="1:15" ht="12.75" customHeight="1">
      <c r="A35" s="61" t="s">
        <v>945</v>
      </c>
      <c r="B35" s="61">
        <v>220</v>
      </c>
      <c r="C35" s="61">
        <v>75</v>
      </c>
      <c r="D35" s="62">
        <v>2.6</v>
      </c>
      <c r="E35" s="62">
        <v>2.6</v>
      </c>
      <c r="F35" s="63">
        <v>10.48</v>
      </c>
      <c r="G35" s="63">
        <v>8.22</v>
      </c>
      <c r="H35" s="63"/>
      <c r="I35" s="63"/>
      <c r="J35" s="63">
        <v>762.8</v>
      </c>
      <c r="K35" s="63">
        <v>125.7</v>
      </c>
      <c r="L35" s="63">
        <v>69.34</v>
      </c>
      <c r="M35" s="63">
        <v>17.06</v>
      </c>
      <c r="N35" s="64" t="b">
        <f>TRUE()</f>
        <v>1</v>
      </c>
      <c r="O35" s="63">
        <v>123.6</v>
      </c>
    </row>
    <row r="36" spans="1:15" ht="12.75" customHeight="1">
      <c r="A36" s="61" t="s">
        <v>946</v>
      </c>
      <c r="B36" s="61">
        <v>220</v>
      </c>
      <c r="C36" s="61">
        <v>75</v>
      </c>
      <c r="D36" s="62">
        <v>2.3</v>
      </c>
      <c r="E36" s="62">
        <v>2.3</v>
      </c>
      <c r="F36" s="63">
        <v>9.31</v>
      </c>
      <c r="G36" s="63">
        <v>7.31</v>
      </c>
      <c r="H36" s="63"/>
      <c r="I36" s="63"/>
      <c r="J36" s="63">
        <v>681.2</v>
      </c>
      <c r="K36" s="63">
        <v>113.2</v>
      </c>
      <c r="L36" s="63">
        <v>61.93</v>
      </c>
      <c r="M36" s="63">
        <v>15.33</v>
      </c>
      <c r="N36" s="64" t="b">
        <f>TRUE()</f>
        <v>1</v>
      </c>
      <c r="O36" s="63">
        <v>123.6</v>
      </c>
    </row>
    <row r="37" spans="1:15" ht="12.75" customHeight="1">
      <c r="A37" s="61" t="s">
        <v>947</v>
      </c>
      <c r="B37" s="61">
        <v>200</v>
      </c>
      <c r="C37" s="61">
        <v>75</v>
      </c>
      <c r="D37" s="62">
        <v>4</v>
      </c>
      <c r="E37" s="62">
        <v>4</v>
      </c>
      <c r="F37" s="63">
        <v>14.95</v>
      </c>
      <c r="G37" s="63">
        <v>11.73</v>
      </c>
      <c r="H37" s="63"/>
      <c r="I37" s="63"/>
      <c r="J37" s="63">
        <v>894.5</v>
      </c>
      <c r="K37" s="63">
        <v>177.5</v>
      </c>
      <c r="L37" s="63">
        <v>89.46</v>
      </c>
      <c r="M37" s="63">
        <v>24.32</v>
      </c>
      <c r="N37" s="64" t="b">
        <f>TRUE()</f>
        <v>1</v>
      </c>
      <c r="O37" s="63">
        <v>147</v>
      </c>
    </row>
    <row r="38" spans="1:15" ht="12.75" customHeight="1">
      <c r="A38" s="61" t="s">
        <v>948</v>
      </c>
      <c r="B38" s="61">
        <v>200</v>
      </c>
      <c r="C38" s="61">
        <v>75</v>
      </c>
      <c r="D38" s="62">
        <v>3.2</v>
      </c>
      <c r="E38" s="62">
        <v>3.2</v>
      </c>
      <c r="F38" s="63">
        <v>12.13</v>
      </c>
      <c r="G38" s="63">
        <v>9.52</v>
      </c>
      <c r="H38" s="63"/>
      <c r="I38" s="63"/>
      <c r="J38" s="63">
        <v>735.5</v>
      </c>
      <c r="K38" s="63">
        <v>149.2</v>
      </c>
      <c r="L38" s="63">
        <v>73.55</v>
      </c>
      <c r="M38" s="63">
        <v>20.33</v>
      </c>
      <c r="N38" s="64" t="b">
        <f>TRUE()</f>
        <v>1</v>
      </c>
      <c r="O38" s="63">
        <v>147</v>
      </c>
    </row>
    <row r="39" spans="1:15" ht="12.75" customHeight="1">
      <c r="A39" s="61" t="s">
        <v>949</v>
      </c>
      <c r="B39" s="61">
        <v>200</v>
      </c>
      <c r="C39" s="61">
        <v>75</v>
      </c>
      <c r="D39" s="62">
        <v>4</v>
      </c>
      <c r="E39" s="62">
        <v>4</v>
      </c>
      <c r="F39" s="63">
        <v>14.55</v>
      </c>
      <c r="G39" s="63">
        <v>11.42</v>
      </c>
      <c r="H39" s="63"/>
      <c r="I39" s="63"/>
      <c r="J39" s="63">
        <v>870.5</v>
      </c>
      <c r="K39" s="63">
        <v>157.4</v>
      </c>
      <c r="L39" s="63">
        <v>87.05</v>
      </c>
      <c r="M39" s="63">
        <v>21.56</v>
      </c>
      <c r="N39" s="64" t="b">
        <f>TRUE()</f>
        <v>1</v>
      </c>
      <c r="O39" s="63">
        <v>147</v>
      </c>
    </row>
    <row r="40" spans="1:15" ht="12.75" customHeight="1">
      <c r="A40" s="61" t="s">
        <v>950</v>
      </c>
      <c r="B40" s="61">
        <v>200</v>
      </c>
      <c r="C40" s="61">
        <v>75</v>
      </c>
      <c r="D40" s="62">
        <v>3.2</v>
      </c>
      <c r="E40" s="62">
        <v>3.2</v>
      </c>
      <c r="F40" s="63">
        <v>11.81</v>
      </c>
      <c r="G40" s="63">
        <v>9.27</v>
      </c>
      <c r="H40" s="63"/>
      <c r="I40" s="63"/>
      <c r="J40" s="63">
        <v>716.2</v>
      </c>
      <c r="K40" s="63">
        <v>132.7</v>
      </c>
      <c r="L40" s="63">
        <v>71.62</v>
      </c>
      <c r="M40" s="63">
        <v>18.08</v>
      </c>
      <c r="N40" s="64" t="b">
        <f>TRUE()</f>
        <v>1</v>
      </c>
      <c r="O40" s="63">
        <v>147</v>
      </c>
    </row>
    <row r="41" spans="1:15" ht="12.75" customHeight="1">
      <c r="A41" s="61" t="s">
        <v>951</v>
      </c>
      <c r="B41" s="61">
        <v>200</v>
      </c>
      <c r="C41" s="61">
        <v>70</v>
      </c>
      <c r="D41" s="62">
        <v>4.7</v>
      </c>
      <c r="E41" s="62">
        <v>4.7</v>
      </c>
      <c r="F41" s="63">
        <v>16.41</v>
      </c>
      <c r="G41" s="63">
        <v>12.88</v>
      </c>
      <c r="H41" s="63"/>
      <c r="I41" s="63"/>
      <c r="J41" s="63">
        <v>952.8</v>
      </c>
      <c r="K41" s="63">
        <v>145.4</v>
      </c>
      <c r="L41" s="63">
        <v>95.28</v>
      </c>
      <c r="M41" s="63">
        <v>21.5</v>
      </c>
      <c r="N41" s="64" t="b">
        <f>TRUE()</f>
        <v>1</v>
      </c>
      <c r="O41" s="63">
        <v>147</v>
      </c>
    </row>
    <row r="42" spans="1:15" ht="12.75" customHeight="1">
      <c r="A42" s="61" t="s">
        <v>952</v>
      </c>
      <c r="B42" s="61">
        <v>200</v>
      </c>
      <c r="C42" s="61">
        <v>70</v>
      </c>
      <c r="D42" s="62">
        <v>4.5</v>
      </c>
      <c r="E42" s="62">
        <v>4.5</v>
      </c>
      <c r="F42" s="63">
        <v>15.77</v>
      </c>
      <c r="G42" s="63">
        <v>12.38</v>
      </c>
      <c r="H42" s="63"/>
      <c r="I42" s="63"/>
      <c r="J42" s="63">
        <v>919</v>
      </c>
      <c r="K42" s="63">
        <v>141.3</v>
      </c>
      <c r="L42" s="63">
        <v>91.91</v>
      </c>
      <c r="M42" s="63">
        <v>20.85</v>
      </c>
      <c r="N42" s="64" t="b">
        <f>TRUE()</f>
        <v>1</v>
      </c>
      <c r="O42" s="63">
        <v>147</v>
      </c>
    </row>
    <row r="43" spans="1:15" ht="12.75" customHeight="1">
      <c r="A43" s="61" t="s">
        <v>953</v>
      </c>
      <c r="B43" s="61">
        <v>200</v>
      </c>
      <c r="C43" s="61">
        <v>70</v>
      </c>
      <c r="D43" s="62">
        <v>4.3</v>
      </c>
      <c r="E43" s="62">
        <v>4.3</v>
      </c>
      <c r="F43" s="63">
        <v>15.12</v>
      </c>
      <c r="G43" s="63">
        <v>11.87</v>
      </c>
      <c r="H43" s="63"/>
      <c r="I43" s="63"/>
      <c r="J43" s="63">
        <v>884.7</v>
      </c>
      <c r="K43" s="63">
        <v>136.9</v>
      </c>
      <c r="L43" s="63">
        <v>88.47</v>
      </c>
      <c r="M43" s="63">
        <v>20.18</v>
      </c>
      <c r="N43" s="64" t="b">
        <f>TRUE()</f>
        <v>1</v>
      </c>
      <c r="O43" s="63">
        <v>147</v>
      </c>
    </row>
    <row r="44" spans="1:15" ht="12.75" customHeight="1">
      <c r="A44" s="61" t="s">
        <v>954</v>
      </c>
      <c r="B44" s="61">
        <v>200</v>
      </c>
      <c r="C44" s="61">
        <v>70</v>
      </c>
      <c r="D44" s="62">
        <v>4</v>
      </c>
      <c r="E44" s="62">
        <v>4</v>
      </c>
      <c r="F44" s="63">
        <v>14.15</v>
      </c>
      <c r="G44" s="63">
        <v>11.11</v>
      </c>
      <c r="H44" s="63"/>
      <c r="I44" s="63"/>
      <c r="J44" s="63">
        <v>832.1</v>
      </c>
      <c r="K44" s="63">
        <v>130.1</v>
      </c>
      <c r="L44" s="63">
        <v>83.21</v>
      </c>
      <c r="M44" s="63">
        <v>19.14</v>
      </c>
      <c r="N44" s="64" t="b">
        <f>TRUE()</f>
        <v>1</v>
      </c>
      <c r="O44" s="63">
        <v>147</v>
      </c>
    </row>
    <row r="45" spans="1:15" ht="12.75" customHeight="1">
      <c r="A45" s="61" t="s">
        <v>955</v>
      </c>
      <c r="B45" s="61">
        <v>200</v>
      </c>
      <c r="C45" s="61">
        <v>70</v>
      </c>
      <c r="D45" s="62">
        <v>3.2</v>
      </c>
      <c r="E45" s="62">
        <v>3.2</v>
      </c>
      <c r="F45" s="63">
        <v>11.49</v>
      </c>
      <c r="G45" s="63">
        <v>9.02</v>
      </c>
      <c r="H45" s="63"/>
      <c r="I45" s="63"/>
      <c r="J45" s="63">
        <v>685.3</v>
      </c>
      <c r="K45" s="63">
        <v>110.1</v>
      </c>
      <c r="L45" s="63">
        <v>68.53</v>
      </c>
      <c r="M45" s="63">
        <v>16.1</v>
      </c>
      <c r="N45" s="64" t="b">
        <f>TRUE()</f>
        <v>1</v>
      </c>
      <c r="O45" s="63">
        <v>147</v>
      </c>
    </row>
    <row r="46" spans="1:15" ht="12.75" customHeight="1">
      <c r="A46" s="61" t="s">
        <v>956</v>
      </c>
      <c r="B46" s="61">
        <v>200</v>
      </c>
      <c r="C46" s="61">
        <v>70</v>
      </c>
      <c r="D46" s="62">
        <v>2.9</v>
      </c>
      <c r="E46" s="62">
        <v>2.9</v>
      </c>
      <c r="F46" s="63">
        <v>10.47</v>
      </c>
      <c r="G46" s="63">
        <v>8.22</v>
      </c>
      <c r="H46" s="63"/>
      <c r="I46" s="63"/>
      <c r="J46" s="63">
        <v>627.7</v>
      </c>
      <c r="K46" s="63">
        <v>101.9</v>
      </c>
      <c r="L46" s="63">
        <v>62.77</v>
      </c>
      <c r="M46" s="63">
        <v>14.85</v>
      </c>
      <c r="N46" s="64" t="b">
        <f>TRUE()</f>
        <v>1</v>
      </c>
      <c r="O46" s="63">
        <v>147</v>
      </c>
    </row>
    <row r="47" spans="1:15" ht="12.75" customHeight="1">
      <c r="A47" s="61" t="s">
        <v>957</v>
      </c>
      <c r="B47" s="61">
        <v>200</v>
      </c>
      <c r="C47" s="61">
        <v>70</v>
      </c>
      <c r="D47" s="62">
        <v>2.6</v>
      </c>
      <c r="E47" s="62">
        <v>2.6</v>
      </c>
      <c r="F47" s="63">
        <v>9.44</v>
      </c>
      <c r="G47" s="63">
        <v>7.41</v>
      </c>
      <c r="H47" s="63"/>
      <c r="I47" s="63"/>
      <c r="J47" s="63">
        <v>568.8</v>
      </c>
      <c r="K47" s="63">
        <v>93.2</v>
      </c>
      <c r="L47" s="63">
        <v>56.88</v>
      </c>
      <c r="M47" s="63">
        <v>13.57</v>
      </c>
      <c r="N47" s="64" t="b">
        <f>TRUE()</f>
        <v>1</v>
      </c>
      <c r="O47" s="63">
        <v>123.6</v>
      </c>
    </row>
    <row r="48" spans="1:15" ht="12.75" customHeight="1">
      <c r="A48" s="61" t="s">
        <v>958</v>
      </c>
      <c r="B48" s="61">
        <v>200</v>
      </c>
      <c r="C48" s="61">
        <v>70</v>
      </c>
      <c r="D48" s="62">
        <v>2.3</v>
      </c>
      <c r="E48" s="62">
        <v>2.3</v>
      </c>
      <c r="F48" s="63">
        <v>8.39</v>
      </c>
      <c r="G48" s="63">
        <v>6.59</v>
      </c>
      <c r="H48" s="63"/>
      <c r="I48" s="63"/>
      <c r="J48" s="63">
        <v>508.5</v>
      </c>
      <c r="K48" s="63">
        <v>84.1</v>
      </c>
      <c r="L48" s="63">
        <v>50.85</v>
      </c>
      <c r="M48" s="63">
        <v>12.22</v>
      </c>
      <c r="N48" s="64" t="b">
        <f>TRUE()</f>
        <v>1</v>
      </c>
      <c r="O48" s="63">
        <v>123.6</v>
      </c>
    </row>
    <row r="49" spans="1:15" ht="12.75" customHeight="1">
      <c r="A49" s="61" t="s">
        <v>959</v>
      </c>
      <c r="B49" s="61">
        <v>200</v>
      </c>
      <c r="C49" s="61">
        <v>70</v>
      </c>
      <c r="D49" s="62">
        <v>2</v>
      </c>
      <c r="E49" s="62">
        <v>2</v>
      </c>
      <c r="F49" s="63">
        <v>7.34</v>
      </c>
      <c r="G49" s="63">
        <v>5.76</v>
      </c>
      <c r="H49" s="63"/>
      <c r="I49" s="63"/>
      <c r="J49" s="63">
        <v>446.9</v>
      </c>
      <c r="K49" s="63">
        <v>47.6</v>
      </c>
      <c r="L49" s="63">
        <v>44.69</v>
      </c>
      <c r="M49" s="63">
        <v>10.82</v>
      </c>
      <c r="N49" s="64" t="b">
        <f>TRUE()</f>
        <v>1</v>
      </c>
      <c r="O49" s="63">
        <v>123.6</v>
      </c>
    </row>
    <row r="50" spans="1:15" ht="12.75" customHeight="1">
      <c r="A50" s="61" t="s">
        <v>960</v>
      </c>
      <c r="B50" s="61">
        <v>200</v>
      </c>
      <c r="C50" s="61">
        <v>70</v>
      </c>
      <c r="D50" s="62">
        <v>1.8</v>
      </c>
      <c r="E50" s="62">
        <v>1.8</v>
      </c>
      <c r="F50" s="63">
        <v>6.63</v>
      </c>
      <c r="G50" s="63">
        <v>5.2</v>
      </c>
      <c r="H50" s="63"/>
      <c r="I50" s="63"/>
      <c r="J50" s="63">
        <v>405</v>
      </c>
      <c r="K50" s="63">
        <v>68.1</v>
      </c>
      <c r="L50" s="63">
        <v>40.5</v>
      </c>
      <c r="M50" s="63">
        <v>9.85</v>
      </c>
      <c r="N50" s="64" t="b">
        <f>TRUE()</f>
        <v>1</v>
      </c>
      <c r="O50" s="63">
        <v>123.6</v>
      </c>
    </row>
    <row r="51" spans="1:15" ht="12.75" customHeight="1">
      <c r="A51" s="61" t="s">
        <v>961</v>
      </c>
      <c r="B51" s="61">
        <v>200</v>
      </c>
      <c r="C51" s="61">
        <v>70</v>
      </c>
      <c r="D51" s="62">
        <v>1.6</v>
      </c>
      <c r="E51" s="62">
        <v>1.6</v>
      </c>
      <c r="F51" s="63">
        <v>5.91</v>
      </c>
      <c r="G51" s="63">
        <v>4.64</v>
      </c>
      <c r="H51" s="63"/>
      <c r="I51" s="63"/>
      <c r="J51" s="63">
        <v>362.5</v>
      </c>
      <c r="K51" s="63">
        <v>61.3</v>
      </c>
      <c r="L51" s="63">
        <v>36.25</v>
      </c>
      <c r="M51" s="63">
        <v>8.86</v>
      </c>
      <c r="N51" s="64" t="b">
        <f>TRUE()</f>
        <v>1</v>
      </c>
      <c r="O51" s="63">
        <v>123.6</v>
      </c>
    </row>
    <row r="52" spans="1:15" ht="12.75" customHeight="1">
      <c r="A52" s="61" t="s">
        <v>962</v>
      </c>
      <c r="B52" s="61">
        <v>185</v>
      </c>
      <c r="C52" s="61">
        <v>50</v>
      </c>
      <c r="D52" s="62">
        <v>3.2</v>
      </c>
      <c r="E52" s="62">
        <v>3.2</v>
      </c>
      <c r="F52" s="63">
        <v>9.73</v>
      </c>
      <c r="G52" s="63">
        <v>7.64</v>
      </c>
      <c r="H52" s="63"/>
      <c r="I52" s="63"/>
      <c r="J52" s="63">
        <v>464.5</v>
      </c>
      <c r="K52" s="63">
        <v>44.7</v>
      </c>
      <c r="L52" s="63">
        <v>50.21</v>
      </c>
      <c r="M52" s="63">
        <v>9.23</v>
      </c>
      <c r="N52" s="64" t="b">
        <f>TRUE()</f>
        <v>1</v>
      </c>
      <c r="O52" s="63">
        <v>147</v>
      </c>
    </row>
    <row r="53" spans="1:15" ht="12.75" customHeight="1">
      <c r="A53" s="61" t="s">
        <v>963</v>
      </c>
      <c r="B53" s="61">
        <v>185</v>
      </c>
      <c r="C53" s="61">
        <v>50</v>
      </c>
      <c r="D53" s="62">
        <v>2.3</v>
      </c>
      <c r="E53" s="62">
        <v>2.3</v>
      </c>
      <c r="F53" s="63">
        <v>7.13</v>
      </c>
      <c r="G53" s="63">
        <v>5.6</v>
      </c>
      <c r="H53" s="63"/>
      <c r="I53" s="63"/>
      <c r="J53" s="63">
        <v>346.9</v>
      </c>
      <c r="K53" s="63">
        <v>34.8</v>
      </c>
      <c r="L53" s="63">
        <v>37.5</v>
      </c>
      <c r="M53" s="63">
        <v>7.12</v>
      </c>
      <c r="N53" s="64" t="b">
        <f>TRUE()</f>
        <v>1</v>
      </c>
      <c r="O53" s="63">
        <v>123.6</v>
      </c>
    </row>
    <row r="54" spans="1:15" ht="12.75" customHeight="1">
      <c r="A54" s="61" t="s">
        <v>964</v>
      </c>
      <c r="B54" s="61">
        <v>185</v>
      </c>
      <c r="C54" s="61">
        <v>50</v>
      </c>
      <c r="D54" s="62">
        <v>2</v>
      </c>
      <c r="E54" s="62">
        <v>2</v>
      </c>
      <c r="F54" s="63">
        <v>6.24</v>
      </c>
      <c r="G54" s="63">
        <v>4.9</v>
      </c>
      <c r="H54" s="63"/>
      <c r="I54" s="63"/>
      <c r="J54" s="63">
        <v>305.5</v>
      </c>
      <c r="K54" s="63">
        <v>31</v>
      </c>
      <c r="L54" s="63">
        <v>33.03</v>
      </c>
      <c r="M54" s="63">
        <v>6.34</v>
      </c>
      <c r="N54" s="64" t="b">
        <f>TRUE()</f>
        <v>1</v>
      </c>
      <c r="O54" s="63">
        <v>123.6</v>
      </c>
    </row>
    <row r="55" spans="1:15" ht="12.75" customHeight="1">
      <c r="A55" s="61" t="s">
        <v>965</v>
      </c>
      <c r="B55" s="61">
        <v>175</v>
      </c>
      <c r="C55" s="61">
        <v>50</v>
      </c>
      <c r="D55" s="62">
        <v>4.3</v>
      </c>
      <c r="E55" s="62">
        <v>4.3</v>
      </c>
      <c r="F55" s="63">
        <v>12.33</v>
      </c>
      <c r="G55" s="63">
        <v>9.68</v>
      </c>
      <c r="H55" s="63"/>
      <c r="I55" s="63"/>
      <c r="J55" s="63">
        <v>519</v>
      </c>
      <c r="K55" s="63">
        <v>54.2</v>
      </c>
      <c r="L55" s="63">
        <v>59.32</v>
      </c>
      <c r="M55" s="63">
        <v>11.33</v>
      </c>
      <c r="N55" s="64" t="b">
        <f>TRUE()</f>
        <v>1</v>
      </c>
      <c r="O55" s="63">
        <v>147</v>
      </c>
    </row>
    <row r="56" spans="1:15" ht="12.75" customHeight="1">
      <c r="A56" s="61" t="s">
        <v>966</v>
      </c>
      <c r="B56" s="61">
        <v>175</v>
      </c>
      <c r="C56" s="61">
        <v>50</v>
      </c>
      <c r="D56" s="62">
        <v>4</v>
      </c>
      <c r="E56" s="62">
        <v>4</v>
      </c>
      <c r="F56" s="63">
        <v>11.55</v>
      </c>
      <c r="G56" s="63">
        <v>9.07</v>
      </c>
      <c r="H56" s="63"/>
      <c r="I56" s="63"/>
      <c r="J56" s="63">
        <v>489.5</v>
      </c>
      <c r="K56" s="63">
        <v>51.9</v>
      </c>
      <c r="L56" s="63">
        <v>55.94</v>
      </c>
      <c r="M56" s="63">
        <v>10.81</v>
      </c>
      <c r="N56" s="64" t="b">
        <f>TRUE()</f>
        <v>1</v>
      </c>
      <c r="O56" s="63">
        <v>147</v>
      </c>
    </row>
    <row r="57" spans="1:15" ht="12.75" customHeight="1">
      <c r="A57" s="61" t="s">
        <v>967</v>
      </c>
      <c r="B57" s="61">
        <v>175</v>
      </c>
      <c r="C57" s="61">
        <v>50</v>
      </c>
      <c r="D57" s="62">
        <v>3.2</v>
      </c>
      <c r="E57" s="62">
        <v>3.2</v>
      </c>
      <c r="F57" s="63">
        <v>9.41</v>
      </c>
      <c r="G57" s="63">
        <v>7.38</v>
      </c>
      <c r="H57" s="63"/>
      <c r="I57" s="63"/>
      <c r="J57" s="63">
        <v>406</v>
      </c>
      <c r="K57" s="63">
        <v>44.7</v>
      </c>
      <c r="L57" s="63">
        <v>46.4</v>
      </c>
      <c r="M57" s="63">
        <v>9.23</v>
      </c>
      <c r="N57" s="64" t="b">
        <f>TRUE()</f>
        <v>1</v>
      </c>
      <c r="O57" s="63">
        <v>147</v>
      </c>
    </row>
    <row r="58" spans="1:15" ht="12.75" customHeight="1">
      <c r="A58" s="61" t="s">
        <v>968</v>
      </c>
      <c r="B58" s="61">
        <v>175</v>
      </c>
      <c r="C58" s="61">
        <v>50</v>
      </c>
      <c r="D58" s="62">
        <v>2.9</v>
      </c>
      <c r="E58" s="62">
        <v>2.9</v>
      </c>
      <c r="F58" s="63">
        <v>8.58</v>
      </c>
      <c r="G58" s="63">
        <v>6.74</v>
      </c>
      <c r="H58" s="63"/>
      <c r="I58" s="63"/>
      <c r="J58" s="63">
        <v>372.9</v>
      </c>
      <c r="K58" s="63">
        <v>41.6</v>
      </c>
      <c r="L58" s="63">
        <v>42.61</v>
      </c>
      <c r="M58" s="63">
        <v>8.57</v>
      </c>
      <c r="N58" s="64" t="b">
        <f>TRUE()</f>
        <v>1</v>
      </c>
      <c r="O58" s="63">
        <v>147</v>
      </c>
    </row>
    <row r="59" spans="1:15" ht="12.75" customHeight="1">
      <c r="A59" s="61" t="s">
        <v>969</v>
      </c>
      <c r="B59" s="61">
        <v>175</v>
      </c>
      <c r="C59" s="61">
        <v>50</v>
      </c>
      <c r="D59" s="62">
        <v>2.6</v>
      </c>
      <c r="E59" s="62">
        <v>2.6</v>
      </c>
      <c r="F59" s="63">
        <v>7.75</v>
      </c>
      <c r="G59" s="63">
        <v>6.08</v>
      </c>
      <c r="H59" s="63"/>
      <c r="I59" s="63"/>
      <c r="J59" s="63">
        <v>338.7</v>
      </c>
      <c r="K59" s="63">
        <v>38.3</v>
      </c>
      <c r="L59" s="63">
        <v>38.71</v>
      </c>
      <c r="M59" s="63">
        <v>7.86</v>
      </c>
      <c r="N59" s="64" t="b">
        <f>TRUE()</f>
        <v>1</v>
      </c>
      <c r="O59" s="63">
        <v>123.6</v>
      </c>
    </row>
    <row r="60" spans="1:15" ht="12.75" customHeight="1">
      <c r="A60" s="61" t="s">
        <v>970</v>
      </c>
      <c r="B60" s="61">
        <v>175</v>
      </c>
      <c r="C60" s="61">
        <v>50</v>
      </c>
      <c r="D60" s="62">
        <v>2.3</v>
      </c>
      <c r="E60" s="62">
        <v>2.3</v>
      </c>
      <c r="F60" s="63">
        <v>6.9</v>
      </c>
      <c r="G60" s="63">
        <v>5.41</v>
      </c>
      <c r="H60" s="63"/>
      <c r="I60" s="63"/>
      <c r="J60" s="63">
        <v>303.6</v>
      </c>
      <c r="K60" s="63">
        <v>34.8</v>
      </c>
      <c r="L60" s="63">
        <v>34.7</v>
      </c>
      <c r="M60" s="63">
        <v>7.12</v>
      </c>
      <c r="N60" s="64" t="b">
        <f>TRUE()</f>
        <v>1</v>
      </c>
      <c r="O60" s="63">
        <v>123.6</v>
      </c>
    </row>
    <row r="61" spans="1:15" ht="12.75" customHeight="1">
      <c r="A61" s="61" t="s">
        <v>971</v>
      </c>
      <c r="B61" s="61">
        <v>175</v>
      </c>
      <c r="C61" s="61">
        <v>50</v>
      </c>
      <c r="D61" s="62">
        <v>2</v>
      </c>
      <c r="E61" s="62">
        <v>2</v>
      </c>
      <c r="F61" s="63">
        <v>6.04</v>
      </c>
      <c r="G61" s="63">
        <v>4.74</v>
      </c>
      <c r="H61" s="63"/>
      <c r="I61" s="63"/>
      <c r="J61" s="63">
        <v>267.4</v>
      </c>
      <c r="K61" s="63">
        <v>31</v>
      </c>
      <c r="L61" s="63">
        <v>30.56</v>
      </c>
      <c r="M61" s="63">
        <v>6.34</v>
      </c>
      <c r="N61" s="64" t="b">
        <f>TRUE()</f>
        <v>1</v>
      </c>
      <c r="O61" s="63">
        <v>123.6</v>
      </c>
    </row>
    <row r="62" spans="1:15" ht="12.75" customHeight="1">
      <c r="A62" s="61" t="s">
        <v>972</v>
      </c>
      <c r="B62" s="61">
        <v>175</v>
      </c>
      <c r="C62" s="61">
        <v>50</v>
      </c>
      <c r="D62" s="62">
        <v>1.8</v>
      </c>
      <c r="E62" s="62">
        <v>1.8</v>
      </c>
      <c r="F62" s="63">
        <v>5.46</v>
      </c>
      <c r="G62" s="63">
        <v>4.28</v>
      </c>
      <c r="H62" s="63"/>
      <c r="I62" s="63"/>
      <c r="J62" s="63">
        <v>242.8</v>
      </c>
      <c r="K62" s="63">
        <v>28.4</v>
      </c>
      <c r="L62" s="63">
        <v>27.75</v>
      </c>
      <c r="M62" s="63">
        <v>5.79</v>
      </c>
      <c r="N62" s="64" t="b">
        <f>TRUE()</f>
        <v>1</v>
      </c>
      <c r="O62" s="63">
        <v>123.6</v>
      </c>
    </row>
    <row r="63" spans="1:15" ht="12.75" customHeight="1">
      <c r="A63" s="61" t="s">
        <v>973</v>
      </c>
      <c r="B63" s="61">
        <v>175</v>
      </c>
      <c r="C63" s="61">
        <v>50</v>
      </c>
      <c r="D63" s="62">
        <v>1.6</v>
      </c>
      <c r="E63" s="62">
        <v>1.6</v>
      </c>
      <c r="F63" s="63">
        <v>4.87</v>
      </c>
      <c r="G63" s="63">
        <v>3.82</v>
      </c>
      <c r="H63" s="63"/>
      <c r="I63" s="63"/>
      <c r="J63" s="63">
        <v>217.6</v>
      </c>
      <c r="K63" s="63">
        <v>25.7</v>
      </c>
      <c r="L63" s="63">
        <v>24.87</v>
      </c>
      <c r="M63" s="63">
        <v>5.22</v>
      </c>
      <c r="N63" s="64" t="b">
        <f>TRUE()</f>
        <v>1</v>
      </c>
      <c r="O63" s="63">
        <v>123.6</v>
      </c>
    </row>
    <row r="64" spans="1:15" ht="12.75" customHeight="1">
      <c r="A64" s="61" t="s">
        <v>974</v>
      </c>
      <c r="B64" s="61">
        <v>150</v>
      </c>
      <c r="C64" s="61">
        <v>75</v>
      </c>
      <c r="D64" s="62">
        <v>4</v>
      </c>
      <c r="E64" s="62">
        <v>4</v>
      </c>
      <c r="F64" s="63">
        <v>12.95</v>
      </c>
      <c r="G64" s="63">
        <v>10.16</v>
      </c>
      <c r="H64" s="63"/>
      <c r="I64" s="63"/>
      <c r="J64" s="63">
        <v>454.3</v>
      </c>
      <c r="K64" s="63">
        <v>177.5</v>
      </c>
      <c r="L64" s="63">
        <v>60.57</v>
      </c>
      <c r="M64" s="63">
        <v>24.32</v>
      </c>
      <c r="N64" s="64" t="b">
        <f>TRUE()</f>
        <v>1</v>
      </c>
      <c r="O64" s="63">
        <v>147</v>
      </c>
    </row>
    <row r="65" spans="1:15" ht="12.75" customHeight="1">
      <c r="A65" s="61" t="s">
        <v>975</v>
      </c>
      <c r="B65" s="61">
        <v>150</v>
      </c>
      <c r="C65" s="61">
        <v>75</v>
      </c>
      <c r="D65" s="62">
        <v>3.2</v>
      </c>
      <c r="E65" s="62">
        <v>3.2</v>
      </c>
      <c r="F65" s="63">
        <v>10.53</v>
      </c>
      <c r="G65" s="63">
        <v>8.26</v>
      </c>
      <c r="H65" s="63"/>
      <c r="I65" s="63"/>
      <c r="J65" s="63">
        <v>375.1</v>
      </c>
      <c r="K65" s="63">
        <v>149.2</v>
      </c>
      <c r="L65" s="63">
        <v>50.01</v>
      </c>
      <c r="M65" s="63">
        <v>20.33</v>
      </c>
      <c r="N65" s="64" t="b">
        <f>TRUE()</f>
        <v>1</v>
      </c>
      <c r="O65" s="63">
        <v>147</v>
      </c>
    </row>
    <row r="66" spans="1:15" ht="12.75" customHeight="1">
      <c r="A66" s="61" t="s">
        <v>976</v>
      </c>
      <c r="B66" s="61">
        <v>150</v>
      </c>
      <c r="C66" s="61">
        <v>75</v>
      </c>
      <c r="D66" s="62">
        <v>4</v>
      </c>
      <c r="E66" s="62">
        <v>4</v>
      </c>
      <c r="F66" s="63">
        <v>12.55</v>
      </c>
      <c r="G66" s="63">
        <v>9.85</v>
      </c>
      <c r="H66" s="63"/>
      <c r="I66" s="63"/>
      <c r="J66" s="63">
        <v>443.2</v>
      </c>
      <c r="K66" s="63">
        <v>157.4</v>
      </c>
      <c r="L66" s="63">
        <v>59.1</v>
      </c>
      <c r="M66" s="63">
        <v>21.56</v>
      </c>
      <c r="N66" s="64" t="b">
        <f>TRUE()</f>
        <v>1</v>
      </c>
      <c r="O66" s="63">
        <v>147</v>
      </c>
    </row>
    <row r="67" spans="1:15" ht="12.75" customHeight="1">
      <c r="A67" s="61" t="s">
        <v>977</v>
      </c>
      <c r="B67" s="61">
        <v>150</v>
      </c>
      <c r="C67" s="61">
        <v>75</v>
      </c>
      <c r="D67" s="62">
        <v>3.2</v>
      </c>
      <c r="E67" s="62">
        <v>3.2</v>
      </c>
      <c r="F67" s="63">
        <v>10.21</v>
      </c>
      <c r="G67" s="63">
        <v>8.01</v>
      </c>
      <c r="H67" s="63"/>
      <c r="I67" s="63"/>
      <c r="J67" s="63">
        <v>366.3</v>
      </c>
      <c r="K67" s="63">
        <v>132.7</v>
      </c>
      <c r="L67" s="63">
        <v>48.84</v>
      </c>
      <c r="M67" s="63">
        <v>18.08</v>
      </c>
      <c r="N67" s="64" t="b">
        <f>TRUE()</f>
        <v>1</v>
      </c>
      <c r="O67" s="63">
        <v>147</v>
      </c>
    </row>
    <row r="68" spans="1:15" ht="12.75" customHeight="1">
      <c r="A68" s="61" t="s">
        <v>978</v>
      </c>
      <c r="B68" s="61">
        <v>150</v>
      </c>
      <c r="C68" s="61">
        <v>65</v>
      </c>
      <c r="D68" s="62">
        <v>4</v>
      </c>
      <c r="E68" s="62">
        <v>4</v>
      </c>
      <c r="F68" s="63">
        <v>11.75</v>
      </c>
      <c r="G68" s="63">
        <v>9.22</v>
      </c>
      <c r="H68" s="63"/>
      <c r="I68" s="63"/>
      <c r="J68" s="63">
        <v>400.6</v>
      </c>
      <c r="K68" s="63">
        <v>106.2</v>
      </c>
      <c r="L68" s="63">
        <v>53.41</v>
      </c>
      <c r="M68" s="63">
        <v>16.86</v>
      </c>
      <c r="N68" s="64" t="b">
        <f>TRUE()</f>
        <v>1</v>
      </c>
      <c r="O68" s="63">
        <v>147</v>
      </c>
    </row>
    <row r="69" spans="1:15" ht="12.75" customHeight="1">
      <c r="A69" s="61" t="s">
        <v>979</v>
      </c>
      <c r="B69" s="61">
        <v>150</v>
      </c>
      <c r="C69" s="61">
        <v>65</v>
      </c>
      <c r="D69" s="62">
        <v>3.2</v>
      </c>
      <c r="E69" s="62">
        <v>3.2</v>
      </c>
      <c r="F69" s="63">
        <v>9.57</v>
      </c>
      <c r="G69" s="63">
        <v>7.51</v>
      </c>
      <c r="H69" s="63"/>
      <c r="I69" s="63"/>
      <c r="J69" s="63">
        <v>331.8</v>
      </c>
      <c r="K69" s="63">
        <v>90.2</v>
      </c>
      <c r="L69" s="63">
        <v>44.24</v>
      </c>
      <c r="M69" s="63">
        <v>14.22</v>
      </c>
      <c r="N69" s="64" t="b">
        <f>TRUE()</f>
        <v>1</v>
      </c>
      <c r="O69" s="63">
        <v>147</v>
      </c>
    </row>
    <row r="70" spans="1:15" ht="12.75" customHeight="1">
      <c r="A70" s="61" t="s">
        <v>980</v>
      </c>
      <c r="B70" s="61">
        <v>150</v>
      </c>
      <c r="C70" s="61">
        <v>65</v>
      </c>
      <c r="D70" s="62">
        <v>2.3</v>
      </c>
      <c r="E70" s="62">
        <v>2.3</v>
      </c>
      <c r="F70" s="63">
        <v>7.01</v>
      </c>
      <c r="G70" s="63">
        <v>5.5</v>
      </c>
      <c r="H70" s="63"/>
      <c r="I70" s="63"/>
      <c r="J70" s="63">
        <v>247.7</v>
      </c>
      <c r="K70" s="63">
        <v>69.2</v>
      </c>
      <c r="L70" s="63">
        <v>33.03</v>
      </c>
      <c r="M70" s="63">
        <v>10.83</v>
      </c>
      <c r="N70" s="64" t="b">
        <f>TRUE()</f>
        <v>1</v>
      </c>
      <c r="O70" s="63">
        <v>123.6</v>
      </c>
    </row>
    <row r="71" spans="1:15" ht="12.75" customHeight="1">
      <c r="A71" s="61" t="s">
        <v>981</v>
      </c>
      <c r="B71" s="61">
        <v>150</v>
      </c>
      <c r="C71" s="61">
        <v>50</v>
      </c>
      <c r="D71" s="62">
        <v>3.2</v>
      </c>
      <c r="E71" s="62">
        <v>3.2</v>
      </c>
      <c r="F71" s="63">
        <v>8.61</v>
      </c>
      <c r="G71" s="63">
        <v>6.76</v>
      </c>
      <c r="H71" s="63"/>
      <c r="I71" s="63"/>
      <c r="J71" s="63">
        <v>280.1</v>
      </c>
      <c r="K71" s="63">
        <v>44.7</v>
      </c>
      <c r="L71" s="63">
        <v>37.34</v>
      </c>
      <c r="M71" s="63">
        <v>9.23</v>
      </c>
      <c r="N71" s="64" t="b">
        <f>TRUE()</f>
        <v>1</v>
      </c>
      <c r="O71" s="63">
        <v>147</v>
      </c>
    </row>
    <row r="72" spans="1:15" ht="12.75" customHeight="1">
      <c r="A72" s="61" t="s">
        <v>982</v>
      </c>
      <c r="B72" s="61">
        <v>150</v>
      </c>
      <c r="C72" s="61">
        <v>50</v>
      </c>
      <c r="D72" s="62">
        <v>2.3</v>
      </c>
      <c r="E72" s="62">
        <v>2.3</v>
      </c>
      <c r="F72" s="63">
        <v>6.32</v>
      </c>
      <c r="G72" s="63">
        <v>4.96</v>
      </c>
      <c r="H72" s="63"/>
      <c r="I72" s="63"/>
      <c r="J72" s="63">
        <v>210.1</v>
      </c>
      <c r="K72" s="63">
        <v>34.8</v>
      </c>
      <c r="L72" s="63">
        <v>28.02</v>
      </c>
      <c r="M72" s="63">
        <v>7.12</v>
      </c>
      <c r="N72" s="64" t="b">
        <f>TRUE()</f>
        <v>1</v>
      </c>
      <c r="O72" s="63">
        <v>123.6</v>
      </c>
    </row>
    <row r="73" spans="1:15" ht="12.75" customHeight="1">
      <c r="A73" s="61" t="s">
        <v>983</v>
      </c>
      <c r="B73" s="61">
        <v>150</v>
      </c>
      <c r="C73" s="61">
        <v>50</v>
      </c>
      <c r="D73" s="62">
        <v>4.3</v>
      </c>
      <c r="E73" s="62">
        <v>4.3</v>
      </c>
      <c r="F73" s="63">
        <v>11.08</v>
      </c>
      <c r="G73" s="63">
        <v>8.7</v>
      </c>
      <c r="H73" s="63"/>
      <c r="I73" s="63"/>
      <c r="J73" s="63">
        <v>351.1</v>
      </c>
      <c r="K73" s="63">
        <v>50.6</v>
      </c>
      <c r="L73" s="63">
        <v>46.82</v>
      </c>
      <c r="M73" s="63">
        <v>10.58</v>
      </c>
      <c r="N73" s="64" t="b">
        <f>TRUE()</f>
        <v>1</v>
      </c>
      <c r="O73" s="63">
        <v>147</v>
      </c>
    </row>
    <row r="74" spans="1:15" ht="12.75" customHeight="1">
      <c r="A74" s="61" t="s">
        <v>984</v>
      </c>
      <c r="B74" s="61">
        <v>150</v>
      </c>
      <c r="C74" s="61">
        <v>50</v>
      </c>
      <c r="D74" s="62">
        <v>4</v>
      </c>
      <c r="E74" s="62">
        <v>4</v>
      </c>
      <c r="F74" s="63">
        <v>10.39</v>
      </c>
      <c r="G74" s="63">
        <v>8.15</v>
      </c>
      <c r="H74" s="63"/>
      <c r="I74" s="63"/>
      <c r="J74" s="63">
        <v>331.6</v>
      </c>
      <c r="K74" s="63">
        <v>48.5</v>
      </c>
      <c r="L74" s="63">
        <v>44.22</v>
      </c>
      <c r="M74" s="63">
        <v>10.1</v>
      </c>
      <c r="N74" s="64" t="b">
        <f>TRUE()</f>
        <v>1</v>
      </c>
      <c r="O74" s="63">
        <v>147</v>
      </c>
    </row>
    <row r="75" spans="1:15" ht="12.75" customHeight="1">
      <c r="A75" s="61" t="s">
        <v>985</v>
      </c>
      <c r="B75" s="61">
        <v>150</v>
      </c>
      <c r="C75" s="61">
        <v>50</v>
      </c>
      <c r="D75" s="62">
        <v>3.2</v>
      </c>
      <c r="E75" s="62">
        <v>3.2</v>
      </c>
      <c r="F75" s="63">
        <v>8.48</v>
      </c>
      <c r="G75" s="63">
        <v>6.66</v>
      </c>
      <c r="H75" s="63"/>
      <c r="I75" s="63"/>
      <c r="J75" s="63">
        <v>276.1</v>
      </c>
      <c r="K75" s="63">
        <v>41.9</v>
      </c>
      <c r="L75" s="63">
        <v>36.81</v>
      </c>
      <c r="M75" s="63">
        <v>8.65</v>
      </c>
      <c r="N75" s="64" t="b">
        <f>TRUE()</f>
        <v>1</v>
      </c>
      <c r="O75" s="63">
        <v>147</v>
      </c>
    </row>
    <row r="76" spans="1:15" ht="12.75" customHeight="1">
      <c r="A76" s="61" t="s">
        <v>986</v>
      </c>
      <c r="B76" s="61">
        <v>150</v>
      </c>
      <c r="C76" s="61">
        <v>50</v>
      </c>
      <c r="D76" s="62">
        <v>2.9</v>
      </c>
      <c r="E76" s="62">
        <v>2.9</v>
      </c>
      <c r="F76" s="63">
        <v>7.74</v>
      </c>
      <c r="G76" s="63">
        <v>6.08</v>
      </c>
      <c r="H76" s="63"/>
      <c r="I76" s="63"/>
      <c r="J76" s="63">
        <v>253.9</v>
      </c>
      <c r="K76" s="63">
        <v>39</v>
      </c>
      <c r="L76" s="63">
        <v>33.85</v>
      </c>
      <c r="M76" s="63">
        <v>8.04</v>
      </c>
      <c r="N76" s="64" t="b">
        <f>TRUE()</f>
        <v>1</v>
      </c>
      <c r="O76" s="63">
        <v>147</v>
      </c>
    </row>
    <row r="77" spans="1:15" ht="12.75" customHeight="1">
      <c r="A77" s="61" t="s">
        <v>987</v>
      </c>
      <c r="B77" s="61">
        <v>150</v>
      </c>
      <c r="C77" s="61">
        <v>50</v>
      </c>
      <c r="D77" s="62">
        <v>2.6</v>
      </c>
      <c r="E77" s="62">
        <v>2.6</v>
      </c>
      <c r="F77" s="63">
        <v>6.99</v>
      </c>
      <c r="G77" s="63">
        <v>5.49</v>
      </c>
      <c r="H77" s="63"/>
      <c r="I77" s="63"/>
      <c r="J77" s="63">
        <v>230.9</v>
      </c>
      <c r="K77" s="63">
        <v>36</v>
      </c>
      <c r="L77" s="63">
        <v>30.79</v>
      </c>
      <c r="M77" s="63">
        <v>7.38</v>
      </c>
      <c r="N77" s="64" t="b">
        <f>TRUE()</f>
        <v>1</v>
      </c>
      <c r="O77" s="63">
        <v>123.6</v>
      </c>
    </row>
    <row r="78" spans="1:15" ht="12.75" customHeight="1">
      <c r="A78" s="61" t="s">
        <v>988</v>
      </c>
      <c r="B78" s="61">
        <v>150</v>
      </c>
      <c r="C78" s="61">
        <v>50</v>
      </c>
      <c r="D78" s="62">
        <v>2.3</v>
      </c>
      <c r="E78" s="62">
        <v>2.3</v>
      </c>
      <c r="F78" s="63">
        <v>6.23</v>
      </c>
      <c r="G78" s="63">
        <v>4.89</v>
      </c>
      <c r="H78" s="63"/>
      <c r="I78" s="63"/>
      <c r="J78" s="63">
        <v>207.2</v>
      </c>
      <c r="K78" s="63">
        <v>32.7</v>
      </c>
      <c r="L78" s="63">
        <v>27.63</v>
      </c>
      <c r="M78" s="63">
        <v>6.69</v>
      </c>
      <c r="N78" s="64" t="b">
        <f>TRUE()</f>
        <v>1</v>
      </c>
      <c r="O78" s="63">
        <v>123.6</v>
      </c>
    </row>
    <row r="79" spans="1:15" ht="12.75" customHeight="1">
      <c r="A79" s="61" t="s">
        <v>989</v>
      </c>
      <c r="B79" s="61">
        <v>150</v>
      </c>
      <c r="C79" s="61">
        <v>50</v>
      </c>
      <c r="D79" s="62">
        <v>2</v>
      </c>
      <c r="E79" s="62">
        <v>2</v>
      </c>
      <c r="F79" s="63">
        <v>5.46</v>
      </c>
      <c r="G79" s="63">
        <v>4.28</v>
      </c>
      <c r="H79" s="63"/>
      <c r="I79" s="63"/>
      <c r="J79" s="63">
        <v>182.8</v>
      </c>
      <c r="K79" s="63">
        <v>29.2</v>
      </c>
      <c r="L79" s="63">
        <v>24.37</v>
      </c>
      <c r="M79" s="63">
        <v>5.96</v>
      </c>
      <c r="N79" s="64" t="b">
        <f>TRUE()</f>
        <v>1</v>
      </c>
      <c r="O79" s="63">
        <v>123.6</v>
      </c>
    </row>
    <row r="80" spans="1:15" ht="12.75" customHeight="1">
      <c r="A80" s="61" t="s">
        <v>990</v>
      </c>
      <c r="B80" s="61">
        <v>150</v>
      </c>
      <c r="C80" s="61">
        <v>50</v>
      </c>
      <c r="D80" s="62">
        <v>1.8</v>
      </c>
      <c r="E80" s="62">
        <v>1.8</v>
      </c>
      <c r="F80" s="63">
        <v>4.94</v>
      </c>
      <c r="G80" s="63">
        <v>3.87</v>
      </c>
      <c r="H80" s="63"/>
      <c r="I80" s="63"/>
      <c r="J80" s="63">
        <v>166.1</v>
      </c>
      <c r="K80" s="63">
        <v>26.8</v>
      </c>
      <c r="L80" s="63">
        <v>22.14</v>
      </c>
      <c r="M80" s="63">
        <v>5.45</v>
      </c>
      <c r="N80" s="64" t="b">
        <f>TRUE()</f>
        <v>1</v>
      </c>
      <c r="O80" s="63">
        <v>123.6</v>
      </c>
    </row>
    <row r="81" spans="1:15" ht="12.75" customHeight="1">
      <c r="A81" s="61" t="s">
        <v>991</v>
      </c>
      <c r="B81" s="61">
        <v>150</v>
      </c>
      <c r="C81" s="61">
        <v>50</v>
      </c>
      <c r="D81" s="62">
        <v>1.6</v>
      </c>
      <c r="E81" s="62">
        <v>1.6</v>
      </c>
      <c r="F81" s="63">
        <v>4.41</v>
      </c>
      <c r="G81" s="63">
        <v>3.46</v>
      </c>
      <c r="H81" s="63"/>
      <c r="I81" s="63"/>
      <c r="J81" s="63">
        <v>149</v>
      </c>
      <c r="K81" s="63">
        <v>24.2</v>
      </c>
      <c r="L81" s="63">
        <v>19.87</v>
      </c>
      <c r="M81" s="63">
        <v>4.92</v>
      </c>
      <c r="N81" s="64" t="b">
        <f>TRUE()</f>
        <v>1</v>
      </c>
      <c r="O81" s="63">
        <v>123.6</v>
      </c>
    </row>
    <row r="82" spans="1:15" ht="12.75" customHeight="1">
      <c r="A82" s="61" t="s">
        <v>992</v>
      </c>
      <c r="B82" s="61">
        <v>125</v>
      </c>
      <c r="C82" s="61">
        <v>50</v>
      </c>
      <c r="D82" s="62">
        <v>4</v>
      </c>
      <c r="E82" s="62">
        <v>4</v>
      </c>
      <c r="F82" s="63">
        <v>9.55</v>
      </c>
      <c r="G82" s="63">
        <v>7.5</v>
      </c>
      <c r="H82" s="63"/>
      <c r="I82" s="63"/>
      <c r="J82" s="63">
        <v>216.7</v>
      </c>
      <c r="K82" s="63">
        <v>51.9</v>
      </c>
      <c r="L82" s="63">
        <v>34.68</v>
      </c>
      <c r="M82" s="63">
        <v>10.81</v>
      </c>
      <c r="N82" s="64" t="b">
        <f>TRUE()</f>
        <v>1</v>
      </c>
      <c r="O82" s="63">
        <v>147</v>
      </c>
    </row>
    <row r="83" spans="1:15" ht="12.75" customHeight="1">
      <c r="A83" s="61" t="s">
        <v>993</v>
      </c>
      <c r="B83" s="61">
        <v>125</v>
      </c>
      <c r="C83" s="61">
        <v>50</v>
      </c>
      <c r="D83" s="62">
        <v>3.2</v>
      </c>
      <c r="E83" s="62">
        <v>3.2</v>
      </c>
      <c r="F83" s="63">
        <v>7.81</v>
      </c>
      <c r="G83" s="63">
        <v>6.13</v>
      </c>
      <c r="H83" s="63"/>
      <c r="I83" s="63"/>
      <c r="J83" s="63">
        <v>181</v>
      </c>
      <c r="K83" s="63">
        <v>44.7</v>
      </c>
      <c r="L83" s="63">
        <v>28.97</v>
      </c>
      <c r="M83" s="63">
        <v>9.23</v>
      </c>
      <c r="N83" s="64" t="b">
        <f>TRUE()</f>
        <v>1</v>
      </c>
      <c r="O83" s="63">
        <v>147</v>
      </c>
    </row>
    <row r="84" spans="1:15" ht="12.75" customHeight="1">
      <c r="A84" s="61" t="s">
        <v>994</v>
      </c>
      <c r="B84" s="61">
        <v>125</v>
      </c>
      <c r="C84" s="61">
        <v>50</v>
      </c>
      <c r="D84" s="62">
        <v>2.3</v>
      </c>
      <c r="E84" s="62">
        <v>2.3</v>
      </c>
      <c r="F84" s="63">
        <v>5.78</v>
      </c>
      <c r="G84" s="63">
        <v>4.51</v>
      </c>
      <c r="H84" s="63"/>
      <c r="I84" s="63"/>
      <c r="J84" s="63">
        <v>136.4</v>
      </c>
      <c r="K84" s="63">
        <v>34.8</v>
      </c>
      <c r="L84" s="63">
        <v>21.82</v>
      </c>
      <c r="M84" s="63">
        <v>7.12</v>
      </c>
      <c r="N84" s="64" t="b">
        <f>TRUE()</f>
        <v>1</v>
      </c>
      <c r="O84" s="63">
        <v>123.6</v>
      </c>
    </row>
    <row r="85" spans="1:15" ht="12.75" customHeight="1">
      <c r="A85" s="61" t="s">
        <v>995</v>
      </c>
      <c r="B85" s="61">
        <v>125</v>
      </c>
      <c r="C85" s="61">
        <v>50</v>
      </c>
      <c r="D85" s="62">
        <v>4.3</v>
      </c>
      <c r="E85" s="62">
        <v>4.3</v>
      </c>
      <c r="F85" s="63">
        <v>9.75</v>
      </c>
      <c r="G85" s="63">
        <v>7.65</v>
      </c>
      <c r="H85" s="63"/>
      <c r="I85" s="63"/>
      <c r="J85" s="63">
        <v>220.5</v>
      </c>
      <c r="K85" s="63">
        <v>45.2</v>
      </c>
      <c r="L85" s="63">
        <v>35.28</v>
      </c>
      <c r="M85" s="63">
        <v>9.46</v>
      </c>
      <c r="N85" s="64" t="b">
        <f>TRUE()</f>
        <v>1</v>
      </c>
      <c r="O85" s="63">
        <v>147</v>
      </c>
    </row>
    <row r="86" spans="1:15" ht="12.75" customHeight="1">
      <c r="A86" s="61" t="s">
        <v>996</v>
      </c>
      <c r="B86" s="61">
        <v>125</v>
      </c>
      <c r="C86" s="61">
        <v>50</v>
      </c>
      <c r="D86" s="62">
        <v>4</v>
      </c>
      <c r="E86" s="62">
        <v>4</v>
      </c>
      <c r="F86" s="63">
        <v>9.15</v>
      </c>
      <c r="G86" s="63">
        <v>7.18</v>
      </c>
      <c r="H86" s="63"/>
      <c r="I86" s="63"/>
      <c r="J86" s="63">
        <v>208.6</v>
      </c>
      <c r="K86" s="63">
        <v>43.4</v>
      </c>
      <c r="L86" s="63">
        <v>33.38</v>
      </c>
      <c r="M86" s="63">
        <v>9.05</v>
      </c>
      <c r="N86" s="64" t="b">
        <f>TRUE()</f>
        <v>1</v>
      </c>
      <c r="O86" s="63">
        <v>147</v>
      </c>
    </row>
    <row r="87" spans="1:15" ht="12.75" customHeight="1">
      <c r="A87" s="61" t="s">
        <v>997</v>
      </c>
      <c r="B87" s="61">
        <v>125</v>
      </c>
      <c r="C87" s="61">
        <v>50</v>
      </c>
      <c r="D87" s="62">
        <v>3.2</v>
      </c>
      <c r="E87" s="62">
        <v>3.2</v>
      </c>
      <c r="F87" s="63">
        <v>7.49</v>
      </c>
      <c r="G87" s="63">
        <v>5.88</v>
      </c>
      <c r="H87" s="63"/>
      <c r="I87" s="63"/>
      <c r="J87" s="63">
        <v>174.5</v>
      </c>
      <c r="K87" s="63">
        <v>37.7</v>
      </c>
      <c r="L87" s="63">
        <v>27.93</v>
      </c>
      <c r="M87" s="63">
        <v>7.78</v>
      </c>
      <c r="N87" s="64" t="b">
        <f>TRUE()</f>
        <v>1</v>
      </c>
      <c r="O87" s="63">
        <v>147</v>
      </c>
    </row>
    <row r="88" spans="1:15" ht="12.75" customHeight="1">
      <c r="A88" s="61" t="s">
        <v>998</v>
      </c>
      <c r="B88" s="61">
        <v>125</v>
      </c>
      <c r="C88" s="61">
        <v>50</v>
      </c>
      <c r="D88" s="62">
        <v>2.9</v>
      </c>
      <c r="E88" s="62">
        <v>2.9</v>
      </c>
      <c r="F88" s="63">
        <v>6.84</v>
      </c>
      <c r="G88" s="63">
        <v>5.37</v>
      </c>
      <c r="H88" s="63"/>
      <c r="I88" s="63"/>
      <c r="J88" s="63">
        <v>160.8</v>
      </c>
      <c r="K88" s="63">
        <v>35.2</v>
      </c>
      <c r="L88" s="63">
        <v>25.73</v>
      </c>
      <c r="M88" s="63">
        <v>7.24</v>
      </c>
      <c r="N88" s="64" t="b">
        <f>TRUE()</f>
        <v>1</v>
      </c>
      <c r="O88" s="63">
        <v>147</v>
      </c>
    </row>
    <row r="89" spans="1:15" ht="12.75" customHeight="1">
      <c r="A89" s="61" t="s">
        <v>999</v>
      </c>
      <c r="B89" s="61">
        <v>125</v>
      </c>
      <c r="C89" s="61">
        <v>50</v>
      </c>
      <c r="D89" s="62">
        <v>2.6</v>
      </c>
      <c r="E89" s="62">
        <v>2.6</v>
      </c>
      <c r="F89" s="63">
        <v>6.19</v>
      </c>
      <c r="G89" s="63">
        <v>4.86</v>
      </c>
      <c r="H89" s="63"/>
      <c r="I89" s="63"/>
      <c r="J89" s="63">
        <v>146.5</v>
      </c>
      <c r="K89" s="63">
        <v>32.5</v>
      </c>
      <c r="L89" s="63">
        <v>23.45</v>
      </c>
      <c r="M89" s="63">
        <v>6.66</v>
      </c>
      <c r="N89" s="64" t="b">
        <f>TRUE()</f>
        <v>1</v>
      </c>
      <c r="O89" s="63">
        <v>123.6</v>
      </c>
    </row>
    <row r="90" spans="1:15" ht="12.75" customHeight="1">
      <c r="A90" s="61" t="s">
        <v>1000</v>
      </c>
      <c r="B90" s="61">
        <v>125</v>
      </c>
      <c r="C90" s="61">
        <v>50</v>
      </c>
      <c r="D90" s="62">
        <v>2.3</v>
      </c>
      <c r="E90" s="62">
        <v>2.3</v>
      </c>
      <c r="F90" s="63">
        <v>5.52</v>
      </c>
      <c r="G90" s="63">
        <v>4.33</v>
      </c>
      <c r="H90" s="63"/>
      <c r="I90" s="63"/>
      <c r="J90" s="63">
        <v>131.7</v>
      </c>
      <c r="K90" s="63">
        <v>29.5</v>
      </c>
      <c r="L90" s="63">
        <v>21.08</v>
      </c>
      <c r="M90" s="63">
        <v>6.05</v>
      </c>
      <c r="N90" s="64" t="b">
        <f>TRUE()</f>
        <v>1</v>
      </c>
      <c r="O90" s="63">
        <v>123.6</v>
      </c>
    </row>
    <row r="91" spans="1:15" ht="12.75" customHeight="1">
      <c r="A91" s="61" t="s">
        <v>1001</v>
      </c>
      <c r="B91" s="61">
        <v>125</v>
      </c>
      <c r="C91" s="61">
        <v>50</v>
      </c>
      <c r="D91" s="62">
        <v>2</v>
      </c>
      <c r="E91" s="62">
        <v>2</v>
      </c>
      <c r="F91" s="63">
        <v>4.84</v>
      </c>
      <c r="G91" s="63">
        <v>3.8</v>
      </c>
      <c r="H91" s="63"/>
      <c r="I91" s="63"/>
      <c r="J91" s="63">
        <v>116.4</v>
      </c>
      <c r="K91" s="63">
        <v>26.4</v>
      </c>
      <c r="L91" s="63">
        <v>18.62</v>
      </c>
      <c r="M91" s="63">
        <v>5.4</v>
      </c>
      <c r="N91" s="64" t="b">
        <f>TRUE()</f>
        <v>1</v>
      </c>
      <c r="O91" s="63">
        <v>123.6</v>
      </c>
    </row>
    <row r="92" spans="1:15" ht="12.75" customHeight="1">
      <c r="A92" s="61" t="s">
        <v>1002</v>
      </c>
      <c r="B92" s="61">
        <v>125</v>
      </c>
      <c r="C92" s="61">
        <v>50</v>
      </c>
      <c r="D92" s="62">
        <v>1.8</v>
      </c>
      <c r="E92" s="62">
        <v>1.8</v>
      </c>
      <c r="F92" s="63">
        <v>4.38</v>
      </c>
      <c r="G92" s="63">
        <v>3.44</v>
      </c>
      <c r="H92" s="63"/>
      <c r="I92" s="63"/>
      <c r="J92" s="63">
        <v>105.9</v>
      </c>
      <c r="K92" s="63">
        <v>24.2</v>
      </c>
      <c r="L92" s="63">
        <v>16.94</v>
      </c>
      <c r="M92" s="63">
        <v>4.94</v>
      </c>
      <c r="N92" s="64" t="b">
        <f>TRUE()</f>
        <v>1</v>
      </c>
      <c r="O92" s="63">
        <v>123.6</v>
      </c>
    </row>
    <row r="93" spans="1:15" ht="12.75" customHeight="1">
      <c r="A93" s="61" t="s">
        <v>1003</v>
      </c>
      <c r="B93" s="61">
        <v>125</v>
      </c>
      <c r="C93" s="61">
        <v>50</v>
      </c>
      <c r="D93" s="62">
        <v>1.6</v>
      </c>
      <c r="E93" s="62">
        <v>1.6</v>
      </c>
      <c r="F93" s="63">
        <v>3.91</v>
      </c>
      <c r="G93" s="63">
        <v>3.07</v>
      </c>
      <c r="H93" s="63"/>
      <c r="I93" s="63"/>
      <c r="J93" s="63">
        <v>95.1</v>
      </c>
      <c r="K93" s="63">
        <v>22</v>
      </c>
      <c r="L93" s="63">
        <v>15.22</v>
      </c>
      <c r="M93" s="63">
        <v>4.46</v>
      </c>
      <c r="N93" s="64" t="b">
        <f>TRUE()</f>
        <v>1</v>
      </c>
      <c r="O93" s="63">
        <v>123.6</v>
      </c>
    </row>
    <row r="94" spans="1:15" ht="12.75" customHeight="1">
      <c r="A94" s="61" t="s">
        <v>1004</v>
      </c>
      <c r="B94" s="61">
        <v>125</v>
      </c>
      <c r="C94" s="61">
        <v>50</v>
      </c>
      <c r="D94" s="62">
        <v>1.4</v>
      </c>
      <c r="E94" s="62">
        <v>1.4</v>
      </c>
      <c r="F94" s="63">
        <v>3.44</v>
      </c>
      <c r="G94" s="63">
        <v>2.7</v>
      </c>
      <c r="H94" s="63"/>
      <c r="I94" s="63"/>
      <c r="J94" s="63">
        <v>84.1</v>
      </c>
      <c r="K94" s="63">
        <v>19.6</v>
      </c>
      <c r="L94" s="63">
        <v>13.45</v>
      </c>
      <c r="M94" s="63">
        <v>3.97</v>
      </c>
      <c r="N94" s="64" t="b">
        <f>TRUE()</f>
        <v>1</v>
      </c>
      <c r="O94" s="63">
        <v>123.6</v>
      </c>
    </row>
    <row r="95" spans="1:15" ht="12.75" customHeight="1">
      <c r="A95" s="61" t="s">
        <v>1005</v>
      </c>
      <c r="B95" s="61">
        <v>125</v>
      </c>
      <c r="C95" s="61">
        <v>50</v>
      </c>
      <c r="D95" s="62">
        <v>1.2</v>
      </c>
      <c r="E95" s="62">
        <v>1.2</v>
      </c>
      <c r="F95" s="63">
        <v>2.97</v>
      </c>
      <c r="G95" s="63">
        <v>2.33</v>
      </c>
      <c r="H95" s="63"/>
      <c r="I95" s="63"/>
      <c r="J95" s="63">
        <v>72.8</v>
      </c>
      <c r="K95" s="63">
        <v>17.1</v>
      </c>
      <c r="L95" s="63">
        <v>11.65</v>
      </c>
      <c r="M95" s="63">
        <v>3.46</v>
      </c>
      <c r="N95" s="64" t="b">
        <f>TRUE()</f>
        <v>1</v>
      </c>
      <c r="O95" s="63">
        <v>123.6</v>
      </c>
    </row>
    <row r="96" spans="1:15" ht="12.75" customHeight="1">
      <c r="A96" s="61" t="s">
        <v>1006</v>
      </c>
      <c r="B96" s="61">
        <v>120</v>
      </c>
      <c r="C96" s="61">
        <v>60</v>
      </c>
      <c r="D96" s="62">
        <v>3.2</v>
      </c>
      <c r="E96" s="62">
        <v>3.2</v>
      </c>
      <c r="F96" s="63">
        <v>8.29</v>
      </c>
      <c r="G96" s="63">
        <v>6.51</v>
      </c>
      <c r="H96" s="63"/>
      <c r="I96" s="63"/>
      <c r="J96" s="63">
        <v>186.1</v>
      </c>
      <c r="K96" s="63">
        <v>72.7</v>
      </c>
      <c r="L96" s="63">
        <v>31.01</v>
      </c>
      <c r="M96" s="63">
        <v>12.45</v>
      </c>
      <c r="N96" s="64" t="b">
        <f>TRUE()</f>
        <v>1</v>
      </c>
      <c r="O96" s="63">
        <v>147</v>
      </c>
    </row>
    <row r="97" spans="1:15" ht="12.75" customHeight="1">
      <c r="A97" s="61" t="s">
        <v>1007</v>
      </c>
      <c r="B97" s="61">
        <v>120</v>
      </c>
      <c r="C97" s="61">
        <v>60</v>
      </c>
      <c r="D97" s="62">
        <v>2.3</v>
      </c>
      <c r="E97" s="62">
        <v>2.3</v>
      </c>
      <c r="F97" s="63">
        <v>6.09</v>
      </c>
      <c r="G97" s="63">
        <v>4.78</v>
      </c>
      <c r="H97" s="63"/>
      <c r="I97" s="63"/>
      <c r="J97" s="63">
        <v>139.8</v>
      </c>
      <c r="K97" s="63">
        <v>56</v>
      </c>
      <c r="L97" s="63">
        <v>23.3</v>
      </c>
      <c r="M97" s="63">
        <v>9.52</v>
      </c>
      <c r="N97" s="64" t="b">
        <f>TRUE()</f>
        <v>1</v>
      </c>
      <c r="O97" s="63">
        <v>123.6</v>
      </c>
    </row>
    <row r="98" spans="1:15" ht="12.75" customHeight="1">
      <c r="A98" s="61" t="s">
        <v>1008</v>
      </c>
      <c r="B98" s="61">
        <v>120</v>
      </c>
      <c r="C98" s="61">
        <v>40</v>
      </c>
      <c r="D98" s="62">
        <v>3.2</v>
      </c>
      <c r="E98" s="62">
        <v>3.2</v>
      </c>
      <c r="F98" s="63">
        <v>7.01</v>
      </c>
      <c r="G98" s="63">
        <v>5.5</v>
      </c>
      <c r="H98" s="63"/>
      <c r="I98" s="63"/>
      <c r="J98" s="63">
        <v>142.4</v>
      </c>
      <c r="K98" s="63">
        <v>24.7</v>
      </c>
      <c r="L98" s="63">
        <v>23.73</v>
      </c>
      <c r="M98" s="63">
        <v>6.44</v>
      </c>
      <c r="N98" s="64" t="b">
        <f>TRUE()</f>
        <v>1</v>
      </c>
      <c r="O98" s="63">
        <v>147</v>
      </c>
    </row>
    <row r="99" spans="1:15" ht="12.75" customHeight="1">
      <c r="A99" s="61" t="s">
        <v>1009</v>
      </c>
      <c r="B99" s="61">
        <v>100</v>
      </c>
      <c r="C99" s="61">
        <v>50</v>
      </c>
      <c r="D99" s="62">
        <v>3.2</v>
      </c>
      <c r="E99" s="62">
        <v>3.2</v>
      </c>
      <c r="F99" s="63">
        <v>6.69</v>
      </c>
      <c r="G99" s="63">
        <v>5.25</v>
      </c>
      <c r="H99" s="63"/>
      <c r="I99" s="63"/>
      <c r="J99" s="63">
        <v>103</v>
      </c>
      <c r="K99" s="63">
        <v>37.7</v>
      </c>
      <c r="L99" s="63">
        <v>20.6</v>
      </c>
      <c r="M99" s="63">
        <v>7.78</v>
      </c>
      <c r="N99" s="64" t="b">
        <f>TRUE()</f>
        <v>1</v>
      </c>
      <c r="O99" s="63">
        <v>147</v>
      </c>
    </row>
    <row r="100" spans="1:15" ht="12.75" customHeight="1">
      <c r="A100" s="61" t="s">
        <v>1010</v>
      </c>
      <c r="B100" s="61">
        <v>100</v>
      </c>
      <c r="C100" s="61">
        <v>50</v>
      </c>
      <c r="D100" s="62">
        <v>2.9</v>
      </c>
      <c r="E100" s="62">
        <v>2.9</v>
      </c>
      <c r="F100" s="63">
        <v>6.12</v>
      </c>
      <c r="G100" s="63">
        <v>4.8</v>
      </c>
      <c r="H100" s="63"/>
      <c r="I100" s="63"/>
      <c r="J100" s="63">
        <v>95.1</v>
      </c>
      <c r="K100" s="63">
        <v>35.2</v>
      </c>
      <c r="L100" s="63">
        <v>19.02</v>
      </c>
      <c r="M100" s="63">
        <v>7.24</v>
      </c>
      <c r="N100" s="64" t="b">
        <f>TRUE()</f>
        <v>1</v>
      </c>
      <c r="O100" s="63">
        <v>147</v>
      </c>
    </row>
    <row r="101" spans="1:15" ht="12.75" customHeight="1">
      <c r="A101" s="61" t="s">
        <v>1011</v>
      </c>
      <c r="B101" s="61">
        <v>100</v>
      </c>
      <c r="C101" s="61">
        <v>50</v>
      </c>
      <c r="D101" s="62">
        <v>2.6</v>
      </c>
      <c r="E101" s="62">
        <v>2.6</v>
      </c>
      <c r="F101" s="63">
        <v>5.54</v>
      </c>
      <c r="G101" s="63">
        <v>4.35</v>
      </c>
      <c r="H101" s="63"/>
      <c r="I101" s="63"/>
      <c r="J101" s="63">
        <v>86.8</v>
      </c>
      <c r="K101" s="63">
        <v>32.5</v>
      </c>
      <c r="L101" s="63">
        <v>17.37</v>
      </c>
      <c r="M101" s="63">
        <v>6.66</v>
      </c>
      <c r="N101" s="64" t="b">
        <f>TRUE()</f>
        <v>1</v>
      </c>
      <c r="O101" s="63">
        <v>123.6</v>
      </c>
    </row>
    <row r="102" spans="1:15" ht="12.75" customHeight="1">
      <c r="A102" s="61" t="s">
        <v>1012</v>
      </c>
      <c r="B102" s="61">
        <v>100</v>
      </c>
      <c r="C102" s="61">
        <v>50</v>
      </c>
      <c r="D102" s="62">
        <v>2.3</v>
      </c>
      <c r="E102" s="62">
        <v>2.3</v>
      </c>
      <c r="F102" s="63">
        <v>4.94</v>
      </c>
      <c r="G102" s="63">
        <v>3.88</v>
      </c>
      <c r="H102" s="63"/>
      <c r="I102" s="63"/>
      <c r="J102" s="63">
        <v>78.2</v>
      </c>
      <c r="K102" s="63">
        <v>29.5</v>
      </c>
      <c r="L102" s="63">
        <v>15.64</v>
      </c>
      <c r="M102" s="63">
        <v>6.05</v>
      </c>
      <c r="N102" s="64" t="b">
        <f>TRUE()</f>
        <v>1</v>
      </c>
      <c r="O102" s="63">
        <v>123.6</v>
      </c>
    </row>
    <row r="103" spans="1:15" ht="12.75" customHeight="1">
      <c r="A103" s="61" t="s">
        <v>1013</v>
      </c>
      <c r="B103" s="61">
        <v>100</v>
      </c>
      <c r="C103" s="61">
        <v>50</v>
      </c>
      <c r="D103" s="62">
        <v>2</v>
      </c>
      <c r="E103" s="62">
        <v>2</v>
      </c>
      <c r="F103" s="63">
        <v>4.34</v>
      </c>
      <c r="G103" s="63">
        <v>3.4</v>
      </c>
      <c r="H103" s="63"/>
      <c r="I103" s="63"/>
      <c r="J103" s="63">
        <v>69.2</v>
      </c>
      <c r="K103" s="63">
        <v>26.4</v>
      </c>
      <c r="L103" s="63">
        <v>13.85</v>
      </c>
      <c r="M103" s="63">
        <v>5.4</v>
      </c>
      <c r="N103" s="64" t="b">
        <f>TRUE()</f>
        <v>1</v>
      </c>
      <c r="O103" s="63">
        <v>123.6</v>
      </c>
    </row>
    <row r="104" spans="1:15" ht="12.75" customHeight="1">
      <c r="A104" s="61" t="s">
        <v>1014</v>
      </c>
      <c r="B104" s="61">
        <v>100</v>
      </c>
      <c r="C104" s="61">
        <v>50</v>
      </c>
      <c r="D104" s="62">
        <v>1.8</v>
      </c>
      <c r="E104" s="62">
        <v>1.8</v>
      </c>
      <c r="F104" s="63">
        <v>3.93</v>
      </c>
      <c r="G104" s="63">
        <v>3.08</v>
      </c>
      <c r="H104" s="63"/>
      <c r="I104" s="63"/>
      <c r="J104" s="63">
        <v>63</v>
      </c>
      <c r="K104" s="63">
        <v>24.2</v>
      </c>
      <c r="L104" s="63">
        <v>12.61</v>
      </c>
      <c r="M104" s="63">
        <v>4.94</v>
      </c>
      <c r="N104" s="64" t="b">
        <f>TRUE()</f>
        <v>1</v>
      </c>
      <c r="O104" s="63">
        <v>123.6</v>
      </c>
    </row>
    <row r="105" spans="1:15" ht="12.75" customHeight="1">
      <c r="A105" s="61" t="s">
        <v>1015</v>
      </c>
      <c r="B105" s="61">
        <v>100</v>
      </c>
      <c r="C105" s="61">
        <v>50</v>
      </c>
      <c r="D105" s="62">
        <v>1.6</v>
      </c>
      <c r="E105" s="62">
        <v>1.6</v>
      </c>
      <c r="F105" s="63">
        <v>3.51</v>
      </c>
      <c r="G105" s="63">
        <v>2.76</v>
      </c>
      <c r="H105" s="63"/>
      <c r="I105" s="63"/>
      <c r="J105" s="63">
        <v>56.7</v>
      </c>
      <c r="K105" s="63">
        <v>22</v>
      </c>
      <c r="L105" s="63">
        <v>11.34</v>
      </c>
      <c r="M105" s="63">
        <v>4.46</v>
      </c>
      <c r="N105" s="64" t="b">
        <f>TRUE()</f>
        <v>1</v>
      </c>
      <c r="O105" s="63">
        <v>123.6</v>
      </c>
    </row>
    <row r="106" spans="1:15" ht="12.75" customHeight="1">
      <c r="A106" s="61" t="s">
        <v>1016</v>
      </c>
      <c r="B106" s="61">
        <v>100</v>
      </c>
      <c r="C106" s="61">
        <v>50</v>
      </c>
      <c r="D106" s="62">
        <v>1.4</v>
      </c>
      <c r="E106" s="62">
        <v>1.4</v>
      </c>
      <c r="F106" s="63">
        <v>3.09</v>
      </c>
      <c r="G106" s="63">
        <v>2.43</v>
      </c>
      <c r="H106" s="63"/>
      <c r="I106" s="63"/>
      <c r="J106" s="63">
        <v>50.2</v>
      </c>
      <c r="K106" s="63">
        <v>19.6</v>
      </c>
      <c r="L106" s="63">
        <v>10.04</v>
      </c>
      <c r="M106" s="63">
        <v>3.97</v>
      </c>
      <c r="N106" s="64" t="b">
        <f>TRUE()</f>
        <v>1</v>
      </c>
      <c r="O106" s="63">
        <v>123.6</v>
      </c>
    </row>
    <row r="107" spans="1:15" ht="12.75" customHeight="1">
      <c r="A107" s="61" t="s">
        <v>1017</v>
      </c>
      <c r="B107" s="61">
        <v>100</v>
      </c>
      <c r="C107" s="61">
        <v>50</v>
      </c>
      <c r="D107" s="62">
        <v>1.2</v>
      </c>
      <c r="E107" s="62">
        <v>1.2</v>
      </c>
      <c r="F107" s="63">
        <v>2.67</v>
      </c>
      <c r="G107" s="63">
        <v>2.09</v>
      </c>
      <c r="H107" s="63"/>
      <c r="I107" s="63"/>
      <c r="J107" s="63">
        <v>43.5</v>
      </c>
      <c r="K107" s="63">
        <v>17.1</v>
      </c>
      <c r="L107" s="63">
        <v>8.71</v>
      </c>
      <c r="M107" s="63">
        <v>3.46</v>
      </c>
      <c r="N107" s="64" t="b">
        <f>TRUE()</f>
        <v>1</v>
      </c>
      <c r="O107" s="63">
        <v>123.6</v>
      </c>
    </row>
    <row r="108" spans="1:15" ht="12.75" customHeight="1">
      <c r="A108" s="61" t="s">
        <v>1018</v>
      </c>
      <c r="B108" s="61">
        <v>90</v>
      </c>
      <c r="C108" s="61">
        <v>45</v>
      </c>
      <c r="D108" s="62">
        <v>3.2</v>
      </c>
      <c r="E108" s="62">
        <v>3.2</v>
      </c>
      <c r="F108" s="63">
        <v>6.05</v>
      </c>
      <c r="G108" s="63">
        <v>4.75</v>
      </c>
      <c r="H108" s="63"/>
      <c r="I108" s="63"/>
      <c r="J108" s="63">
        <v>74.4</v>
      </c>
      <c r="K108" s="63">
        <v>28.2</v>
      </c>
      <c r="L108" s="63">
        <v>16.52</v>
      </c>
      <c r="M108" s="63">
        <v>6.49</v>
      </c>
      <c r="N108" s="64" t="b">
        <f>TRUE()</f>
        <v>1</v>
      </c>
      <c r="O108" s="63">
        <v>147</v>
      </c>
    </row>
    <row r="109" spans="1:15" ht="12.75" customHeight="1">
      <c r="A109" s="61" t="s">
        <v>1019</v>
      </c>
      <c r="B109" s="61">
        <v>90</v>
      </c>
      <c r="C109" s="61">
        <v>45</v>
      </c>
      <c r="D109" s="62">
        <v>2.9</v>
      </c>
      <c r="E109" s="62">
        <v>2.9</v>
      </c>
      <c r="F109" s="63">
        <v>5.54</v>
      </c>
      <c r="G109" s="63">
        <v>4.35</v>
      </c>
      <c r="H109" s="63"/>
      <c r="I109" s="63"/>
      <c r="J109" s="63">
        <v>68.8</v>
      </c>
      <c r="K109" s="63">
        <v>26.4</v>
      </c>
      <c r="L109" s="63">
        <v>15.29</v>
      </c>
      <c r="M109" s="63">
        <v>6.06</v>
      </c>
      <c r="N109" s="64" t="b">
        <f>TRUE()</f>
        <v>1</v>
      </c>
      <c r="O109" s="63">
        <v>147</v>
      </c>
    </row>
    <row r="110" spans="1:15" ht="12.75" customHeight="1">
      <c r="A110" s="61" t="s">
        <v>1020</v>
      </c>
      <c r="B110" s="61">
        <v>90</v>
      </c>
      <c r="C110" s="61">
        <v>45</v>
      </c>
      <c r="D110" s="62">
        <v>2.6</v>
      </c>
      <c r="E110" s="62">
        <v>2.6</v>
      </c>
      <c r="F110" s="63">
        <v>5.02</v>
      </c>
      <c r="G110" s="63">
        <v>3.94</v>
      </c>
      <c r="H110" s="63"/>
      <c r="I110" s="63"/>
      <c r="J110" s="63">
        <v>62.9</v>
      </c>
      <c r="K110" s="63">
        <v>24.4</v>
      </c>
      <c r="L110" s="63">
        <v>13.98</v>
      </c>
      <c r="M110" s="63">
        <v>5.59</v>
      </c>
      <c r="N110" s="64" t="b">
        <f>TRUE()</f>
        <v>1</v>
      </c>
      <c r="O110" s="63">
        <v>123.6</v>
      </c>
    </row>
    <row r="111" spans="1:15" ht="12.75" customHeight="1">
      <c r="A111" s="61" t="s">
        <v>1021</v>
      </c>
      <c r="B111" s="61">
        <v>90</v>
      </c>
      <c r="C111" s="61">
        <v>45</v>
      </c>
      <c r="D111" s="62">
        <v>2.3</v>
      </c>
      <c r="E111" s="62">
        <v>2.3</v>
      </c>
      <c r="F111" s="63">
        <v>4.48</v>
      </c>
      <c r="G111" s="63">
        <v>3.52</v>
      </c>
      <c r="H111" s="63"/>
      <c r="I111" s="63"/>
      <c r="J111" s="63">
        <v>56.8</v>
      </c>
      <c r="K111" s="63">
        <v>22.3</v>
      </c>
      <c r="L111" s="63">
        <v>12.62</v>
      </c>
      <c r="M111" s="63">
        <v>5.08</v>
      </c>
      <c r="N111" s="64" t="b">
        <f>TRUE()</f>
        <v>1</v>
      </c>
      <c r="O111" s="63">
        <v>123.6</v>
      </c>
    </row>
    <row r="112" spans="1:15" ht="12.75" customHeight="1">
      <c r="A112" s="61" t="s">
        <v>1022</v>
      </c>
      <c r="B112" s="61">
        <v>90</v>
      </c>
      <c r="C112" s="61">
        <v>45</v>
      </c>
      <c r="D112" s="62">
        <v>2</v>
      </c>
      <c r="E112" s="62">
        <v>2</v>
      </c>
      <c r="F112" s="63">
        <v>3.94</v>
      </c>
      <c r="G112" s="63">
        <v>3.09</v>
      </c>
      <c r="H112" s="63"/>
      <c r="I112" s="63"/>
      <c r="J112" s="63">
        <v>50.4</v>
      </c>
      <c r="K112" s="63">
        <v>20</v>
      </c>
      <c r="L112" s="63">
        <v>11.19</v>
      </c>
      <c r="M112" s="63">
        <v>4.54</v>
      </c>
      <c r="N112" s="64" t="b">
        <f>TRUE()</f>
        <v>1</v>
      </c>
      <c r="O112" s="63">
        <v>123.6</v>
      </c>
    </row>
    <row r="113" spans="1:15" ht="12.75" customHeight="1">
      <c r="A113" s="61" t="s">
        <v>1023</v>
      </c>
      <c r="B113" s="61">
        <v>90</v>
      </c>
      <c r="C113" s="61">
        <v>45</v>
      </c>
      <c r="D113" s="62">
        <v>1.8</v>
      </c>
      <c r="E113" s="62">
        <v>1.8</v>
      </c>
      <c r="F113" s="63">
        <v>3.57</v>
      </c>
      <c r="G113" s="63">
        <v>2.8</v>
      </c>
      <c r="H113" s="63"/>
      <c r="I113" s="63"/>
      <c r="J113" s="63">
        <v>45.9</v>
      </c>
      <c r="K113" s="63">
        <v>18.4</v>
      </c>
      <c r="L113" s="63">
        <v>10.21</v>
      </c>
      <c r="M113" s="63">
        <v>4.16</v>
      </c>
      <c r="N113" s="64" t="b">
        <f>TRUE()</f>
        <v>1</v>
      </c>
      <c r="O113" s="63">
        <v>123.6</v>
      </c>
    </row>
    <row r="114" spans="1:15" ht="12.75" customHeight="1">
      <c r="A114" s="61" t="s">
        <v>1024</v>
      </c>
      <c r="B114" s="61">
        <v>90</v>
      </c>
      <c r="C114" s="61">
        <v>45</v>
      </c>
      <c r="D114" s="62">
        <v>1.6</v>
      </c>
      <c r="E114" s="62">
        <v>1.6</v>
      </c>
      <c r="F114" s="63">
        <v>3.19</v>
      </c>
      <c r="G114" s="63">
        <v>2.51</v>
      </c>
      <c r="H114" s="63"/>
      <c r="I114" s="63"/>
      <c r="J114" s="63">
        <v>41.4</v>
      </c>
      <c r="K114" s="63">
        <v>16.6</v>
      </c>
      <c r="L114" s="63">
        <v>9.19</v>
      </c>
      <c r="M114" s="63">
        <v>3.77</v>
      </c>
      <c r="N114" s="64" t="b">
        <f>TRUE()</f>
        <v>1</v>
      </c>
      <c r="O114" s="63">
        <v>123.6</v>
      </c>
    </row>
    <row r="115" spans="1:15" ht="12.75" customHeight="1">
      <c r="A115" s="61" t="s">
        <v>1025</v>
      </c>
      <c r="B115" s="61">
        <v>90</v>
      </c>
      <c r="C115" s="61">
        <v>45</v>
      </c>
      <c r="D115" s="62">
        <v>1.4</v>
      </c>
      <c r="E115" s="62">
        <v>1.4</v>
      </c>
      <c r="F115" s="63">
        <v>2.81</v>
      </c>
      <c r="G115" s="63">
        <v>2.21</v>
      </c>
      <c r="H115" s="63"/>
      <c r="I115" s="63"/>
      <c r="J115" s="63">
        <v>36.7</v>
      </c>
      <c r="K115" s="63">
        <v>14.9</v>
      </c>
      <c r="L115" s="63">
        <v>8.15</v>
      </c>
      <c r="M115" s="63">
        <v>3.35</v>
      </c>
      <c r="N115" s="64" t="b">
        <f>TRUE()</f>
        <v>1</v>
      </c>
      <c r="O115" s="63">
        <v>123.6</v>
      </c>
    </row>
    <row r="116" spans="1:15" ht="12.75" customHeight="1">
      <c r="A116" s="61" t="s">
        <v>1026</v>
      </c>
      <c r="B116" s="61">
        <v>90</v>
      </c>
      <c r="C116" s="61">
        <v>45</v>
      </c>
      <c r="D116" s="62">
        <v>1.2</v>
      </c>
      <c r="E116" s="62">
        <v>1.2</v>
      </c>
      <c r="F116" s="63">
        <v>2.43</v>
      </c>
      <c r="G116" s="63">
        <v>1.9</v>
      </c>
      <c r="H116" s="63"/>
      <c r="I116" s="63"/>
      <c r="J116" s="63">
        <v>31.8</v>
      </c>
      <c r="K116" s="63">
        <v>13</v>
      </c>
      <c r="L116" s="63">
        <v>7.07</v>
      </c>
      <c r="M116" s="63">
        <v>2.93</v>
      </c>
      <c r="N116" s="64" t="b">
        <f>TRUE()</f>
        <v>1</v>
      </c>
      <c r="O116" s="63">
        <v>123.6</v>
      </c>
    </row>
    <row r="117" spans="1:15" ht="12.75" customHeight="1">
      <c r="A117" s="61" t="s">
        <v>1027</v>
      </c>
      <c r="B117" s="61">
        <v>75</v>
      </c>
      <c r="C117" s="61">
        <v>38</v>
      </c>
      <c r="D117" s="62">
        <v>2.6</v>
      </c>
      <c r="E117" s="62">
        <v>2.6</v>
      </c>
      <c r="F117" s="63">
        <v>4.26</v>
      </c>
      <c r="G117" s="63">
        <v>3.35</v>
      </c>
      <c r="H117" s="63"/>
      <c r="I117" s="63"/>
      <c r="J117" s="63">
        <v>36.2</v>
      </c>
      <c r="K117" s="63">
        <v>15.5</v>
      </c>
      <c r="L117" s="63">
        <v>9.66</v>
      </c>
      <c r="M117" s="63">
        <v>4.22</v>
      </c>
      <c r="N117" s="64" t="b">
        <f>TRUE()</f>
        <v>1</v>
      </c>
      <c r="O117" s="63">
        <v>123.6</v>
      </c>
    </row>
    <row r="118" spans="1:15" ht="12.75" customHeight="1">
      <c r="A118" s="61" t="s">
        <v>1028</v>
      </c>
      <c r="B118" s="61">
        <v>75</v>
      </c>
      <c r="C118" s="61">
        <v>38</v>
      </c>
      <c r="D118" s="62">
        <v>2.3</v>
      </c>
      <c r="E118" s="62">
        <v>2.3</v>
      </c>
      <c r="F118" s="63">
        <v>3.82</v>
      </c>
      <c r="G118" s="63">
        <v>3</v>
      </c>
      <c r="H118" s="63"/>
      <c r="I118" s="63"/>
      <c r="J118" s="63">
        <v>32.8</v>
      </c>
      <c r="K118" s="63">
        <v>14.2</v>
      </c>
      <c r="L118" s="63">
        <v>8.75</v>
      </c>
      <c r="M118" s="63">
        <v>3.85</v>
      </c>
      <c r="N118" s="64" t="b">
        <f>TRUE()</f>
        <v>1</v>
      </c>
      <c r="O118" s="63">
        <v>123.6</v>
      </c>
    </row>
    <row r="119" spans="1:15" ht="12.75" customHeight="1">
      <c r="A119" s="61" t="s">
        <v>1029</v>
      </c>
      <c r="B119" s="61">
        <v>75</v>
      </c>
      <c r="C119" s="61">
        <v>38</v>
      </c>
      <c r="D119" s="62">
        <v>2</v>
      </c>
      <c r="E119" s="62">
        <v>2</v>
      </c>
      <c r="F119" s="63">
        <v>3.36</v>
      </c>
      <c r="G119" s="63">
        <v>2.64</v>
      </c>
      <c r="H119" s="63"/>
      <c r="I119" s="63"/>
      <c r="J119" s="63">
        <v>29.2</v>
      </c>
      <c r="K119" s="63">
        <v>12.8</v>
      </c>
      <c r="L119" s="63">
        <v>7.79</v>
      </c>
      <c r="M119" s="63">
        <v>3.46</v>
      </c>
      <c r="N119" s="64" t="b">
        <f>TRUE()</f>
        <v>1</v>
      </c>
      <c r="O119" s="63">
        <v>123.6</v>
      </c>
    </row>
    <row r="120" spans="1:15" ht="12.75" customHeight="1">
      <c r="A120" s="61" t="s">
        <v>1030</v>
      </c>
      <c r="B120" s="61">
        <v>75</v>
      </c>
      <c r="C120" s="61">
        <v>38</v>
      </c>
      <c r="D120" s="62">
        <v>1.8</v>
      </c>
      <c r="E120" s="62">
        <v>1.8</v>
      </c>
      <c r="F120" s="63">
        <v>3.05</v>
      </c>
      <c r="G120" s="63">
        <v>2.39</v>
      </c>
      <c r="H120" s="63"/>
      <c r="I120" s="63"/>
      <c r="J120" s="63">
        <v>26.7</v>
      </c>
      <c r="K120" s="63">
        <v>11.8</v>
      </c>
      <c r="L120" s="63">
        <v>7.12</v>
      </c>
      <c r="M120" s="63">
        <v>3.18</v>
      </c>
      <c r="N120" s="64" t="b">
        <f>TRUE()</f>
        <v>1</v>
      </c>
      <c r="O120" s="63">
        <v>123.6</v>
      </c>
    </row>
    <row r="121" spans="1:15" ht="12.75" customHeight="1">
      <c r="A121" s="61" t="s">
        <v>1031</v>
      </c>
      <c r="B121" s="61">
        <v>75</v>
      </c>
      <c r="C121" s="61">
        <v>38</v>
      </c>
      <c r="D121" s="62">
        <v>1.6</v>
      </c>
      <c r="E121" s="62">
        <v>1.6</v>
      </c>
      <c r="F121" s="63">
        <v>2.73</v>
      </c>
      <c r="G121" s="63">
        <v>2.14</v>
      </c>
      <c r="H121" s="63"/>
      <c r="I121" s="63"/>
      <c r="J121" s="63">
        <v>24.1</v>
      </c>
      <c r="K121" s="63">
        <v>10.7</v>
      </c>
      <c r="L121" s="63">
        <v>6.43</v>
      </c>
      <c r="M121" s="63">
        <v>2.88</v>
      </c>
      <c r="N121" s="64" t="b">
        <f>TRUE()</f>
        <v>1</v>
      </c>
      <c r="O121" s="63">
        <v>123.6</v>
      </c>
    </row>
    <row r="122" spans="1:15" ht="12.75" customHeight="1">
      <c r="A122" s="61" t="s">
        <v>1032</v>
      </c>
      <c r="B122" s="61">
        <v>75</v>
      </c>
      <c r="C122" s="61">
        <v>38</v>
      </c>
      <c r="D122" s="62">
        <v>1.4</v>
      </c>
      <c r="E122" s="62">
        <v>1.4</v>
      </c>
      <c r="F122" s="63">
        <v>2.41</v>
      </c>
      <c r="G122" s="63">
        <v>1.89</v>
      </c>
      <c r="H122" s="63"/>
      <c r="I122" s="63"/>
      <c r="J122" s="63">
        <v>21.4</v>
      </c>
      <c r="K122" s="63">
        <v>9.6</v>
      </c>
      <c r="L122" s="63">
        <v>5.71</v>
      </c>
      <c r="M122" s="63">
        <v>2.57</v>
      </c>
      <c r="N122" s="64" t="b">
        <f>TRUE()</f>
        <v>1</v>
      </c>
      <c r="O122" s="63">
        <v>123.6</v>
      </c>
    </row>
    <row r="123" spans="1:15" ht="12.75" customHeight="1">
      <c r="A123" s="61" t="s">
        <v>1033</v>
      </c>
      <c r="B123" s="61">
        <v>75</v>
      </c>
      <c r="C123" s="61">
        <v>38</v>
      </c>
      <c r="D123" s="62">
        <v>1.2</v>
      </c>
      <c r="E123" s="62">
        <v>1.2</v>
      </c>
      <c r="F123" s="63">
        <v>2.08</v>
      </c>
      <c r="G123" s="63">
        <v>1.63</v>
      </c>
      <c r="H123" s="63"/>
      <c r="I123" s="63"/>
      <c r="J123" s="63">
        <v>18.6</v>
      </c>
      <c r="K123" s="63">
        <v>8.4</v>
      </c>
      <c r="L123" s="63">
        <v>4.97</v>
      </c>
      <c r="M123" s="63">
        <v>2.25</v>
      </c>
      <c r="N123" s="64" t="b">
        <f>TRUE()</f>
        <v>1</v>
      </c>
      <c r="O123" s="63">
        <v>123.6</v>
      </c>
    </row>
    <row r="124" spans="1:15" ht="12.75" customHeight="1">
      <c r="A124" s="61" t="s">
        <v>1034</v>
      </c>
      <c r="B124" s="61">
        <v>65</v>
      </c>
      <c r="C124" s="61">
        <v>30</v>
      </c>
      <c r="D124" s="62">
        <v>2.6</v>
      </c>
      <c r="E124" s="62">
        <v>2.6</v>
      </c>
      <c r="F124" s="63">
        <v>3.59</v>
      </c>
      <c r="G124" s="63">
        <v>2.81</v>
      </c>
      <c r="H124" s="63"/>
      <c r="I124" s="63"/>
      <c r="J124" s="63">
        <v>21.7</v>
      </c>
      <c r="K124" s="63">
        <v>8.2</v>
      </c>
      <c r="L124" s="63">
        <v>6.68</v>
      </c>
      <c r="M124" s="63">
        <v>2.87</v>
      </c>
      <c r="N124" s="64" t="b">
        <f>TRUE()</f>
        <v>1</v>
      </c>
      <c r="O124" s="63">
        <v>123.6</v>
      </c>
    </row>
    <row r="125" spans="1:15" ht="12.75" customHeight="1">
      <c r="A125" s="61" t="s">
        <v>1035</v>
      </c>
      <c r="B125" s="61">
        <v>65</v>
      </c>
      <c r="C125" s="61">
        <v>30</v>
      </c>
      <c r="D125" s="62">
        <v>2.3</v>
      </c>
      <c r="E125" s="62">
        <v>2.3</v>
      </c>
      <c r="F125" s="63">
        <v>3.22</v>
      </c>
      <c r="G125" s="63">
        <v>2.53</v>
      </c>
      <c r="H125" s="63"/>
      <c r="I125" s="63"/>
      <c r="J125" s="63">
        <v>19.8</v>
      </c>
      <c r="K125" s="63">
        <v>7.6</v>
      </c>
      <c r="L125" s="63">
        <v>6.08</v>
      </c>
      <c r="M125" s="63">
        <v>2.64</v>
      </c>
      <c r="N125" s="64" t="b">
        <f>TRUE()</f>
        <v>1</v>
      </c>
      <c r="O125" s="63">
        <v>123.6</v>
      </c>
    </row>
    <row r="126" spans="1:15" ht="12.75" customHeight="1">
      <c r="A126" s="61" t="s">
        <v>1036</v>
      </c>
      <c r="B126" s="61">
        <v>65</v>
      </c>
      <c r="C126" s="61">
        <v>30</v>
      </c>
      <c r="D126" s="62">
        <v>2</v>
      </c>
      <c r="E126" s="62">
        <v>2</v>
      </c>
      <c r="F126" s="63">
        <v>2.84</v>
      </c>
      <c r="G126" s="63">
        <v>2.23</v>
      </c>
      <c r="H126" s="63"/>
      <c r="I126" s="63"/>
      <c r="J126" s="63">
        <v>17.7</v>
      </c>
      <c r="K126" s="63">
        <v>6.9</v>
      </c>
      <c r="L126" s="63">
        <v>5.44</v>
      </c>
      <c r="M126" s="63">
        <v>2.38</v>
      </c>
      <c r="N126" s="64" t="b">
        <f>TRUE()</f>
        <v>1</v>
      </c>
      <c r="O126" s="63">
        <v>123.6</v>
      </c>
    </row>
    <row r="127" spans="1:15" ht="12.75" customHeight="1">
      <c r="A127" s="61" t="s">
        <v>1037</v>
      </c>
      <c r="B127" s="61">
        <v>65</v>
      </c>
      <c r="C127" s="61">
        <v>30</v>
      </c>
      <c r="D127" s="62">
        <v>1.8</v>
      </c>
      <c r="E127" s="62">
        <v>1.8</v>
      </c>
      <c r="F127" s="63">
        <v>2.58</v>
      </c>
      <c r="G127" s="63">
        <v>2.02</v>
      </c>
      <c r="H127" s="63"/>
      <c r="I127" s="63"/>
      <c r="J127" s="63">
        <v>16.2</v>
      </c>
      <c r="K127" s="63">
        <v>6.4</v>
      </c>
      <c r="L127" s="63">
        <v>4.99</v>
      </c>
      <c r="M127" s="63">
        <v>2.19</v>
      </c>
      <c r="N127" s="64" t="b">
        <f>TRUE()</f>
        <v>1</v>
      </c>
      <c r="O127" s="63">
        <v>123.6</v>
      </c>
    </row>
    <row r="128" spans="1:15" ht="12.75" customHeight="1">
      <c r="A128" s="61" t="s">
        <v>1038</v>
      </c>
      <c r="B128" s="61">
        <v>65</v>
      </c>
      <c r="C128" s="61">
        <v>30</v>
      </c>
      <c r="D128" s="62">
        <v>1.6</v>
      </c>
      <c r="E128" s="62">
        <v>1.6</v>
      </c>
      <c r="F128" s="63">
        <v>2.31</v>
      </c>
      <c r="G128" s="63">
        <v>1.82</v>
      </c>
      <c r="H128" s="63"/>
      <c r="I128" s="63"/>
      <c r="J128" s="63">
        <v>14.7</v>
      </c>
      <c r="K128" s="63">
        <v>5.8</v>
      </c>
      <c r="L128" s="63">
        <v>4.52</v>
      </c>
      <c r="M128" s="63">
        <v>2</v>
      </c>
      <c r="N128" s="64" t="b">
        <f>TRUE()</f>
        <v>1</v>
      </c>
      <c r="O128" s="63">
        <v>123.6</v>
      </c>
    </row>
    <row r="129" spans="1:15" ht="12.75" customHeight="1">
      <c r="A129" s="61" t="s">
        <v>1039</v>
      </c>
      <c r="B129" s="61">
        <v>65</v>
      </c>
      <c r="C129" s="61">
        <v>30</v>
      </c>
      <c r="D129" s="62">
        <v>1.4</v>
      </c>
      <c r="E129" s="62">
        <v>1.4</v>
      </c>
      <c r="F129" s="63">
        <v>2.04</v>
      </c>
      <c r="G129" s="63">
        <v>1.6</v>
      </c>
      <c r="H129" s="63"/>
      <c r="I129" s="63"/>
      <c r="J129" s="63">
        <v>13.1</v>
      </c>
      <c r="K129" s="63">
        <v>5.2</v>
      </c>
      <c r="L129" s="63">
        <v>4.02</v>
      </c>
      <c r="M129" s="63">
        <v>1.79</v>
      </c>
      <c r="N129" s="64" t="b">
        <f>TRUE()</f>
        <v>1</v>
      </c>
      <c r="O129" s="63">
        <v>123.6</v>
      </c>
    </row>
    <row r="130" spans="1:15" ht="12.75" customHeight="1">
      <c r="A130" s="61" t="s">
        <v>1040</v>
      </c>
      <c r="B130" s="61">
        <v>65</v>
      </c>
      <c r="C130" s="61">
        <v>30</v>
      </c>
      <c r="D130" s="62">
        <v>1.2</v>
      </c>
      <c r="E130" s="62">
        <v>1.2</v>
      </c>
      <c r="F130" s="63">
        <v>1.77</v>
      </c>
      <c r="G130" s="63">
        <v>1.39</v>
      </c>
      <c r="H130" s="63"/>
      <c r="I130" s="63"/>
      <c r="J130" s="63">
        <v>11.4</v>
      </c>
      <c r="K130" s="63">
        <v>4.6</v>
      </c>
      <c r="L130" s="63">
        <v>3.51</v>
      </c>
      <c r="M130" s="63">
        <v>1.57</v>
      </c>
      <c r="N130" s="64" t="b">
        <f>TRUE()</f>
        <v>1</v>
      </c>
      <c r="O130" s="63">
        <v>123.6</v>
      </c>
    </row>
    <row r="131" spans="1:15" ht="12.75" customHeight="1">
      <c r="A131" s="61" t="s">
        <v>1041</v>
      </c>
      <c r="B131" s="61">
        <v>255</v>
      </c>
      <c r="C131" s="61">
        <v>90</v>
      </c>
      <c r="D131" s="62">
        <v>4.7</v>
      </c>
      <c r="E131" s="62">
        <v>4.7</v>
      </c>
      <c r="F131" s="63">
        <v>21.34</v>
      </c>
      <c r="G131" s="63">
        <v>16.75</v>
      </c>
      <c r="H131" s="63"/>
      <c r="I131" s="63"/>
      <c r="J131" s="63">
        <v>2055.9</v>
      </c>
      <c r="K131" s="63">
        <v>211.3</v>
      </c>
      <c r="L131" s="63">
        <v>161.25</v>
      </c>
      <c r="M131" s="63">
        <v>32.89</v>
      </c>
      <c r="N131" s="64" t="b">
        <f>TRUE()</f>
        <v>1</v>
      </c>
      <c r="O131" s="63">
        <v>147</v>
      </c>
    </row>
    <row r="132" spans="1:15" ht="12.75" customHeight="1">
      <c r="A132" s="61" t="s">
        <v>1042</v>
      </c>
      <c r="B132" s="61">
        <v>255</v>
      </c>
      <c r="C132" s="61">
        <v>90</v>
      </c>
      <c r="D132" s="62">
        <v>4.5</v>
      </c>
      <c r="E132" s="62">
        <v>4.5</v>
      </c>
      <c r="F132" s="63">
        <v>20.49</v>
      </c>
      <c r="G132" s="63">
        <v>16.09</v>
      </c>
      <c r="H132" s="63"/>
      <c r="I132" s="63"/>
      <c r="J132" s="63">
        <v>1979.6</v>
      </c>
      <c r="K132" s="63">
        <v>204.4</v>
      </c>
      <c r="L132" s="63">
        <v>155.27</v>
      </c>
      <c r="M132" s="63">
        <v>31.81</v>
      </c>
      <c r="N132" s="64" t="b">
        <f>TRUE()</f>
        <v>1</v>
      </c>
      <c r="O132" s="63">
        <v>147</v>
      </c>
    </row>
    <row r="133" spans="1:15" ht="12.75" customHeight="1">
      <c r="A133" s="61" t="s">
        <v>1043</v>
      </c>
      <c r="B133" s="61">
        <v>255</v>
      </c>
      <c r="C133" s="61">
        <v>90</v>
      </c>
      <c r="D133" s="62">
        <v>4.3</v>
      </c>
      <c r="E133" s="62">
        <v>4.3</v>
      </c>
      <c r="F133" s="63">
        <v>19.64</v>
      </c>
      <c r="G133" s="63">
        <v>15.42</v>
      </c>
      <c r="H133" s="63"/>
      <c r="I133" s="63"/>
      <c r="J133" s="63">
        <v>1902.4</v>
      </c>
      <c r="K133" s="63">
        <v>197.3</v>
      </c>
      <c r="L133" s="63">
        <v>149.21</v>
      </c>
      <c r="M133" s="63">
        <v>30.72</v>
      </c>
      <c r="N133" s="64" t="b">
        <f>TRUE()</f>
        <v>1</v>
      </c>
      <c r="O133" s="63">
        <v>147</v>
      </c>
    </row>
    <row r="134" spans="1:15" ht="12.75" customHeight="1">
      <c r="A134" s="61" t="s">
        <v>1044</v>
      </c>
      <c r="B134" s="61">
        <v>255</v>
      </c>
      <c r="C134" s="61">
        <v>90</v>
      </c>
      <c r="D134" s="62">
        <v>4</v>
      </c>
      <c r="E134" s="62">
        <v>4</v>
      </c>
      <c r="F134" s="63">
        <v>18.35</v>
      </c>
      <c r="G134" s="63">
        <v>14.4</v>
      </c>
      <c r="H134" s="63"/>
      <c r="I134" s="63"/>
      <c r="J134" s="63">
        <v>1784.6</v>
      </c>
      <c r="K134" s="63">
        <v>186.3</v>
      </c>
      <c r="L134" s="63">
        <v>139.97</v>
      </c>
      <c r="M134" s="63">
        <v>29.02</v>
      </c>
      <c r="N134" s="64" t="b">
        <f>TRUE()</f>
        <v>1</v>
      </c>
      <c r="O134" s="63">
        <v>147</v>
      </c>
    </row>
    <row r="135" spans="1:15" ht="12.75" customHeight="1">
      <c r="A135" s="61" t="s">
        <v>1045</v>
      </c>
      <c r="B135" s="61">
        <v>255</v>
      </c>
      <c r="C135" s="61">
        <v>90</v>
      </c>
      <c r="D135" s="62">
        <v>3.2</v>
      </c>
      <c r="E135" s="62">
        <v>3.2</v>
      </c>
      <c r="F135" s="63">
        <v>14.85</v>
      </c>
      <c r="G135" s="63">
        <v>11.65</v>
      </c>
      <c r="H135" s="63"/>
      <c r="I135" s="63"/>
      <c r="J135" s="63">
        <v>1459.9</v>
      </c>
      <c r="K135" s="63">
        <v>155.1</v>
      </c>
      <c r="L135" s="63">
        <v>114.5</v>
      </c>
      <c r="M135" s="63">
        <v>24.17</v>
      </c>
      <c r="N135" s="64" t="b">
        <f>TRUE()</f>
        <v>1</v>
      </c>
      <c r="O135" s="63">
        <v>147</v>
      </c>
    </row>
    <row r="136" spans="1:15" ht="12.75" customHeight="1">
      <c r="A136" s="61" t="s">
        <v>1046</v>
      </c>
      <c r="B136" s="61">
        <v>255</v>
      </c>
      <c r="C136" s="61">
        <v>90</v>
      </c>
      <c r="D136" s="62">
        <v>2.9</v>
      </c>
      <c r="E136" s="62">
        <v>2.9</v>
      </c>
      <c r="F136" s="63">
        <v>13.51</v>
      </c>
      <c r="G136" s="63">
        <v>10.61</v>
      </c>
      <c r="H136" s="63"/>
      <c r="I136" s="63"/>
      <c r="J136" s="63">
        <v>1334</v>
      </c>
      <c r="K136" s="63">
        <v>142.6</v>
      </c>
      <c r="L136" s="63">
        <v>104.63</v>
      </c>
      <c r="M136" s="63">
        <v>22.23</v>
      </c>
      <c r="N136" s="64" t="b">
        <f>TRUE()</f>
        <v>1</v>
      </c>
      <c r="O136" s="63">
        <v>147</v>
      </c>
    </row>
    <row r="137" spans="1:15" ht="12.75" customHeight="1">
      <c r="A137" s="61" t="s">
        <v>1047</v>
      </c>
      <c r="B137" s="61">
        <v>220</v>
      </c>
      <c r="C137" s="61">
        <v>75</v>
      </c>
      <c r="D137" s="62">
        <v>4.7</v>
      </c>
      <c r="E137" s="62">
        <v>4.7</v>
      </c>
      <c r="F137" s="63">
        <v>18.29</v>
      </c>
      <c r="G137" s="63">
        <v>14.36</v>
      </c>
      <c r="H137" s="63"/>
      <c r="I137" s="63"/>
      <c r="J137" s="63">
        <v>1287.7</v>
      </c>
      <c r="K137" s="63">
        <v>127.9</v>
      </c>
      <c r="L137" s="63">
        <v>117.06</v>
      </c>
      <c r="M137" s="63">
        <v>24.2</v>
      </c>
      <c r="N137" s="64" t="b">
        <f>TRUE()</f>
        <v>1</v>
      </c>
      <c r="O137" s="63">
        <v>147</v>
      </c>
    </row>
    <row r="138" spans="1:15" ht="12.75" customHeight="1">
      <c r="A138" s="61" t="s">
        <v>1048</v>
      </c>
      <c r="B138" s="61">
        <v>220</v>
      </c>
      <c r="C138" s="61">
        <v>75</v>
      </c>
      <c r="D138" s="62">
        <v>4.5</v>
      </c>
      <c r="E138" s="62">
        <v>4.5</v>
      </c>
      <c r="F138" s="63">
        <v>17.57</v>
      </c>
      <c r="G138" s="63">
        <v>13.79</v>
      </c>
      <c r="H138" s="63"/>
      <c r="I138" s="63"/>
      <c r="J138" s="63">
        <v>1241.1</v>
      </c>
      <c r="K138" s="63">
        <v>123.9</v>
      </c>
      <c r="L138" s="63">
        <v>112.83</v>
      </c>
      <c r="M138" s="63">
        <v>23.45</v>
      </c>
      <c r="N138" s="64" t="b">
        <f>TRUE()</f>
        <v>1</v>
      </c>
      <c r="O138" s="63">
        <v>147</v>
      </c>
    </row>
    <row r="139" spans="1:15" ht="12.75" customHeight="1">
      <c r="A139" s="61" t="s">
        <v>1049</v>
      </c>
      <c r="B139" s="61">
        <v>220</v>
      </c>
      <c r="C139" s="61">
        <v>75</v>
      </c>
      <c r="D139" s="62">
        <v>4.3</v>
      </c>
      <c r="E139" s="62">
        <v>4.3</v>
      </c>
      <c r="F139" s="63">
        <v>16.84</v>
      </c>
      <c r="G139" s="63">
        <v>13.22</v>
      </c>
      <c r="H139" s="63"/>
      <c r="I139" s="63"/>
      <c r="J139" s="63">
        <v>1193.9</v>
      </c>
      <c r="K139" s="63">
        <v>119.8</v>
      </c>
      <c r="L139" s="63">
        <v>108.53</v>
      </c>
      <c r="M139" s="63">
        <v>22.68</v>
      </c>
      <c r="N139" s="64" t="b">
        <f>TRUE()</f>
        <v>1</v>
      </c>
      <c r="O139" s="63">
        <v>147</v>
      </c>
    </row>
    <row r="140" spans="1:15" ht="12.75" customHeight="1">
      <c r="A140" s="61" t="s">
        <v>1050</v>
      </c>
      <c r="B140" s="61">
        <v>220</v>
      </c>
      <c r="C140" s="61">
        <v>75</v>
      </c>
      <c r="D140" s="62">
        <v>4</v>
      </c>
      <c r="E140" s="62">
        <v>4</v>
      </c>
      <c r="F140" s="63">
        <v>15.75</v>
      </c>
      <c r="G140" s="63">
        <v>12.36</v>
      </c>
      <c r="H140" s="63"/>
      <c r="I140" s="63"/>
      <c r="J140" s="63">
        <v>1121.6</v>
      </c>
      <c r="K140" s="63">
        <v>113.4</v>
      </c>
      <c r="L140" s="63">
        <v>101.96</v>
      </c>
      <c r="M140" s="63">
        <v>21.47</v>
      </c>
      <c r="N140" s="64" t="b">
        <f>TRUE()</f>
        <v>1</v>
      </c>
      <c r="O140" s="63">
        <v>147</v>
      </c>
    </row>
    <row r="141" spans="1:15" ht="12.75" customHeight="1">
      <c r="A141" s="61" t="s">
        <v>1051</v>
      </c>
      <c r="B141" s="61">
        <v>220</v>
      </c>
      <c r="C141" s="61">
        <v>75</v>
      </c>
      <c r="D141" s="62">
        <v>3.2</v>
      </c>
      <c r="E141" s="62">
        <v>3.2</v>
      </c>
      <c r="F141" s="63">
        <v>12.77</v>
      </c>
      <c r="G141" s="63">
        <v>10.02</v>
      </c>
      <c r="H141" s="63"/>
      <c r="I141" s="63"/>
      <c r="J141" s="63">
        <v>920.9</v>
      </c>
      <c r="K141" s="63">
        <v>95</v>
      </c>
      <c r="L141" s="63">
        <v>83.72</v>
      </c>
      <c r="M141" s="63">
        <v>18</v>
      </c>
      <c r="N141" s="64" t="b">
        <f>TRUE()</f>
        <v>1</v>
      </c>
      <c r="O141" s="63">
        <v>147</v>
      </c>
    </row>
    <row r="142" spans="1:15" ht="12.75" customHeight="1">
      <c r="A142" s="61" t="s">
        <v>1052</v>
      </c>
      <c r="B142" s="61">
        <v>220</v>
      </c>
      <c r="C142" s="61">
        <v>75</v>
      </c>
      <c r="D142" s="62">
        <v>2.9</v>
      </c>
      <c r="E142" s="62">
        <v>2.9</v>
      </c>
      <c r="F142" s="63">
        <v>11.63</v>
      </c>
      <c r="G142" s="63">
        <v>9.13</v>
      </c>
      <c r="H142" s="63"/>
      <c r="I142" s="63"/>
      <c r="J142" s="63">
        <v>842.7</v>
      </c>
      <c r="K142" s="63">
        <v>87.6</v>
      </c>
      <c r="L142" s="63">
        <v>76.61</v>
      </c>
      <c r="M142" s="63">
        <v>16.59</v>
      </c>
      <c r="N142" s="64" t="b">
        <f>TRUE()</f>
        <v>1</v>
      </c>
      <c r="O142" s="63">
        <v>147</v>
      </c>
    </row>
    <row r="143" spans="1:15" ht="12.75" customHeight="1">
      <c r="A143" s="61" t="s">
        <v>1053</v>
      </c>
      <c r="B143" s="61">
        <v>220</v>
      </c>
      <c r="C143" s="61">
        <v>75</v>
      </c>
      <c r="D143" s="62">
        <v>2.6</v>
      </c>
      <c r="E143" s="62">
        <v>2.6</v>
      </c>
      <c r="F143" s="63">
        <v>10.48</v>
      </c>
      <c r="G143" s="63">
        <v>8.22</v>
      </c>
      <c r="H143" s="63"/>
      <c r="I143" s="63"/>
      <c r="J143" s="63">
        <v>762.8</v>
      </c>
      <c r="K143" s="63">
        <v>79.9</v>
      </c>
      <c r="L143" s="63">
        <v>69.34</v>
      </c>
      <c r="M143" s="63">
        <v>15.13</v>
      </c>
      <c r="N143" s="64" t="b">
        <f>TRUE()</f>
        <v>1</v>
      </c>
      <c r="O143" s="63">
        <v>123.6</v>
      </c>
    </row>
    <row r="144" spans="1:15" ht="12.75" customHeight="1">
      <c r="A144" s="61" t="s">
        <v>1054</v>
      </c>
      <c r="B144" s="61">
        <v>220</v>
      </c>
      <c r="C144" s="61">
        <v>75</v>
      </c>
      <c r="D144" s="62">
        <v>2.3</v>
      </c>
      <c r="E144" s="62">
        <v>2.3</v>
      </c>
      <c r="F144" s="63">
        <v>9.31</v>
      </c>
      <c r="G144" s="63">
        <v>7.31</v>
      </c>
      <c r="H144" s="63"/>
      <c r="I144" s="63"/>
      <c r="J144" s="63">
        <v>681.2</v>
      </c>
      <c r="K144" s="63">
        <v>71.8</v>
      </c>
      <c r="L144" s="63">
        <v>61.93</v>
      </c>
      <c r="M144" s="63">
        <v>13.61</v>
      </c>
      <c r="N144" s="64" t="b">
        <f>TRUE()</f>
        <v>1</v>
      </c>
      <c r="O144" s="63">
        <v>123.6</v>
      </c>
    </row>
    <row r="145" spans="1:15" ht="12.75" customHeight="1">
      <c r="A145" s="61" t="s">
        <v>1055</v>
      </c>
      <c r="B145" s="61">
        <v>200</v>
      </c>
      <c r="C145" s="61">
        <v>75</v>
      </c>
      <c r="D145" s="62">
        <v>4</v>
      </c>
      <c r="E145" s="62">
        <v>4</v>
      </c>
      <c r="F145" s="63">
        <v>14.95</v>
      </c>
      <c r="G145" s="63">
        <v>11.73</v>
      </c>
      <c r="H145" s="63"/>
      <c r="I145" s="63"/>
      <c r="J145" s="63">
        <v>894.5</v>
      </c>
      <c r="K145" s="63">
        <v>110</v>
      </c>
      <c r="L145" s="63">
        <v>89.46</v>
      </c>
      <c r="M145" s="63">
        <v>21.26</v>
      </c>
      <c r="N145" s="64" t="b">
        <f>TRUE()</f>
        <v>1</v>
      </c>
      <c r="O145" s="63">
        <v>147</v>
      </c>
    </row>
    <row r="146" spans="1:15" ht="12.75" customHeight="1">
      <c r="A146" s="61" t="s">
        <v>1056</v>
      </c>
      <c r="B146" s="61">
        <v>200</v>
      </c>
      <c r="C146" s="61">
        <v>75</v>
      </c>
      <c r="D146" s="62">
        <v>3.2</v>
      </c>
      <c r="E146" s="62">
        <v>3.2</v>
      </c>
      <c r="F146" s="63">
        <v>12.13</v>
      </c>
      <c r="G146" s="63">
        <v>9.52</v>
      </c>
      <c r="H146" s="63"/>
      <c r="I146" s="63"/>
      <c r="J146" s="63">
        <v>735.5</v>
      </c>
      <c r="K146" s="63">
        <v>92.2</v>
      </c>
      <c r="L146" s="63">
        <v>73.55</v>
      </c>
      <c r="M146" s="63">
        <v>17.82</v>
      </c>
      <c r="N146" s="64" t="b">
        <f>TRUE()</f>
        <v>1</v>
      </c>
      <c r="O146" s="63">
        <v>147</v>
      </c>
    </row>
    <row r="147" spans="1:15" ht="12.75" customHeight="1">
      <c r="A147" s="61" t="s">
        <v>1057</v>
      </c>
      <c r="B147" s="61">
        <v>200</v>
      </c>
      <c r="C147" s="61">
        <v>75</v>
      </c>
      <c r="D147" s="62">
        <v>4</v>
      </c>
      <c r="E147" s="62">
        <v>4</v>
      </c>
      <c r="F147" s="63">
        <v>14.55</v>
      </c>
      <c r="G147" s="63">
        <v>11.42</v>
      </c>
      <c r="H147" s="63"/>
      <c r="I147" s="63"/>
      <c r="J147" s="63">
        <v>870.5</v>
      </c>
      <c r="K147" s="63">
        <v>99.8</v>
      </c>
      <c r="L147" s="63">
        <v>87.05</v>
      </c>
      <c r="M147" s="63">
        <v>18.8</v>
      </c>
      <c r="N147" s="64" t="b">
        <f>TRUE()</f>
        <v>1</v>
      </c>
      <c r="O147" s="63">
        <v>147</v>
      </c>
    </row>
    <row r="148" spans="1:15" ht="12.75" customHeight="1">
      <c r="A148" s="61" t="s">
        <v>1058</v>
      </c>
      <c r="B148" s="61">
        <v>200</v>
      </c>
      <c r="C148" s="61">
        <v>75</v>
      </c>
      <c r="D148" s="62">
        <v>3.2</v>
      </c>
      <c r="E148" s="62">
        <v>3.2</v>
      </c>
      <c r="F148" s="63">
        <v>11.81</v>
      </c>
      <c r="G148" s="63">
        <v>9.27</v>
      </c>
      <c r="H148" s="63"/>
      <c r="I148" s="63"/>
      <c r="J148" s="63">
        <v>716.2</v>
      </c>
      <c r="K148" s="63">
        <v>83.9</v>
      </c>
      <c r="L148" s="63">
        <v>71.62</v>
      </c>
      <c r="M148" s="63">
        <v>15.81</v>
      </c>
      <c r="N148" s="64" t="b">
        <f>TRUE()</f>
        <v>1</v>
      </c>
      <c r="O148" s="63">
        <v>147</v>
      </c>
    </row>
    <row r="149" spans="1:15" ht="12.75" customHeight="1">
      <c r="A149" s="61" t="s">
        <v>1059</v>
      </c>
      <c r="B149" s="61">
        <v>200</v>
      </c>
      <c r="C149" s="61">
        <v>70</v>
      </c>
      <c r="D149" s="62">
        <v>4.7</v>
      </c>
      <c r="E149" s="62">
        <v>4.7</v>
      </c>
      <c r="F149" s="63">
        <v>16.41</v>
      </c>
      <c r="G149" s="63">
        <v>12.88</v>
      </c>
      <c r="H149" s="63"/>
      <c r="I149" s="63"/>
      <c r="J149" s="63">
        <v>952.8</v>
      </c>
      <c r="K149" s="63">
        <v>94.1</v>
      </c>
      <c r="L149" s="63">
        <v>95.28</v>
      </c>
      <c r="M149" s="63">
        <v>18.84</v>
      </c>
      <c r="N149" s="64" t="b">
        <f>TRUE()</f>
        <v>1</v>
      </c>
      <c r="O149" s="63">
        <v>147</v>
      </c>
    </row>
    <row r="150" spans="1:15" ht="12.75" customHeight="1">
      <c r="A150" s="61" t="s">
        <v>1060</v>
      </c>
      <c r="B150" s="61">
        <v>200</v>
      </c>
      <c r="C150" s="61">
        <v>70</v>
      </c>
      <c r="D150" s="62">
        <v>4.5</v>
      </c>
      <c r="E150" s="62">
        <v>4.5</v>
      </c>
      <c r="F150" s="63">
        <v>15.77</v>
      </c>
      <c r="G150" s="63">
        <v>12.38</v>
      </c>
      <c r="H150" s="63"/>
      <c r="I150" s="63"/>
      <c r="J150" s="63">
        <v>919</v>
      </c>
      <c r="K150" s="63">
        <v>91.3</v>
      </c>
      <c r="L150" s="63">
        <v>91.91</v>
      </c>
      <c r="M150" s="63">
        <v>18.28</v>
      </c>
      <c r="N150" s="64" t="b">
        <f>TRUE()</f>
        <v>1</v>
      </c>
      <c r="O150" s="63">
        <v>147</v>
      </c>
    </row>
    <row r="151" spans="1:15" ht="12.75" customHeight="1">
      <c r="A151" s="61" t="s">
        <v>1061</v>
      </c>
      <c r="B151" s="61">
        <v>200</v>
      </c>
      <c r="C151" s="61">
        <v>70</v>
      </c>
      <c r="D151" s="62">
        <v>4.3</v>
      </c>
      <c r="E151" s="62">
        <v>4.3</v>
      </c>
      <c r="F151" s="63">
        <v>15.12</v>
      </c>
      <c r="G151" s="63">
        <v>11.87</v>
      </c>
      <c r="H151" s="63"/>
      <c r="I151" s="63"/>
      <c r="J151" s="63">
        <v>884.7</v>
      </c>
      <c r="K151" s="63">
        <v>88.5</v>
      </c>
      <c r="L151" s="63">
        <v>88.47</v>
      </c>
      <c r="M151" s="63">
        <v>17.71</v>
      </c>
      <c r="N151" s="64" t="b">
        <f>TRUE()</f>
        <v>1</v>
      </c>
      <c r="O151" s="63">
        <v>147</v>
      </c>
    </row>
    <row r="152" spans="1:15" ht="12.75" customHeight="1">
      <c r="A152" s="61" t="s">
        <v>1062</v>
      </c>
      <c r="B152" s="61">
        <v>200</v>
      </c>
      <c r="C152" s="61">
        <v>70</v>
      </c>
      <c r="D152" s="62">
        <v>4</v>
      </c>
      <c r="E152" s="62">
        <v>4</v>
      </c>
      <c r="F152" s="63">
        <v>14.15</v>
      </c>
      <c r="G152" s="63">
        <v>11.11</v>
      </c>
      <c r="H152" s="63"/>
      <c r="I152" s="63"/>
      <c r="J152" s="63">
        <v>832.1</v>
      </c>
      <c r="K152" s="63">
        <v>83.9</v>
      </c>
      <c r="L152" s="63">
        <v>83.21</v>
      </c>
      <c r="M152" s="63">
        <v>16.81</v>
      </c>
      <c r="N152" s="64" t="b">
        <f>TRUE()</f>
        <v>1</v>
      </c>
      <c r="O152" s="63">
        <v>147</v>
      </c>
    </row>
    <row r="153" spans="1:15" ht="12.75" customHeight="1">
      <c r="A153" s="61" t="s">
        <v>1063</v>
      </c>
      <c r="B153" s="61">
        <v>200</v>
      </c>
      <c r="C153" s="61">
        <v>70</v>
      </c>
      <c r="D153" s="62">
        <v>3.2</v>
      </c>
      <c r="E153" s="62">
        <v>3.2</v>
      </c>
      <c r="F153" s="63">
        <v>11.49</v>
      </c>
      <c r="G153" s="63">
        <v>9.02</v>
      </c>
      <c r="H153" s="63"/>
      <c r="I153" s="63"/>
      <c r="J153" s="63">
        <v>685.3</v>
      </c>
      <c r="K153" s="63">
        <v>70.7</v>
      </c>
      <c r="L153" s="63">
        <v>68.53</v>
      </c>
      <c r="M153" s="63">
        <v>14.18</v>
      </c>
      <c r="N153" s="64" t="b">
        <f>TRUE()</f>
        <v>1</v>
      </c>
      <c r="O153" s="63">
        <v>147</v>
      </c>
    </row>
    <row r="154" spans="1:15" ht="12.75" customHeight="1">
      <c r="A154" s="61" t="s">
        <v>1064</v>
      </c>
      <c r="B154" s="61">
        <v>200</v>
      </c>
      <c r="C154" s="61">
        <v>70</v>
      </c>
      <c r="D154" s="62">
        <v>2.9</v>
      </c>
      <c r="E154" s="62">
        <v>2.9</v>
      </c>
      <c r="F154" s="63">
        <v>10.47</v>
      </c>
      <c r="G154" s="63">
        <v>8.22</v>
      </c>
      <c r="H154" s="63"/>
      <c r="I154" s="63"/>
      <c r="J154" s="63">
        <v>627.7</v>
      </c>
      <c r="K154" s="63">
        <v>65.4</v>
      </c>
      <c r="L154" s="63">
        <v>62.77</v>
      </c>
      <c r="M154" s="63">
        <v>13.1</v>
      </c>
      <c r="N154" s="64" t="b">
        <f>TRUE()</f>
        <v>1</v>
      </c>
      <c r="O154" s="63">
        <v>147</v>
      </c>
    </row>
    <row r="155" spans="1:15" ht="12.75" customHeight="1">
      <c r="A155" s="61" t="s">
        <v>1065</v>
      </c>
      <c r="B155" s="61">
        <v>200</v>
      </c>
      <c r="C155" s="61">
        <v>70</v>
      </c>
      <c r="D155" s="62">
        <v>2.6</v>
      </c>
      <c r="E155" s="62">
        <v>2.6</v>
      </c>
      <c r="F155" s="63">
        <v>9.44</v>
      </c>
      <c r="G155" s="63">
        <v>7.41</v>
      </c>
      <c r="H155" s="63"/>
      <c r="I155" s="63"/>
      <c r="J155" s="63">
        <v>568.8</v>
      </c>
      <c r="K155" s="63">
        <v>59.7</v>
      </c>
      <c r="L155" s="63">
        <v>56.88</v>
      </c>
      <c r="M155" s="63">
        <v>11.98</v>
      </c>
      <c r="N155" s="64" t="b">
        <f>TRUE()</f>
        <v>1</v>
      </c>
      <c r="O155" s="63">
        <v>123.6</v>
      </c>
    </row>
    <row r="156" spans="1:15" ht="12.75" customHeight="1">
      <c r="A156" s="61" t="s">
        <v>1066</v>
      </c>
      <c r="B156" s="61">
        <v>200</v>
      </c>
      <c r="C156" s="61">
        <v>70</v>
      </c>
      <c r="D156" s="62">
        <v>2.3</v>
      </c>
      <c r="E156" s="62">
        <v>2.3</v>
      </c>
      <c r="F156" s="63">
        <v>8.39</v>
      </c>
      <c r="G156" s="63">
        <v>6.59</v>
      </c>
      <c r="H156" s="63"/>
      <c r="I156" s="63"/>
      <c r="J156" s="63">
        <v>508.5</v>
      </c>
      <c r="K156" s="63">
        <v>53.8</v>
      </c>
      <c r="L156" s="63">
        <v>50.85</v>
      </c>
      <c r="M156" s="63">
        <v>10.8</v>
      </c>
      <c r="N156" s="64" t="b">
        <f>TRUE()</f>
        <v>1</v>
      </c>
      <c r="O156" s="63">
        <v>123.6</v>
      </c>
    </row>
    <row r="157" spans="1:15" ht="12.75" customHeight="1">
      <c r="A157" s="61" t="s">
        <v>1067</v>
      </c>
      <c r="B157" s="61">
        <v>200</v>
      </c>
      <c r="C157" s="61">
        <v>70</v>
      </c>
      <c r="D157" s="62">
        <v>2</v>
      </c>
      <c r="E157" s="62">
        <v>2</v>
      </c>
      <c r="F157" s="63">
        <v>7.34</v>
      </c>
      <c r="G157" s="63">
        <v>5.76</v>
      </c>
      <c r="H157" s="63"/>
      <c r="I157" s="63"/>
      <c r="J157" s="63">
        <v>446.9</v>
      </c>
      <c r="K157" s="63">
        <v>47.7</v>
      </c>
      <c r="L157" s="63">
        <v>44.69</v>
      </c>
      <c r="M157" s="63">
        <v>9.57</v>
      </c>
      <c r="N157" s="64" t="b">
        <f>TRUE()</f>
        <v>1</v>
      </c>
      <c r="O157" s="63">
        <v>123.6</v>
      </c>
    </row>
    <row r="158" spans="1:15" ht="12.75" customHeight="1">
      <c r="A158" s="61" t="s">
        <v>1068</v>
      </c>
      <c r="B158" s="61">
        <v>200</v>
      </c>
      <c r="C158" s="61">
        <v>70</v>
      </c>
      <c r="D158" s="62">
        <v>1.8</v>
      </c>
      <c r="E158" s="62">
        <v>1.8</v>
      </c>
      <c r="F158" s="63">
        <v>6.63</v>
      </c>
      <c r="G158" s="63">
        <v>5.2</v>
      </c>
      <c r="H158" s="63"/>
      <c r="I158" s="63"/>
      <c r="J158" s="63">
        <v>405</v>
      </c>
      <c r="K158" s="63">
        <v>43.4</v>
      </c>
      <c r="L158" s="63">
        <v>40.5</v>
      </c>
      <c r="M158" s="63">
        <v>8.72</v>
      </c>
      <c r="N158" s="64" t="b">
        <f>TRUE()</f>
        <v>1</v>
      </c>
      <c r="O158" s="63">
        <v>123.6</v>
      </c>
    </row>
    <row r="159" spans="1:15" ht="12.75" customHeight="1">
      <c r="A159" s="61" t="s">
        <v>1069</v>
      </c>
      <c r="B159" s="61">
        <v>200</v>
      </c>
      <c r="C159" s="61">
        <v>70</v>
      </c>
      <c r="D159" s="62">
        <v>1.6</v>
      </c>
      <c r="E159" s="62">
        <v>1.6</v>
      </c>
      <c r="F159" s="63">
        <v>5.91</v>
      </c>
      <c r="G159" s="63">
        <v>4.64</v>
      </c>
      <c r="H159" s="63"/>
      <c r="I159" s="63"/>
      <c r="J159" s="63">
        <v>362.5</v>
      </c>
      <c r="K159" s="63">
        <v>39.1</v>
      </c>
      <c r="L159" s="63">
        <v>36.25</v>
      </c>
      <c r="M159" s="63">
        <v>7.85</v>
      </c>
      <c r="N159" s="64" t="b">
        <f>TRUE()</f>
        <v>1</v>
      </c>
      <c r="O159" s="63">
        <v>123.6</v>
      </c>
    </row>
    <row r="160" spans="1:15" ht="12.75" customHeight="1">
      <c r="A160" s="61" t="s">
        <v>1070</v>
      </c>
      <c r="B160" s="61">
        <v>185</v>
      </c>
      <c r="C160" s="61">
        <v>50</v>
      </c>
      <c r="D160" s="62">
        <v>3.2</v>
      </c>
      <c r="E160" s="62">
        <v>3.2</v>
      </c>
      <c r="F160" s="63">
        <v>9.73</v>
      </c>
      <c r="G160" s="63">
        <v>7.64</v>
      </c>
      <c r="H160" s="63"/>
      <c r="I160" s="63"/>
      <c r="J160" s="63">
        <v>464.5</v>
      </c>
      <c r="K160" s="63">
        <v>30.1</v>
      </c>
      <c r="L160" s="63">
        <v>50.21</v>
      </c>
      <c r="M160" s="63">
        <v>8.33</v>
      </c>
      <c r="N160" s="64" t="b">
        <f>TRUE()</f>
        <v>1</v>
      </c>
      <c r="O160" s="63">
        <v>147</v>
      </c>
    </row>
    <row r="161" spans="1:15" ht="12.75" customHeight="1">
      <c r="A161" s="61" t="s">
        <v>1071</v>
      </c>
      <c r="B161" s="61">
        <v>185</v>
      </c>
      <c r="C161" s="61">
        <v>50</v>
      </c>
      <c r="D161" s="62">
        <v>2.3</v>
      </c>
      <c r="E161" s="62">
        <v>2.3</v>
      </c>
      <c r="F161" s="63">
        <v>7.13</v>
      </c>
      <c r="G161" s="63">
        <v>5.6</v>
      </c>
      <c r="H161" s="63"/>
      <c r="I161" s="63"/>
      <c r="J161" s="63">
        <v>346.9</v>
      </c>
      <c r="K161" s="63">
        <v>23.3</v>
      </c>
      <c r="L161" s="63">
        <v>37.5</v>
      </c>
      <c r="M161" s="63">
        <v>6.45</v>
      </c>
      <c r="N161" s="64" t="b">
        <f>TRUE()</f>
        <v>1</v>
      </c>
      <c r="O161" s="63">
        <v>123.6</v>
      </c>
    </row>
    <row r="162" spans="1:15" ht="12.75" customHeight="1">
      <c r="A162" s="61" t="s">
        <v>1072</v>
      </c>
      <c r="B162" s="61">
        <v>185</v>
      </c>
      <c r="C162" s="61">
        <v>50</v>
      </c>
      <c r="D162" s="62">
        <v>2</v>
      </c>
      <c r="E162" s="62">
        <v>2</v>
      </c>
      <c r="F162" s="63">
        <v>6.24</v>
      </c>
      <c r="G162" s="63">
        <v>4.9</v>
      </c>
      <c r="H162" s="63"/>
      <c r="I162" s="63"/>
      <c r="J162" s="63">
        <v>305.5</v>
      </c>
      <c r="K162" s="63">
        <v>20.8</v>
      </c>
      <c r="L162" s="63">
        <v>33.03</v>
      </c>
      <c r="M162" s="63">
        <v>5.74</v>
      </c>
      <c r="N162" s="64" t="b">
        <f>TRUE()</f>
        <v>1</v>
      </c>
      <c r="O162" s="63">
        <v>123.6</v>
      </c>
    </row>
    <row r="163" spans="1:15" ht="12.75" customHeight="1">
      <c r="A163" s="61" t="s">
        <v>1073</v>
      </c>
      <c r="B163" s="61">
        <v>175</v>
      </c>
      <c r="C163" s="61">
        <v>50</v>
      </c>
      <c r="D163" s="62">
        <v>4.3</v>
      </c>
      <c r="E163" s="62">
        <v>4.3</v>
      </c>
      <c r="F163" s="63">
        <v>12.33</v>
      </c>
      <c r="G163" s="63">
        <v>9.68</v>
      </c>
      <c r="H163" s="63"/>
      <c r="I163" s="63"/>
      <c r="J163" s="63">
        <v>519</v>
      </c>
      <c r="K163" s="63">
        <v>36.2</v>
      </c>
      <c r="L163" s="63">
        <v>59.32</v>
      </c>
      <c r="M163" s="63">
        <v>10.12</v>
      </c>
      <c r="N163" s="64" t="b">
        <f>TRUE()</f>
        <v>1</v>
      </c>
      <c r="O163" s="63">
        <v>147</v>
      </c>
    </row>
    <row r="164" spans="1:15" ht="12.75" customHeight="1">
      <c r="A164" s="61" t="s">
        <v>1074</v>
      </c>
      <c r="B164" s="61">
        <v>175</v>
      </c>
      <c r="C164" s="61">
        <v>50</v>
      </c>
      <c r="D164" s="62">
        <v>4</v>
      </c>
      <c r="E164" s="62">
        <v>4</v>
      </c>
      <c r="F164" s="63">
        <v>11.55</v>
      </c>
      <c r="G164" s="63">
        <v>9.07</v>
      </c>
      <c r="H164" s="63"/>
      <c r="I164" s="63"/>
      <c r="J164" s="63">
        <v>489.5</v>
      </c>
      <c r="K164" s="63">
        <v>34.6</v>
      </c>
      <c r="L164" s="63">
        <v>55.94</v>
      </c>
      <c r="M164" s="63">
        <v>9.67</v>
      </c>
      <c r="N164" s="64" t="b">
        <f>TRUE()</f>
        <v>1</v>
      </c>
      <c r="O164" s="63">
        <v>147</v>
      </c>
    </row>
    <row r="165" spans="1:15" ht="12.75" customHeight="1">
      <c r="A165" s="61" t="s">
        <v>1075</v>
      </c>
      <c r="B165" s="61">
        <v>175</v>
      </c>
      <c r="C165" s="61">
        <v>50</v>
      </c>
      <c r="D165" s="62">
        <v>3.2</v>
      </c>
      <c r="E165" s="62">
        <v>3.2</v>
      </c>
      <c r="F165" s="63">
        <v>9.41</v>
      </c>
      <c r="G165" s="63">
        <v>7.38</v>
      </c>
      <c r="H165" s="63"/>
      <c r="I165" s="63"/>
      <c r="J165" s="63">
        <v>406</v>
      </c>
      <c r="K165" s="63">
        <v>29.6</v>
      </c>
      <c r="L165" s="63">
        <v>46.4</v>
      </c>
      <c r="M165" s="63">
        <v>8.28</v>
      </c>
      <c r="N165" s="64" t="b">
        <f>TRUE()</f>
        <v>1</v>
      </c>
      <c r="O165" s="63">
        <v>147</v>
      </c>
    </row>
    <row r="166" spans="1:15" ht="12.75" customHeight="1">
      <c r="A166" s="61" t="s">
        <v>1076</v>
      </c>
      <c r="B166" s="61">
        <v>175</v>
      </c>
      <c r="C166" s="61">
        <v>50</v>
      </c>
      <c r="D166" s="62">
        <v>2.9</v>
      </c>
      <c r="E166" s="62">
        <v>2.9</v>
      </c>
      <c r="F166" s="63">
        <v>8.58</v>
      </c>
      <c r="G166" s="63">
        <v>6.74</v>
      </c>
      <c r="H166" s="63"/>
      <c r="I166" s="63"/>
      <c r="J166" s="63">
        <v>372.9</v>
      </c>
      <c r="K166" s="63">
        <v>27.5</v>
      </c>
      <c r="L166" s="63">
        <v>42.61</v>
      </c>
      <c r="M166" s="63">
        <v>7.7</v>
      </c>
      <c r="N166" s="64" t="b">
        <f>TRUE()</f>
        <v>1</v>
      </c>
      <c r="O166" s="63">
        <v>147</v>
      </c>
    </row>
    <row r="167" spans="1:15" ht="12.75" customHeight="1">
      <c r="A167" s="61" t="s">
        <v>1077</v>
      </c>
      <c r="B167" s="61">
        <v>175</v>
      </c>
      <c r="C167" s="61">
        <v>50</v>
      </c>
      <c r="D167" s="62">
        <v>2.6</v>
      </c>
      <c r="E167" s="62">
        <v>2.6</v>
      </c>
      <c r="F167" s="63">
        <v>7.75</v>
      </c>
      <c r="G167" s="63">
        <v>6.08</v>
      </c>
      <c r="H167" s="63"/>
      <c r="I167" s="63"/>
      <c r="J167" s="63">
        <v>338.7</v>
      </c>
      <c r="K167" s="63">
        <v>25.3</v>
      </c>
      <c r="L167" s="63">
        <v>38.71</v>
      </c>
      <c r="M167" s="63">
        <v>7.08</v>
      </c>
      <c r="N167" s="64" t="b">
        <f>TRUE()</f>
        <v>1</v>
      </c>
      <c r="O167" s="63">
        <v>123.6</v>
      </c>
    </row>
    <row r="168" spans="1:15" ht="12.75" customHeight="1">
      <c r="A168" s="61" t="s">
        <v>1078</v>
      </c>
      <c r="B168" s="61">
        <v>175</v>
      </c>
      <c r="C168" s="61">
        <v>50</v>
      </c>
      <c r="D168" s="62">
        <v>2.3</v>
      </c>
      <c r="E168" s="62">
        <v>2.3</v>
      </c>
      <c r="F168" s="63">
        <v>6.9</v>
      </c>
      <c r="G168" s="63">
        <v>5.41</v>
      </c>
      <c r="H168" s="63"/>
      <c r="I168" s="63"/>
      <c r="J168" s="63">
        <v>303.6</v>
      </c>
      <c r="K168" s="63">
        <v>22.9</v>
      </c>
      <c r="L168" s="63">
        <v>34.7</v>
      </c>
      <c r="M168" s="63">
        <v>6.41</v>
      </c>
      <c r="N168" s="64" t="b">
        <f>TRUE()</f>
        <v>1</v>
      </c>
      <c r="O168" s="63">
        <v>123.6</v>
      </c>
    </row>
    <row r="169" spans="1:15" ht="12.75" customHeight="1">
      <c r="A169" s="61" t="s">
        <v>1079</v>
      </c>
      <c r="B169" s="61">
        <v>175</v>
      </c>
      <c r="C169" s="61">
        <v>50</v>
      </c>
      <c r="D169" s="62">
        <v>2</v>
      </c>
      <c r="E169" s="62">
        <v>2</v>
      </c>
      <c r="F169" s="63">
        <v>6.04</v>
      </c>
      <c r="G169" s="63">
        <v>4.74</v>
      </c>
      <c r="H169" s="63"/>
      <c r="I169" s="63"/>
      <c r="J169" s="63">
        <v>267.4</v>
      </c>
      <c r="K169" s="63">
        <v>20.4</v>
      </c>
      <c r="L169" s="63">
        <v>30.56</v>
      </c>
      <c r="M169" s="63">
        <v>5.71</v>
      </c>
      <c r="N169" s="64" t="b">
        <f>TRUE()</f>
        <v>1</v>
      </c>
      <c r="O169" s="63">
        <v>123.6</v>
      </c>
    </row>
    <row r="170" spans="1:15" ht="12.75" customHeight="1">
      <c r="A170" s="61" t="s">
        <v>1080</v>
      </c>
      <c r="B170" s="61">
        <v>175</v>
      </c>
      <c r="C170" s="61">
        <v>50</v>
      </c>
      <c r="D170" s="62">
        <v>1.8</v>
      </c>
      <c r="E170" s="62">
        <v>1.8</v>
      </c>
      <c r="F170" s="63">
        <v>5.46</v>
      </c>
      <c r="G170" s="63">
        <v>4.28</v>
      </c>
      <c r="H170" s="63"/>
      <c r="I170" s="63"/>
      <c r="J170" s="63">
        <v>242.8</v>
      </c>
      <c r="K170" s="63">
        <v>18.7</v>
      </c>
      <c r="L170" s="63">
        <v>27.75</v>
      </c>
      <c r="M170" s="63">
        <v>5.23</v>
      </c>
      <c r="N170" s="64" t="b">
        <f>TRUE()</f>
        <v>1</v>
      </c>
      <c r="O170" s="63">
        <v>123.6</v>
      </c>
    </row>
    <row r="171" spans="1:15" ht="12.75" customHeight="1">
      <c r="A171" s="61" t="s">
        <v>1081</v>
      </c>
      <c r="B171" s="61">
        <v>175</v>
      </c>
      <c r="C171" s="61">
        <v>50</v>
      </c>
      <c r="D171" s="62">
        <v>1.6</v>
      </c>
      <c r="E171" s="62">
        <v>1.6</v>
      </c>
      <c r="F171" s="63">
        <v>4.87</v>
      </c>
      <c r="G171" s="63">
        <v>3.82</v>
      </c>
      <c r="H171" s="63"/>
      <c r="I171" s="63"/>
      <c r="J171" s="63">
        <v>217.6</v>
      </c>
      <c r="K171" s="63">
        <v>16.9</v>
      </c>
      <c r="L171" s="63">
        <v>24.87</v>
      </c>
      <c r="M171" s="63">
        <v>4.72</v>
      </c>
      <c r="N171" s="64" t="b">
        <f>TRUE()</f>
        <v>1</v>
      </c>
      <c r="O171" s="63">
        <v>123.6</v>
      </c>
    </row>
    <row r="172" spans="1:15" ht="12.75" customHeight="1">
      <c r="A172" s="61" t="s">
        <v>1082</v>
      </c>
      <c r="B172" s="61">
        <v>150</v>
      </c>
      <c r="C172" s="61">
        <v>75</v>
      </c>
      <c r="D172" s="62">
        <v>4</v>
      </c>
      <c r="E172" s="62">
        <v>4</v>
      </c>
      <c r="F172" s="63">
        <v>12.95</v>
      </c>
      <c r="G172" s="63">
        <v>10.16</v>
      </c>
      <c r="H172" s="63"/>
      <c r="I172" s="63"/>
      <c r="J172" s="63">
        <v>454.3</v>
      </c>
      <c r="K172" s="63">
        <v>99.6</v>
      </c>
      <c r="L172" s="63">
        <v>60.57</v>
      </c>
      <c r="M172" s="63">
        <v>20.55</v>
      </c>
      <c r="N172" s="64" t="b">
        <f>TRUE()</f>
        <v>1</v>
      </c>
      <c r="O172" s="63">
        <v>147</v>
      </c>
    </row>
    <row r="173" spans="1:15" ht="12.75" customHeight="1">
      <c r="A173" s="61" t="s">
        <v>1083</v>
      </c>
      <c r="B173" s="61">
        <v>150</v>
      </c>
      <c r="C173" s="61">
        <v>75</v>
      </c>
      <c r="D173" s="62">
        <v>3.2</v>
      </c>
      <c r="E173" s="62">
        <v>3.2</v>
      </c>
      <c r="F173" s="63">
        <v>10.53</v>
      </c>
      <c r="G173" s="63">
        <v>8.26</v>
      </c>
      <c r="H173" s="63"/>
      <c r="I173" s="63"/>
      <c r="J173" s="63">
        <v>375.1</v>
      </c>
      <c r="K173" s="63">
        <v>83.5</v>
      </c>
      <c r="L173" s="63">
        <v>50.01</v>
      </c>
      <c r="M173" s="63">
        <v>17.25</v>
      </c>
      <c r="N173" s="64" t="b">
        <f>TRUE()</f>
        <v>1</v>
      </c>
      <c r="O173" s="63">
        <v>147</v>
      </c>
    </row>
    <row r="174" spans="1:15" ht="12.75" customHeight="1">
      <c r="A174" s="61" t="s">
        <v>1084</v>
      </c>
      <c r="B174" s="61">
        <v>150</v>
      </c>
      <c r="C174" s="61">
        <v>75</v>
      </c>
      <c r="D174" s="62">
        <v>4</v>
      </c>
      <c r="E174" s="62">
        <v>4</v>
      </c>
      <c r="F174" s="63">
        <v>12.55</v>
      </c>
      <c r="G174" s="63">
        <v>9.85</v>
      </c>
      <c r="H174" s="63"/>
      <c r="I174" s="63"/>
      <c r="J174" s="63">
        <v>443.2</v>
      </c>
      <c r="K174" s="63">
        <v>90.7</v>
      </c>
      <c r="L174" s="63">
        <v>59.1</v>
      </c>
      <c r="M174" s="63">
        <v>18.16</v>
      </c>
      <c r="N174" s="64" t="b">
        <f>TRUE()</f>
        <v>1</v>
      </c>
      <c r="O174" s="63">
        <v>147</v>
      </c>
    </row>
    <row r="175" spans="1:15" ht="12.75" customHeight="1">
      <c r="A175" s="61" t="s">
        <v>1085</v>
      </c>
      <c r="B175" s="61">
        <v>150</v>
      </c>
      <c r="C175" s="61">
        <v>75</v>
      </c>
      <c r="D175" s="62">
        <v>3.2</v>
      </c>
      <c r="E175" s="62">
        <v>3.2</v>
      </c>
      <c r="F175" s="63">
        <v>10.21</v>
      </c>
      <c r="G175" s="63">
        <v>8.01</v>
      </c>
      <c r="H175" s="63"/>
      <c r="I175" s="63"/>
      <c r="J175" s="63">
        <v>366.3</v>
      </c>
      <c r="K175" s="63">
        <v>76.3</v>
      </c>
      <c r="L175" s="63">
        <v>48.84</v>
      </c>
      <c r="M175" s="63">
        <v>15.29</v>
      </c>
      <c r="N175" s="64" t="b">
        <f>TRUE()</f>
        <v>1</v>
      </c>
      <c r="O175" s="63">
        <v>147</v>
      </c>
    </row>
    <row r="176" spans="1:15" ht="12.75" customHeight="1">
      <c r="A176" s="61" t="s">
        <v>1086</v>
      </c>
      <c r="B176" s="61">
        <v>150</v>
      </c>
      <c r="C176" s="61">
        <v>65</v>
      </c>
      <c r="D176" s="62">
        <v>4</v>
      </c>
      <c r="E176" s="62">
        <v>4</v>
      </c>
      <c r="F176" s="63">
        <v>11.75</v>
      </c>
      <c r="G176" s="63">
        <v>9.22</v>
      </c>
      <c r="H176" s="63"/>
      <c r="I176" s="63"/>
      <c r="J176" s="63">
        <v>400.6</v>
      </c>
      <c r="K176" s="63">
        <v>63.4</v>
      </c>
      <c r="L176" s="63">
        <v>53.41</v>
      </c>
      <c r="M176" s="63">
        <v>14.44</v>
      </c>
      <c r="N176" s="64" t="b">
        <f>TRUE()</f>
        <v>1</v>
      </c>
      <c r="O176" s="63">
        <v>147</v>
      </c>
    </row>
    <row r="177" spans="1:15" ht="12.75" customHeight="1">
      <c r="A177" s="61" t="s">
        <v>1087</v>
      </c>
      <c r="B177" s="61">
        <v>150</v>
      </c>
      <c r="C177" s="61">
        <v>65</v>
      </c>
      <c r="D177" s="62">
        <v>3.2</v>
      </c>
      <c r="E177" s="62">
        <v>3.2</v>
      </c>
      <c r="F177" s="63">
        <v>9.57</v>
      </c>
      <c r="G177" s="63">
        <v>7.51</v>
      </c>
      <c r="H177" s="63"/>
      <c r="I177" s="63"/>
      <c r="J177" s="63">
        <v>331.8</v>
      </c>
      <c r="K177" s="63">
        <v>53.7</v>
      </c>
      <c r="L177" s="63">
        <v>44.24</v>
      </c>
      <c r="M177" s="63">
        <v>12.23</v>
      </c>
      <c r="N177" s="64" t="b">
        <f>TRUE()</f>
        <v>1</v>
      </c>
      <c r="O177" s="63">
        <v>147</v>
      </c>
    </row>
    <row r="178" spans="1:15" ht="12.75" customHeight="1">
      <c r="A178" s="61" t="s">
        <v>1088</v>
      </c>
      <c r="B178" s="61">
        <v>150</v>
      </c>
      <c r="C178" s="61">
        <v>65</v>
      </c>
      <c r="D178" s="62">
        <v>2.3</v>
      </c>
      <c r="E178" s="62">
        <v>2.3</v>
      </c>
      <c r="F178" s="63">
        <v>7.01</v>
      </c>
      <c r="G178" s="63">
        <v>5.5</v>
      </c>
      <c r="H178" s="63"/>
      <c r="I178" s="63"/>
      <c r="J178" s="63">
        <v>247.7</v>
      </c>
      <c r="K178" s="63">
        <v>41</v>
      </c>
      <c r="L178" s="63">
        <v>33.03</v>
      </c>
      <c r="M178" s="63">
        <v>9.36</v>
      </c>
      <c r="N178" s="64" t="b">
        <f>TRUE()</f>
        <v>1</v>
      </c>
      <c r="O178" s="63">
        <v>123.6</v>
      </c>
    </row>
    <row r="179" spans="1:15" ht="12.75" customHeight="1">
      <c r="A179" s="61" t="s">
        <v>1089</v>
      </c>
      <c r="B179" s="61">
        <v>150</v>
      </c>
      <c r="C179" s="61">
        <v>50</v>
      </c>
      <c r="D179" s="62">
        <v>3.2</v>
      </c>
      <c r="E179" s="62">
        <v>3.2</v>
      </c>
      <c r="F179" s="63">
        <v>8.61</v>
      </c>
      <c r="G179" s="63">
        <v>6.76</v>
      </c>
      <c r="H179" s="63"/>
      <c r="I179" s="63"/>
      <c r="J179" s="63">
        <v>280.1</v>
      </c>
      <c r="K179" s="63">
        <v>28.2</v>
      </c>
      <c r="L179" s="63">
        <v>37.34</v>
      </c>
      <c r="M179" s="63">
        <v>8.16</v>
      </c>
      <c r="N179" s="64" t="b">
        <f>TRUE()</f>
        <v>1</v>
      </c>
      <c r="O179" s="63">
        <v>147</v>
      </c>
    </row>
    <row r="180" spans="1:15" ht="12.75" customHeight="1">
      <c r="A180" s="61" t="s">
        <v>1090</v>
      </c>
      <c r="B180" s="61">
        <v>150</v>
      </c>
      <c r="C180" s="61">
        <v>50</v>
      </c>
      <c r="D180" s="62">
        <v>2.3</v>
      </c>
      <c r="E180" s="62">
        <v>2.3</v>
      </c>
      <c r="F180" s="63">
        <v>6.32</v>
      </c>
      <c r="G180" s="63">
        <v>4.96</v>
      </c>
      <c r="H180" s="63"/>
      <c r="I180" s="63"/>
      <c r="J180" s="63">
        <v>210.1</v>
      </c>
      <c r="K180" s="63">
        <v>21.8</v>
      </c>
      <c r="L180" s="63">
        <v>28.02</v>
      </c>
      <c r="M180" s="63">
        <v>6.32</v>
      </c>
      <c r="N180" s="64" t="b">
        <f>TRUE()</f>
        <v>1</v>
      </c>
      <c r="O180" s="63">
        <v>123.6</v>
      </c>
    </row>
    <row r="181" spans="1:15" ht="12.75" customHeight="1">
      <c r="A181" s="61" t="s">
        <v>1091</v>
      </c>
      <c r="B181" s="61">
        <v>150</v>
      </c>
      <c r="C181" s="61">
        <v>50</v>
      </c>
      <c r="D181" s="62">
        <v>4.3</v>
      </c>
      <c r="E181" s="62">
        <v>4.3</v>
      </c>
      <c r="F181" s="63">
        <v>11.08</v>
      </c>
      <c r="G181" s="63">
        <v>8.7</v>
      </c>
      <c r="H181" s="63"/>
      <c r="I181" s="63"/>
      <c r="J181" s="63">
        <v>351.1</v>
      </c>
      <c r="K181" s="63">
        <v>32.6</v>
      </c>
      <c r="L181" s="63">
        <v>46.82</v>
      </c>
      <c r="M181" s="63">
        <v>9.3</v>
      </c>
      <c r="N181" s="64" t="b">
        <f>TRUE()</f>
        <v>1</v>
      </c>
      <c r="O181" s="63">
        <v>147</v>
      </c>
    </row>
    <row r="182" spans="1:15" ht="12.75" customHeight="1">
      <c r="A182" s="61" t="s">
        <v>1092</v>
      </c>
      <c r="B182" s="61">
        <v>150</v>
      </c>
      <c r="C182" s="61">
        <v>50</v>
      </c>
      <c r="D182" s="62">
        <v>4</v>
      </c>
      <c r="E182" s="62">
        <v>4</v>
      </c>
      <c r="F182" s="63">
        <v>10.39</v>
      </c>
      <c r="G182" s="63">
        <v>8.15</v>
      </c>
      <c r="H182" s="63"/>
      <c r="I182" s="63"/>
      <c r="J182" s="63">
        <v>331.6</v>
      </c>
      <c r="K182" s="63">
        <v>31.2</v>
      </c>
      <c r="L182" s="63">
        <v>44.22</v>
      </c>
      <c r="M182" s="63">
        <v>8.89</v>
      </c>
      <c r="N182" s="64" t="b">
        <f>TRUE()</f>
        <v>1</v>
      </c>
      <c r="O182" s="63">
        <v>147</v>
      </c>
    </row>
    <row r="183" spans="1:15" ht="12.75" customHeight="1">
      <c r="A183" s="61" t="s">
        <v>1093</v>
      </c>
      <c r="B183" s="61">
        <v>150</v>
      </c>
      <c r="C183" s="61">
        <v>50</v>
      </c>
      <c r="D183" s="62">
        <v>3.2</v>
      </c>
      <c r="E183" s="62">
        <v>3.2</v>
      </c>
      <c r="F183" s="63">
        <v>8.48</v>
      </c>
      <c r="G183" s="63">
        <v>6.66</v>
      </c>
      <c r="H183" s="63"/>
      <c r="I183" s="63"/>
      <c r="J183" s="63">
        <v>276.1</v>
      </c>
      <c r="K183" s="63">
        <v>26.8</v>
      </c>
      <c r="L183" s="63">
        <v>36.81</v>
      </c>
      <c r="M183" s="63">
        <v>7.64</v>
      </c>
      <c r="N183" s="64" t="b">
        <f>TRUE()</f>
        <v>1</v>
      </c>
      <c r="O183" s="63">
        <v>147</v>
      </c>
    </row>
    <row r="184" spans="1:15" ht="12.75" customHeight="1">
      <c r="A184" s="61" t="s">
        <v>1094</v>
      </c>
      <c r="B184" s="61">
        <v>150</v>
      </c>
      <c r="C184" s="61">
        <v>50</v>
      </c>
      <c r="D184" s="62">
        <v>2.9</v>
      </c>
      <c r="E184" s="62">
        <v>2.9</v>
      </c>
      <c r="F184" s="63">
        <v>7.74</v>
      </c>
      <c r="G184" s="63">
        <v>6.08</v>
      </c>
      <c r="H184" s="63"/>
      <c r="I184" s="63"/>
      <c r="J184" s="63">
        <v>253.9</v>
      </c>
      <c r="K184" s="63">
        <v>24.9</v>
      </c>
      <c r="L184" s="63">
        <v>33.85</v>
      </c>
      <c r="M184" s="63">
        <v>7.11</v>
      </c>
      <c r="N184" s="64" t="b">
        <f>TRUE()</f>
        <v>1</v>
      </c>
      <c r="O184" s="63">
        <v>147</v>
      </c>
    </row>
    <row r="185" spans="1:15" ht="12.75" customHeight="1">
      <c r="A185" s="61" t="s">
        <v>1095</v>
      </c>
      <c r="B185" s="61">
        <v>150</v>
      </c>
      <c r="C185" s="61">
        <v>50</v>
      </c>
      <c r="D185" s="62">
        <v>2.6</v>
      </c>
      <c r="E185" s="62">
        <v>2.6</v>
      </c>
      <c r="F185" s="63">
        <v>6.99</v>
      </c>
      <c r="G185" s="63">
        <v>5.49</v>
      </c>
      <c r="H185" s="63"/>
      <c r="I185" s="63"/>
      <c r="J185" s="63">
        <v>230.9</v>
      </c>
      <c r="K185" s="63">
        <v>22.9</v>
      </c>
      <c r="L185" s="63">
        <v>30.79</v>
      </c>
      <c r="M185" s="63">
        <v>6.54</v>
      </c>
      <c r="N185" s="64" t="b">
        <f>TRUE()</f>
        <v>1</v>
      </c>
      <c r="O185" s="63">
        <v>123.6</v>
      </c>
    </row>
    <row r="186" spans="1:15" ht="12.75" customHeight="1">
      <c r="A186" s="61" t="s">
        <v>1096</v>
      </c>
      <c r="B186" s="61">
        <v>150</v>
      </c>
      <c r="C186" s="61">
        <v>50</v>
      </c>
      <c r="D186" s="62">
        <v>2.3</v>
      </c>
      <c r="E186" s="62">
        <v>2.3</v>
      </c>
      <c r="F186" s="63">
        <v>6.23</v>
      </c>
      <c r="G186" s="63">
        <v>4.89</v>
      </c>
      <c r="H186" s="63"/>
      <c r="I186" s="63"/>
      <c r="J186" s="63">
        <v>207.2</v>
      </c>
      <c r="K186" s="63">
        <v>20.8</v>
      </c>
      <c r="L186" s="63">
        <v>27.63</v>
      </c>
      <c r="M186" s="63">
        <v>5.94</v>
      </c>
      <c r="N186" s="64" t="b">
        <f>TRUE()</f>
        <v>1</v>
      </c>
      <c r="O186" s="63">
        <v>123.6</v>
      </c>
    </row>
    <row r="187" spans="1:15" ht="12.75" customHeight="1">
      <c r="A187" s="61" t="s">
        <v>1097</v>
      </c>
      <c r="B187" s="61">
        <v>150</v>
      </c>
      <c r="C187" s="61">
        <v>50</v>
      </c>
      <c r="D187" s="62">
        <v>2</v>
      </c>
      <c r="E187" s="62">
        <v>2</v>
      </c>
      <c r="F187" s="63">
        <v>5.46</v>
      </c>
      <c r="G187" s="63">
        <v>4.28</v>
      </c>
      <c r="H187" s="63"/>
      <c r="I187" s="63"/>
      <c r="J187" s="63">
        <v>182.8</v>
      </c>
      <c r="K187" s="63">
        <v>18.5</v>
      </c>
      <c r="L187" s="63">
        <v>24.37</v>
      </c>
      <c r="M187" s="63">
        <v>5.3</v>
      </c>
      <c r="N187" s="64" t="b">
        <f>TRUE()</f>
        <v>1</v>
      </c>
      <c r="O187" s="63">
        <v>123.6</v>
      </c>
    </row>
    <row r="188" spans="1:15" ht="12.75" customHeight="1">
      <c r="A188" s="61" t="s">
        <v>1098</v>
      </c>
      <c r="B188" s="61">
        <v>150</v>
      </c>
      <c r="C188" s="61">
        <v>50</v>
      </c>
      <c r="D188" s="62">
        <v>1.8</v>
      </c>
      <c r="E188" s="62">
        <v>1.8</v>
      </c>
      <c r="F188" s="63">
        <v>4.94</v>
      </c>
      <c r="G188" s="63">
        <v>3.87</v>
      </c>
      <c r="H188" s="63"/>
      <c r="I188" s="63"/>
      <c r="J188" s="63">
        <v>166.1</v>
      </c>
      <c r="K188" s="63">
        <v>17</v>
      </c>
      <c r="L188" s="63">
        <v>22.14</v>
      </c>
      <c r="M188" s="63">
        <v>4.85</v>
      </c>
      <c r="N188" s="64" t="b">
        <f>TRUE()</f>
        <v>1</v>
      </c>
      <c r="O188" s="63">
        <v>123.6</v>
      </c>
    </row>
    <row r="189" spans="1:15" ht="12.75" customHeight="1">
      <c r="A189" s="61" t="s">
        <v>1099</v>
      </c>
      <c r="B189" s="61">
        <v>150</v>
      </c>
      <c r="C189" s="61">
        <v>50</v>
      </c>
      <c r="D189" s="62">
        <v>1.6</v>
      </c>
      <c r="E189" s="62">
        <v>1.6</v>
      </c>
      <c r="F189" s="63">
        <v>4.41</v>
      </c>
      <c r="G189" s="63">
        <v>3.46</v>
      </c>
      <c r="H189" s="63"/>
      <c r="I189" s="63"/>
      <c r="J189" s="63">
        <v>149</v>
      </c>
      <c r="K189" s="63">
        <v>15.3</v>
      </c>
      <c r="L189" s="63">
        <v>19.87</v>
      </c>
      <c r="M189" s="63">
        <v>4.38</v>
      </c>
      <c r="N189" s="64" t="b">
        <f>TRUE()</f>
        <v>1</v>
      </c>
      <c r="O189" s="63">
        <v>123.6</v>
      </c>
    </row>
    <row r="190" spans="1:15" ht="12.75" customHeight="1">
      <c r="A190" s="61" t="s">
        <v>1100</v>
      </c>
      <c r="B190" s="61">
        <v>125</v>
      </c>
      <c r="C190" s="61">
        <v>50</v>
      </c>
      <c r="D190" s="62">
        <v>4</v>
      </c>
      <c r="E190" s="62">
        <v>4</v>
      </c>
      <c r="F190" s="63">
        <v>9.55</v>
      </c>
      <c r="G190" s="63">
        <v>7.5</v>
      </c>
      <c r="H190" s="63"/>
      <c r="I190" s="63"/>
      <c r="J190" s="63">
        <v>216.7</v>
      </c>
      <c r="K190" s="63">
        <v>30.9</v>
      </c>
      <c r="L190" s="63">
        <v>34.68</v>
      </c>
      <c r="M190" s="63">
        <v>9.32</v>
      </c>
      <c r="N190" s="64" t="b">
        <f>TRUE()</f>
        <v>1</v>
      </c>
      <c r="O190" s="63">
        <v>147</v>
      </c>
    </row>
    <row r="191" spans="1:15" ht="12.75" customHeight="1">
      <c r="A191" s="61" t="s">
        <v>1101</v>
      </c>
      <c r="B191" s="61">
        <v>125</v>
      </c>
      <c r="C191" s="61">
        <v>50</v>
      </c>
      <c r="D191" s="62">
        <v>3.2</v>
      </c>
      <c r="E191" s="62">
        <v>3.2</v>
      </c>
      <c r="F191" s="63">
        <v>7.81</v>
      </c>
      <c r="G191" s="63">
        <v>6.13</v>
      </c>
      <c r="H191" s="63"/>
      <c r="I191" s="63"/>
      <c r="J191" s="63">
        <v>181</v>
      </c>
      <c r="K191" s="63">
        <v>26.5</v>
      </c>
      <c r="L191" s="63">
        <v>28.97</v>
      </c>
      <c r="M191" s="63">
        <v>8</v>
      </c>
      <c r="N191" s="64" t="b">
        <f>TRUE()</f>
        <v>1</v>
      </c>
      <c r="O191" s="63">
        <v>147</v>
      </c>
    </row>
    <row r="192" spans="1:15" ht="12.75" customHeight="1">
      <c r="A192" s="61" t="s">
        <v>1102</v>
      </c>
      <c r="B192" s="61">
        <v>125</v>
      </c>
      <c r="C192" s="61">
        <v>50</v>
      </c>
      <c r="D192" s="62">
        <v>2.3</v>
      </c>
      <c r="E192" s="62">
        <v>2.3</v>
      </c>
      <c r="F192" s="63">
        <v>5.75</v>
      </c>
      <c r="G192" s="63">
        <v>4.51</v>
      </c>
      <c r="H192" s="63"/>
      <c r="I192" s="63"/>
      <c r="J192" s="63">
        <v>136.4</v>
      </c>
      <c r="K192" s="63">
        <v>20.6</v>
      </c>
      <c r="L192" s="63">
        <v>21.82</v>
      </c>
      <c r="M192" s="63">
        <v>6.21</v>
      </c>
      <c r="N192" s="64" t="b">
        <f>TRUE()</f>
        <v>1</v>
      </c>
      <c r="O192" s="63">
        <v>123.6</v>
      </c>
    </row>
    <row r="193" spans="1:15" ht="12.75" customHeight="1">
      <c r="A193" s="61" t="s">
        <v>1103</v>
      </c>
      <c r="B193" s="61">
        <v>125</v>
      </c>
      <c r="C193" s="61">
        <v>50</v>
      </c>
      <c r="D193" s="62">
        <v>4.3</v>
      </c>
      <c r="E193" s="62">
        <v>4.3</v>
      </c>
      <c r="F193" s="63">
        <v>9.75</v>
      </c>
      <c r="G193" s="63">
        <v>7.65</v>
      </c>
      <c r="H193" s="63"/>
      <c r="I193" s="63"/>
      <c r="J193" s="63">
        <v>220.5</v>
      </c>
      <c r="K193" s="63">
        <v>28.1</v>
      </c>
      <c r="L193" s="63">
        <v>35.28</v>
      </c>
      <c r="M193" s="63">
        <v>8.12</v>
      </c>
      <c r="N193" s="64" t="b">
        <f>TRUE()</f>
        <v>1</v>
      </c>
      <c r="O193" s="63">
        <v>147</v>
      </c>
    </row>
    <row r="194" spans="1:15" ht="12.75" customHeight="1">
      <c r="A194" s="61" t="s">
        <v>1104</v>
      </c>
      <c r="B194" s="61">
        <v>125</v>
      </c>
      <c r="C194" s="61">
        <v>50</v>
      </c>
      <c r="D194" s="62">
        <v>4</v>
      </c>
      <c r="E194" s="62">
        <v>4</v>
      </c>
      <c r="F194" s="63">
        <v>9.15</v>
      </c>
      <c r="G194" s="63">
        <v>7.18</v>
      </c>
      <c r="H194" s="63"/>
      <c r="I194" s="63"/>
      <c r="J194" s="63">
        <v>208.6</v>
      </c>
      <c r="K194" s="63">
        <v>26.9</v>
      </c>
      <c r="L194" s="63">
        <v>33.38</v>
      </c>
      <c r="M194" s="63">
        <v>7.78</v>
      </c>
      <c r="N194" s="64" t="b">
        <f>TRUE()</f>
        <v>1</v>
      </c>
      <c r="O194" s="63">
        <v>147</v>
      </c>
    </row>
    <row r="195" spans="1:15" ht="12.75" customHeight="1">
      <c r="A195" s="61" t="s">
        <v>1105</v>
      </c>
      <c r="B195" s="61">
        <v>125</v>
      </c>
      <c r="C195" s="61">
        <v>50</v>
      </c>
      <c r="D195" s="62">
        <v>3.2</v>
      </c>
      <c r="E195" s="62">
        <v>3.2</v>
      </c>
      <c r="F195" s="63">
        <v>7.49</v>
      </c>
      <c r="G195" s="63">
        <v>5.88</v>
      </c>
      <c r="H195" s="63"/>
      <c r="I195" s="63"/>
      <c r="J195" s="63">
        <v>174.5</v>
      </c>
      <c r="K195" s="63">
        <v>23.2</v>
      </c>
      <c r="L195" s="63">
        <v>27.93</v>
      </c>
      <c r="M195" s="63">
        <v>6.73</v>
      </c>
      <c r="N195" s="64" t="b">
        <f>TRUE()</f>
        <v>1</v>
      </c>
      <c r="O195" s="63">
        <v>147</v>
      </c>
    </row>
    <row r="196" spans="1:15" ht="12.75" customHeight="1">
      <c r="A196" s="61" t="s">
        <v>1106</v>
      </c>
      <c r="B196" s="61">
        <v>125</v>
      </c>
      <c r="C196" s="61">
        <v>50</v>
      </c>
      <c r="D196" s="62">
        <v>2.9</v>
      </c>
      <c r="E196" s="62">
        <v>2.9</v>
      </c>
      <c r="F196" s="63">
        <v>6.84</v>
      </c>
      <c r="G196" s="63">
        <v>5.37</v>
      </c>
      <c r="H196" s="63"/>
      <c r="I196" s="63"/>
      <c r="J196" s="63">
        <v>160.8</v>
      </c>
      <c r="K196" s="63">
        <v>21.6</v>
      </c>
      <c r="L196" s="63">
        <v>25.73</v>
      </c>
      <c r="M196" s="63">
        <v>6.27</v>
      </c>
      <c r="N196" s="64" t="b">
        <f>TRUE()</f>
        <v>1</v>
      </c>
      <c r="O196" s="63">
        <v>147</v>
      </c>
    </row>
    <row r="197" spans="1:15" ht="12.75" customHeight="1">
      <c r="A197" s="61" t="s">
        <v>1107</v>
      </c>
      <c r="B197" s="61">
        <v>125</v>
      </c>
      <c r="C197" s="61">
        <v>50</v>
      </c>
      <c r="D197" s="62">
        <v>2.6</v>
      </c>
      <c r="E197" s="62">
        <v>2.6</v>
      </c>
      <c r="F197" s="63">
        <v>6.19</v>
      </c>
      <c r="G197" s="63">
        <v>4.86</v>
      </c>
      <c r="H197" s="63"/>
      <c r="I197" s="63"/>
      <c r="J197" s="63">
        <v>146.5</v>
      </c>
      <c r="K197" s="63">
        <v>19.9</v>
      </c>
      <c r="L197" s="63">
        <v>23.45</v>
      </c>
      <c r="M197" s="63">
        <v>5.78</v>
      </c>
      <c r="N197" s="64" t="b">
        <f>TRUE()</f>
        <v>1</v>
      </c>
      <c r="O197" s="63">
        <v>123.6</v>
      </c>
    </row>
    <row r="198" spans="1:15" ht="12.75" customHeight="1">
      <c r="A198" s="61" t="s">
        <v>1108</v>
      </c>
      <c r="B198" s="61">
        <v>125</v>
      </c>
      <c r="C198" s="61">
        <v>50</v>
      </c>
      <c r="D198" s="62">
        <v>2.3</v>
      </c>
      <c r="E198" s="62">
        <v>2.3</v>
      </c>
      <c r="F198" s="63">
        <v>5.52</v>
      </c>
      <c r="G198" s="63">
        <v>4.33</v>
      </c>
      <c r="H198" s="63"/>
      <c r="I198" s="63"/>
      <c r="J198" s="63">
        <v>131.7</v>
      </c>
      <c r="K198" s="63">
        <v>18.1</v>
      </c>
      <c r="L198" s="63">
        <v>21.08</v>
      </c>
      <c r="M198" s="63">
        <v>5.26</v>
      </c>
      <c r="N198" s="64" t="b">
        <f>TRUE()</f>
        <v>1</v>
      </c>
      <c r="O198" s="63">
        <v>123.6</v>
      </c>
    </row>
    <row r="199" spans="1:15" ht="12.75" customHeight="1">
      <c r="A199" s="61" t="s">
        <v>1109</v>
      </c>
      <c r="B199" s="61">
        <v>125</v>
      </c>
      <c r="C199" s="61">
        <v>50</v>
      </c>
      <c r="D199" s="62">
        <v>2</v>
      </c>
      <c r="E199" s="62">
        <v>2</v>
      </c>
      <c r="F199" s="63">
        <v>4.84</v>
      </c>
      <c r="G199" s="63">
        <v>3.8</v>
      </c>
      <c r="H199" s="63"/>
      <c r="I199" s="63"/>
      <c r="J199" s="63">
        <v>116.4</v>
      </c>
      <c r="K199" s="63">
        <v>16.2</v>
      </c>
      <c r="L199" s="63">
        <v>18.62</v>
      </c>
      <c r="M199" s="63">
        <v>4.7</v>
      </c>
      <c r="N199" s="64" t="b">
        <f>TRUE()</f>
        <v>1</v>
      </c>
      <c r="O199" s="63">
        <v>123.6</v>
      </c>
    </row>
    <row r="200" spans="1:15" ht="12.75" customHeight="1">
      <c r="A200" s="61" t="s">
        <v>1110</v>
      </c>
      <c r="B200" s="61">
        <v>125</v>
      </c>
      <c r="C200" s="61">
        <v>50</v>
      </c>
      <c r="D200" s="62">
        <v>1.8</v>
      </c>
      <c r="E200" s="62">
        <v>1.8</v>
      </c>
      <c r="F200" s="63">
        <v>4.38</v>
      </c>
      <c r="G200" s="63">
        <v>3.44</v>
      </c>
      <c r="H200" s="63"/>
      <c r="I200" s="63"/>
      <c r="J200" s="63">
        <v>105.9</v>
      </c>
      <c r="K200" s="63">
        <v>14.8</v>
      </c>
      <c r="L200" s="63">
        <v>16.94</v>
      </c>
      <c r="M200" s="63">
        <v>4.3</v>
      </c>
      <c r="N200" s="64" t="b">
        <f>TRUE()</f>
        <v>1</v>
      </c>
      <c r="O200" s="63">
        <v>123.6</v>
      </c>
    </row>
    <row r="201" spans="1:15" ht="12.75" customHeight="1">
      <c r="A201" s="61" t="s">
        <v>1111</v>
      </c>
      <c r="B201" s="61">
        <v>125</v>
      </c>
      <c r="C201" s="61">
        <v>50</v>
      </c>
      <c r="D201" s="62">
        <v>1.6</v>
      </c>
      <c r="E201" s="62">
        <v>1.6</v>
      </c>
      <c r="F201" s="63">
        <v>3.91</v>
      </c>
      <c r="G201" s="63">
        <v>3.07</v>
      </c>
      <c r="H201" s="63"/>
      <c r="I201" s="63"/>
      <c r="J201" s="63">
        <v>95.1</v>
      </c>
      <c r="K201" s="63">
        <v>13.4</v>
      </c>
      <c r="L201" s="63">
        <v>15.22</v>
      </c>
      <c r="M201" s="63">
        <v>3.89</v>
      </c>
      <c r="N201" s="64" t="b">
        <f>TRUE()</f>
        <v>1</v>
      </c>
      <c r="O201" s="63">
        <v>123.6</v>
      </c>
    </row>
    <row r="202" spans="1:15" ht="12.75" customHeight="1">
      <c r="A202" s="61" t="s">
        <v>1112</v>
      </c>
      <c r="B202" s="61">
        <v>125</v>
      </c>
      <c r="C202" s="61">
        <v>50</v>
      </c>
      <c r="D202" s="62">
        <v>1.4</v>
      </c>
      <c r="E202" s="62">
        <v>1.4</v>
      </c>
      <c r="F202" s="63">
        <v>3.44</v>
      </c>
      <c r="G202" s="63">
        <v>2.7</v>
      </c>
      <c r="H202" s="63"/>
      <c r="I202" s="63"/>
      <c r="J202" s="63">
        <v>84.1</v>
      </c>
      <c r="K202" s="63">
        <v>11.9</v>
      </c>
      <c r="L202" s="63">
        <v>13.45</v>
      </c>
      <c r="M202" s="63">
        <v>3.47</v>
      </c>
      <c r="N202" s="64" t="b">
        <f>TRUE()</f>
        <v>1</v>
      </c>
      <c r="O202" s="63">
        <v>123.6</v>
      </c>
    </row>
    <row r="203" spans="1:15" ht="12.75" customHeight="1">
      <c r="A203" s="61" t="s">
        <v>1113</v>
      </c>
      <c r="B203" s="61">
        <v>125</v>
      </c>
      <c r="C203" s="61">
        <v>50</v>
      </c>
      <c r="D203" s="62">
        <v>1.2</v>
      </c>
      <c r="E203" s="62">
        <v>1.2</v>
      </c>
      <c r="F203" s="63">
        <v>2.97</v>
      </c>
      <c r="G203" s="63">
        <v>2.33</v>
      </c>
      <c r="H203" s="63"/>
      <c r="I203" s="63"/>
      <c r="J203" s="63">
        <v>72.8</v>
      </c>
      <c r="K203" s="63">
        <v>10.4</v>
      </c>
      <c r="L203" s="63">
        <v>11.65</v>
      </c>
      <c r="M203" s="63">
        <v>3.02</v>
      </c>
      <c r="N203" s="64" t="b">
        <f>TRUE()</f>
        <v>1</v>
      </c>
      <c r="O203" s="63">
        <v>123.6</v>
      </c>
    </row>
    <row r="204" spans="1:15" ht="12.75" customHeight="1">
      <c r="A204" s="61" t="s">
        <v>1114</v>
      </c>
      <c r="B204" s="61">
        <v>120</v>
      </c>
      <c r="C204" s="61">
        <v>60</v>
      </c>
      <c r="D204" s="62">
        <v>3.2</v>
      </c>
      <c r="E204" s="62">
        <v>3.2</v>
      </c>
      <c r="F204" s="63">
        <v>8.29</v>
      </c>
      <c r="G204" s="63">
        <v>6.51</v>
      </c>
      <c r="H204" s="63"/>
      <c r="I204" s="63"/>
      <c r="J204" s="63">
        <v>186.1</v>
      </c>
      <c r="K204" s="63">
        <v>40.8</v>
      </c>
      <c r="L204" s="63">
        <v>31.01</v>
      </c>
      <c r="M204" s="63">
        <v>10.52</v>
      </c>
      <c r="N204" s="64" t="b">
        <f>TRUE()</f>
        <v>1</v>
      </c>
      <c r="O204" s="63">
        <v>147</v>
      </c>
    </row>
    <row r="205" spans="1:15" ht="12.75" customHeight="1">
      <c r="A205" s="61" t="s">
        <v>1115</v>
      </c>
      <c r="B205" s="61">
        <v>120</v>
      </c>
      <c r="C205" s="61">
        <v>60</v>
      </c>
      <c r="D205" s="62">
        <v>2.3</v>
      </c>
      <c r="E205" s="62">
        <v>2.3</v>
      </c>
      <c r="F205" s="63">
        <v>6.09</v>
      </c>
      <c r="G205" s="63">
        <v>4.78</v>
      </c>
      <c r="H205" s="63"/>
      <c r="I205" s="63"/>
      <c r="J205" s="63">
        <v>139.8</v>
      </c>
      <c r="K205" s="63">
        <v>31.3</v>
      </c>
      <c r="L205" s="63">
        <v>23.3</v>
      </c>
      <c r="M205" s="63">
        <v>8.09</v>
      </c>
      <c r="N205" s="64" t="b">
        <f>TRUE()</f>
        <v>1</v>
      </c>
      <c r="O205" s="63">
        <v>123.6</v>
      </c>
    </row>
    <row r="206" spans="1:15" ht="12.75" customHeight="1">
      <c r="A206" s="61" t="s">
        <v>1116</v>
      </c>
      <c r="B206" s="61">
        <v>120</v>
      </c>
      <c r="C206" s="61">
        <v>40</v>
      </c>
      <c r="D206" s="62">
        <v>3.2</v>
      </c>
      <c r="E206" s="62">
        <v>3.2</v>
      </c>
      <c r="F206" s="63">
        <v>7.01</v>
      </c>
      <c r="G206" s="63">
        <v>5.5</v>
      </c>
      <c r="H206" s="63"/>
      <c r="I206" s="63"/>
      <c r="J206" s="63">
        <v>142.4</v>
      </c>
      <c r="K206" s="63">
        <v>15.2</v>
      </c>
      <c r="L206" s="63">
        <v>23.73</v>
      </c>
      <c r="M206" s="63">
        <v>5.68</v>
      </c>
      <c r="N206" s="64" t="b">
        <f>TRUE()</f>
        <v>1</v>
      </c>
      <c r="O206" s="63">
        <v>147</v>
      </c>
    </row>
    <row r="207" spans="1:15" ht="12.75" customHeight="1">
      <c r="A207" s="61" t="s">
        <v>1117</v>
      </c>
      <c r="B207" s="61">
        <v>100</v>
      </c>
      <c r="C207" s="61">
        <v>50</v>
      </c>
      <c r="D207" s="62">
        <v>3.2</v>
      </c>
      <c r="E207" s="62">
        <v>3.2</v>
      </c>
      <c r="F207" s="63">
        <v>6.69</v>
      </c>
      <c r="G207" s="63">
        <v>5.25</v>
      </c>
      <c r="H207" s="63"/>
      <c r="I207" s="63"/>
      <c r="J207" s="63">
        <v>103</v>
      </c>
      <c r="K207" s="63">
        <v>21.5</v>
      </c>
      <c r="L207" s="63">
        <v>20.6</v>
      </c>
      <c r="M207" s="63">
        <v>6.54</v>
      </c>
      <c r="N207" s="64" t="b">
        <f>TRUE()</f>
        <v>1</v>
      </c>
      <c r="O207" s="63">
        <v>147</v>
      </c>
    </row>
    <row r="208" spans="1:15" ht="12.75" customHeight="1">
      <c r="A208" s="61" t="s">
        <v>1118</v>
      </c>
      <c r="B208" s="61">
        <v>100</v>
      </c>
      <c r="C208" s="61">
        <v>50</v>
      </c>
      <c r="D208" s="62">
        <v>2.9</v>
      </c>
      <c r="E208" s="62">
        <v>2.9</v>
      </c>
      <c r="F208" s="63">
        <v>6.12</v>
      </c>
      <c r="G208" s="63">
        <v>4.8</v>
      </c>
      <c r="H208" s="63"/>
      <c r="I208" s="63"/>
      <c r="J208" s="63">
        <v>95.1</v>
      </c>
      <c r="K208" s="63">
        <v>20</v>
      </c>
      <c r="L208" s="63">
        <v>19.02</v>
      </c>
      <c r="M208" s="63">
        <v>6.1</v>
      </c>
      <c r="N208" s="64" t="b">
        <f>TRUE()</f>
        <v>1</v>
      </c>
      <c r="O208" s="63">
        <v>147</v>
      </c>
    </row>
    <row r="209" spans="1:15" ht="12.75" customHeight="1">
      <c r="A209" s="61" t="s">
        <v>1119</v>
      </c>
      <c r="B209" s="61">
        <v>100</v>
      </c>
      <c r="C209" s="61">
        <v>50</v>
      </c>
      <c r="D209" s="62">
        <v>2.6</v>
      </c>
      <c r="E209" s="62">
        <v>2.6</v>
      </c>
      <c r="F209" s="63">
        <v>5.54</v>
      </c>
      <c r="G209" s="63">
        <v>4.35</v>
      </c>
      <c r="H209" s="63"/>
      <c r="I209" s="63"/>
      <c r="J209" s="63">
        <v>86.8</v>
      </c>
      <c r="K209" s="63">
        <v>18.4</v>
      </c>
      <c r="L209" s="63">
        <v>17.37</v>
      </c>
      <c r="M209" s="63">
        <v>5.63</v>
      </c>
      <c r="N209" s="64" t="b">
        <f>TRUE()</f>
        <v>1</v>
      </c>
      <c r="O209" s="63">
        <v>123.6</v>
      </c>
    </row>
    <row r="210" spans="1:15" ht="12.75" customHeight="1">
      <c r="A210" s="61" t="s">
        <v>1120</v>
      </c>
      <c r="B210" s="61">
        <v>100</v>
      </c>
      <c r="C210" s="61">
        <v>50</v>
      </c>
      <c r="D210" s="62">
        <v>2.3</v>
      </c>
      <c r="E210" s="62">
        <v>2.3</v>
      </c>
      <c r="F210" s="63">
        <v>4.94</v>
      </c>
      <c r="G210" s="63">
        <v>3.88</v>
      </c>
      <c r="H210" s="63"/>
      <c r="I210" s="63"/>
      <c r="J210" s="63">
        <v>78.2</v>
      </c>
      <c r="K210" s="63">
        <v>16.8</v>
      </c>
      <c r="L210" s="63">
        <v>15.64</v>
      </c>
      <c r="M210" s="63">
        <v>5.12</v>
      </c>
      <c r="N210" s="64" t="b">
        <f>TRUE()</f>
        <v>1</v>
      </c>
      <c r="O210" s="63">
        <v>123.6</v>
      </c>
    </row>
    <row r="211" spans="1:15" ht="12.75" customHeight="1">
      <c r="A211" s="61" t="s">
        <v>1121</v>
      </c>
      <c r="B211" s="61">
        <v>100</v>
      </c>
      <c r="C211" s="61">
        <v>50</v>
      </c>
      <c r="D211" s="62">
        <v>2</v>
      </c>
      <c r="E211" s="62">
        <v>2</v>
      </c>
      <c r="F211" s="63">
        <v>4.34</v>
      </c>
      <c r="G211" s="63">
        <v>3.4</v>
      </c>
      <c r="H211" s="63"/>
      <c r="I211" s="63"/>
      <c r="J211" s="63">
        <v>69.2</v>
      </c>
      <c r="K211" s="63">
        <v>15</v>
      </c>
      <c r="L211" s="63">
        <v>13.85</v>
      </c>
      <c r="M211" s="63">
        <v>4.57</v>
      </c>
      <c r="N211" s="64" t="b">
        <f>TRUE()</f>
        <v>1</v>
      </c>
      <c r="O211" s="63">
        <v>123.6</v>
      </c>
    </row>
    <row r="212" spans="1:15" ht="12.75" customHeight="1">
      <c r="A212" s="61" t="s">
        <v>1122</v>
      </c>
      <c r="B212" s="61">
        <v>100</v>
      </c>
      <c r="C212" s="61">
        <v>50</v>
      </c>
      <c r="D212" s="62">
        <v>1.8</v>
      </c>
      <c r="E212" s="62">
        <v>1.8</v>
      </c>
      <c r="F212" s="63">
        <v>3.93</v>
      </c>
      <c r="G212" s="63">
        <v>3.08</v>
      </c>
      <c r="H212" s="63"/>
      <c r="I212" s="63"/>
      <c r="J212" s="63">
        <v>63</v>
      </c>
      <c r="K212" s="63">
        <v>13.7</v>
      </c>
      <c r="L212" s="63">
        <v>12.61</v>
      </c>
      <c r="M212" s="63">
        <v>4.19</v>
      </c>
      <c r="N212" s="64" t="b">
        <f>TRUE()</f>
        <v>1</v>
      </c>
      <c r="O212" s="63">
        <v>123.6</v>
      </c>
    </row>
    <row r="213" spans="1:15" ht="12.75" customHeight="1">
      <c r="A213" s="61" t="s">
        <v>1123</v>
      </c>
      <c r="B213" s="61">
        <v>100</v>
      </c>
      <c r="C213" s="61">
        <v>50</v>
      </c>
      <c r="D213" s="62">
        <v>1.6</v>
      </c>
      <c r="E213" s="62">
        <v>1.6</v>
      </c>
      <c r="F213" s="63">
        <v>3.51</v>
      </c>
      <c r="G213" s="63">
        <v>2.76</v>
      </c>
      <c r="H213" s="63"/>
      <c r="I213" s="63"/>
      <c r="J213" s="63">
        <v>56.7</v>
      </c>
      <c r="K213" s="63">
        <v>12.4</v>
      </c>
      <c r="L213" s="63">
        <v>11.34</v>
      </c>
      <c r="M213" s="63">
        <v>3.79</v>
      </c>
      <c r="N213" s="64" t="b">
        <f>TRUE()</f>
        <v>1</v>
      </c>
      <c r="O213" s="63">
        <v>123.6</v>
      </c>
    </row>
    <row r="214" spans="1:15" ht="12.75" customHeight="1">
      <c r="A214" s="61" t="s">
        <v>1124</v>
      </c>
      <c r="B214" s="61">
        <v>100</v>
      </c>
      <c r="C214" s="61">
        <v>50</v>
      </c>
      <c r="D214" s="62">
        <v>1.4</v>
      </c>
      <c r="E214" s="62">
        <v>1.4</v>
      </c>
      <c r="F214" s="63">
        <v>3.09</v>
      </c>
      <c r="G214" s="63">
        <v>2.43</v>
      </c>
      <c r="H214" s="63"/>
      <c r="I214" s="63"/>
      <c r="J214" s="63">
        <v>50.2</v>
      </c>
      <c r="K214" s="63">
        <v>11.1</v>
      </c>
      <c r="L214" s="63">
        <v>10.04</v>
      </c>
      <c r="M214" s="63">
        <v>3.38</v>
      </c>
      <c r="N214" s="64" t="b">
        <f>TRUE()</f>
        <v>1</v>
      </c>
      <c r="O214" s="63">
        <v>123.6</v>
      </c>
    </row>
    <row r="215" spans="1:16" ht="12.75" customHeight="1">
      <c r="A215" s="78" t="s">
        <v>1125</v>
      </c>
      <c r="B215" s="78">
        <v>100</v>
      </c>
      <c r="C215" s="78">
        <v>50</v>
      </c>
      <c r="D215" s="101">
        <v>1.2</v>
      </c>
      <c r="E215" s="101">
        <v>1.2</v>
      </c>
      <c r="F215" s="102">
        <v>2.67</v>
      </c>
      <c r="G215" s="102">
        <v>2.09</v>
      </c>
      <c r="H215" s="102"/>
      <c r="I215" s="102"/>
      <c r="J215" s="102">
        <v>43.5</v>
      </c>
      <c r="K215" s="102">
        <v>9.6</v>
      </c>
      <c r="L215" s="102">
        <v>8.71</v>
      </c>
      <c r="M215" s="102">
        <v>2.95</v>
      </c>
      <c r="N215" s="103" t="b">
        <f>TRUE()</f>
        <v>1</v>
      </c>
      <c r="O215" s="102">
        <v>123.6</v>
      </c>
      <c r="P215" s="23"/>
    </row>
    <row r="216" spans="1:15" ht="12.75" customHeight="1">
      <c r="A216" s="61" t="s">
        <v>1126</v>
      </c>
      <c r="B216" s="61">
        <v>90</v>
      </c>
      <c r="C216" s="61">
        <v>45</v>
      </c>
      <c r="D216" s="62">
        <v>3.2</v>
      </c>
      <c r="E216" s="62">
        <v>3.2</v>
      </c>
      <c r="F216" s="63">
        <v>6.05</v>
      </c>
      <c r="G216" s="63">
        <v>4.75</v>
      </c>
      <c r="H216" s="63"/>
      <c r="I216" s="63"/>
      <c r="J216" s="63">
        <v>74.4</v>
      </c>
      <c r="K216" s="63">
        <v>15.9</v>
      </c>
      <c r="L216" s="63">
        <v>16.52</v>
      </c>
      <c r="M216" s="63">
        <v>5.45</v>
      </c>
      <c r="N216" s="64" t="b">
        <f>TRUE()</f>
        <v>1</v>
      </c>
      <c r="O216" s="63">
        <v>147</v>
      </c>
    </row>
    <row r="217" spans="1:15" ht="12.75" customHeight="1">
      <c r="A217" s="61" t="s">
        <v>1127</v>
      </c>
      <c r="B217" s="61">
        <v>90</v>
      </c>
      <c r="C217" s="61">
        <v>45</v>
      </c>
      <c r="D217" s="62">
        <v>2.9</v>
      </c>
      <c r="E217" s="62">
        <v>2.9</v>
      </c>
      <c r="F217" s="63">
        <v>5.54</v>
      </c>
      <c r="G217" s="63">
        <v>4.35</v>
      </c>
      <c r="H217" s="63"/>
      <c r="I217" s="63"/>
      <c r="J217" s="63">
        <v>68.8</v>
      </c>
      <c r="K217" s="63">
        <v>14.8</v>
      </c>
      <c r="L217" s="63">
        <v>15.29</v>
      </c>
      <c r="M217" s="63">
        <v>5.1</v>
      </c>
      <c r="N217" s="64" t="b">
        <f>TRUE()</f>
        <v>1</v>
      </c>
      <c r="O217" s="63">
        <v>147</v>
      </c>
    </row>
    <row r="218" spans="1:15" ht="12.75" customHeight="1">
      <c r="A218" s="61" t="s">
        <v>1128</v>
      </c>
      <c r="B218" s="61">
        <v>90</v>
      </c>
      <c r="C218" s="61">
        <v>45</v>
      </c>
      <c r="D218" s="62">
        <v>2.6</v>
      </c>
      <c r="E218" s="62">
        <v>2.6</v>
      </c>
      <c r="F218" s="63">
        <v>5.02</v>
      </c>
      <c r="G218" s="63">
        <v>3.94</v>
      </c>
      <c r="H218" s="63"/>
      <c r="I218" s="63"/>
      <c r="J218" s="63">
        <v>62.9</v>
      </c>
      <c r="K218" s="63">
        <v>13.7</v>
      </c>
      <c r="L218" s="63">
        <v>13.98</v>
      </c>
      <c r="M218" s="63">
        <v>4.71</v>
      </c>
      <c r="N218" s="64" t="b">
        <f>TRUE()</f>
        <v>1</v>
      </c>
      <c r="O218" s="63">
        <v>123.6</v>
      </c>
    </row>
    <row r="219" spans="1:15" ht="12.75" customHeight="1">
      <c r="A219" s="61" t="s">
        <v>1129</v>
      </c>
      <c r="B219" s="61">
        <v>90</v>
      </c>
      <c r="C219" s="61">
        <v>45</v>
      </c>
      <c r="D219" s="62">
        <v>2.3</v>
      </c>
      <c r="E219" s="62">
        <v>2.3</v>
      </c>
      <c r="F219" s="63">
        <v>4.48</v>
      </c>
      <c r="G219" s="63">
        <v>3.52</v>
      </c>
      <c r="H219" s="63"/>
      <c r="I219" s="63"/>
      <c r="J219" s="63">
        <v>56.8</v>
      </c>
      <c r="K219" s="63">
        <v>12.5</v>
      </c>
      <c r="L219" s="63">
        <v>12.62</v>
      </c>
      <c r="M219" s="63">
        <v>4.3</v>
      </c>
      <c r="N219" s="64" t="b">
        <f>TRUE()</f>
        <v>1</v>
      </c>
      <c r="O219" s="63">
        <v>123.6</v>
      </c>
    </row>
    <row r="220" spans="1:15" ht="12.75" customHeight="1">
      <c r="A220" s="61" t="s">
        <v>1130</v>
      </c>
      <c r="B220" s="61">
        <v>90</v>
      </c>
      <c r="C220" s="61">
        <v>45</v>
      </c>
      <c r="D220" s="62">
        <v>2</v>
      </c>
      <c r="E220" s="62">
        <v>2</v>
      </c>
      <c r="F220" s="63">
        <v>3.94</v>
      </c>
      <c r="G220" s="63">
        <v>3.09</v>
      </c>
      <c r="H220" s="63"/>
      <c r="I220" s="63"/>
      <c r="J220" s="63">
        <v>50.4</v>
      </c>
      <c r="K220" s="63">
        <v>11.2</v>
      </c>
      <c r="L220" s="63">
        <v>11.19</v>
      </c>
      <c r="M220" s="63">
        <v>3.85</v>
      </c>
      <c r="N220" s="64" t="b">
        <f>TRUE()</f>
        <v>1</v>
      </c>
      <c r="O220" s="63">
        <v>123.6</v>
      </c>
    </row>
    <row r="221" spans="1:15" ht="12.75" customHeight="1">
      <c r="A221" s="61" t="s">
        <v>1131</v>
      </c>
      <c r="B221" s="61">
        <v>90</v>
      </c>
      <c r="C221" s="61">
        <v>45</v>
      </c>
      <c r="D221" s="62">
        <v>1.8</v>
      </c>
      <c r="E221" s="62">
        <v>1.8</v>
      </c>
      <c r="F221" s="63">
        <v>3.57</v>
      </c>
      <c r="G221" s="63">
        <v>2.8</v>
      </c>
      <c r="H221" s="63"/>
      <c r="I221" s="63"/>
      <c r="J221" s="63">
        <v>45.9</v>
      </c>
      <c r="K221" s="63">
        <v>10.3</v>
      </c>
      <c r="L221" s="63">
        <v>10.21</v>
      </c>
      <c r="M221" s="63">
        <v>3.53</v>
      </c>
      <c r="N221" s="64" t="b">
        <f>TRUE()</f>
        <v>1</v>
      </c>
      <c r="O221" s="63">
        <v>123.6</v>
      </c>
    </row>
    <row r="222" spans="1:15" ht="12.75" customHeight="1">
      <c r="A222" s="61" t="s">
        <v>1132</v>
      </c>
      <c r="B222" s="61">
        <v>90</v>
      </c>
      <c r="C222" s="61">
        <v>45</v>
      </c>
      <c r="D222" s="62">
        <v>1.6</v>
      </c>
      <c r="E222" s="62">
        <v>1.6</v>
      </c>
      <c r="F222" s="63">
        <v>3.19</v>
      </c>
      <c r="G222" s="63">
        <v>2.51</v>
      </c>
      <c r="H222" s="63"/>
      <c r="I222" s="63"/>
      <c r="J222" s="63">
        <v>41.4</v>
      </c>
      <c r="K222" s="63">
        <v>9.3</v>
      </c>
      <c r="L222" s="63">
        <v>9.19</v>
      </c>
      <c r="M222" s="63">
        <v>3.2</v>
      </c>
      <c r="N222" s="64" t="b">
        <f>TRUE()</f>
        <v>1</v>
      </c>
      <c r="O222" s="63">
        <v>123.6</v>
      </c>
    </row>
    <row r="223" spans="1:15" ht="12.75" customHeight="1">
      <c r="A223" s="61" t="s">
        <v>1133</v>
      </c>
      <c r="B223" s="61">
        <v>90</v>
      </c>
      <c r="C223" s="61">
        <v>45</v>
      </c>
      <c r="D223" s="62">
        <v>1.4</v>
      </c>
      <c r="E223" s="62">
        <v>1.4</v>
      </c>
      <c r="F223" s="63">
        <v>2.81</v>
      </c>
      <c r="G223" s="63">
        <v>2.21</v>
      </c>
      <c r="H223" s="63"/>
      <c r="I223" s="63"/>
      <c r="J223" s="63">
        <v>36.7</v>
      </c>
      <c r="K223" s="63">
        <v>8.3</v>
      </c>
      <c r="L223" s="63">
        <v>8.15</v>
      </c>
      <c r="M223" s="63">
        <v>2.86</v>
      </c>
      <c r="N223" s="64" t="b">
        <f>TRUE()</f>
        <v>1</v>
      </c>
      <c r="O223" s="63">
        <v>123.6</v>
      </c>
    </row>
    <row r="224" spans="1:15" ht="12.75" customHeight="1">
      <c r="A224" s="61" t="s">
        <v>1134</v>
      </c>
      <c r="B224" s="61">
        <v>90</v>
      </c>
      <c r="C224" s="61">
        <v>45</v>
      </c>
      <c r="D224" s="62">
        <v>1.2</v>
      </c>
      <c r="E224" s="62">
        <v>1.2</v>
      </c>
      <c r="F224" s="63">
        <v>2.43</v>
      </c>
      <c r="G224" s="63">
        <v>1.9</v>
      </c>
      <c r="H224" s="63"/>
      <c r="I224" s="63"/>
      <c r="J224" s="63">
        <v>31.8</v>
      </c>
      <c r="K224" s="63">
        <v>7.2</v>
      </c>
      <c r="L224" s="63">
        <v>7.07</v>
      </c>
      <c r="M224" s="63">
        <v>2.5</v>
      </c>
      <c r="N224" s="64" t="b">
        <f>TRUE()</f>
        <v>1</v>
      </c>
      <c r="O224" s="63">
        <v>123.6</v>
      </c>
    </row>
    <row r="225" spans="1:15" ht="12.75" customHeight="1">
      <c r="A225" s="61" t="s">
        <v>1135</v>
      </c>
      <c r="B225" s="61">
        <v>75</v>
      </c>
      <c r="C225" s="61">
        <v>38</v>
      </c>
      <c r="D225" s="62">
        <v>2.6</v>
      </c>
      <c r="E225" s="62">
        <v>2.6</v>
      </c>
      <c r="F225" s="63">
        <v>4.26</v>
      </c>
      <c r="G225" s="63">
        <v>3.35</v>
      </c>
      <c r="H225" s="63"/>
      <c r="I225" s="63"/>
      <c r="J225" s="63">
        <v>36.2</v>
      </c>
      <c r="K225" s="63">
        <v>8.5</v>
      </c>
      <c r="L225" s="63">
        <v>9.66</v>
      </c>
      <c r="M225" s="63">
        <v>3.55</v>
      </c>
      <c r="N225" s="64" t="b">
        <f>TRUE()</f>
        <v>1</v>
      </c>
      <c r="O225" s="63">
        <v>123.6</v>
      </c>
    </row>
    <row r="226" spans="1:15" ht="12.75" customHeight="1">
      <c r="A226" s="61" t="s">
        <v>1136</v>
      </c>
      <c r="B226" s="61">
        <v>75</v>
      </c>
      <c r="C226" s="61">
        <v>38</v>
      </c>
      <c r="D226" s="62">
        <v>2.3</v>
      </c>
      <c r="E226" s="62">
        <v>2.3</v>
      </c>
      <c r="F226" s="63">
        <v>3.82</v>
      </c>
      <c r="G226" s="63">
        <v>3</v>
      </c>
      <c r="H226" s="63"/>
      <c r="I226" s="63"/>
      <c r="J226" s="63">
        <v>32.8</v>
      </c>
      <c r="K226" s="63">
        <v>7.7</v>
      </c>
      <c r="L226" s="63">
        <v>8.75</v>
      </c>
      <c r="M226" s="63">
        <v>3.25</v>
      </c>
      <c r="N226" s="64" t="b">
        <f>TRUE()</f>
        <v>1</v>
      </c>
      <c r="O226" s="63">
        <v>123.6</v>
      </c>
    </row>
    <row r="227" spans="1:15" ht="12.75" customHeight="1">
      <c r="A227" s="61" t="s">
        <v>1137</v>
      </c>
      <c r="B227" s="61">
        <v>75</v>
      </c>
      <c r="C227" s="61">
        <v>38</v>
      </c>
      <c r="D227" s="62">
        <v>2</v>
      </c>
      <c r="E227" s="62">
        <v>2</v>
      </c>
      <c r="F227" s="63">
        <v>3.36</v>
      </c>
      <c r="G227" s="63">
        <v>2.64</v>
      </c>
      <c r="H227" s="63"/>
      <c r="I227" s="63"/>
      <c r="J227" s="63">
        <v>29.2</v>
      </c>
      <c r="K227" s="63">
        <v>7</v>
      </c>
      <c r="L227" s="63">
        <v>7.79</v>
      </c>
      <c r="M227" s="63">
        <v>2.92</v>
      </c>
      <c r="N227" s="64" t="b">
        <f>TRUE()</f>
        <v>1</v>
      </c>
      <c r="O227" s="63">
        <v>123.6</v>
      </c>
    </row>
    <row r="228" spans="1:15" ht="12.75" customHeight="1">
      <c r="A228" s="61" t="s">
        <v>1138</v>
      </c>
      <c r="B228" s="61">
        <v>75</v>
      </c>
      <c r="C228" s="61">
        <v>38</v>
      </c>
      <c r="D228" s="62">
        <v>1.8</v>
      </c>
      <c r="E228" s="62">
        <v>1.8</v>
      </c>
      <c r="F228" s="63">
        <v>3.05</v>
      </c>
      <c r="G228" s="63">
        <v>2.39</v>
      </c>
      <c r="H228" s="63"/>
      <c r="I228" s="63"/>
      <c r="J228" s="63">
        <v>26.7</v>
      </c>
      <c r="K228" s="63">
        <v>6.4</v>
      </c>
      <c r="L228" s="63">
        <v>7.12</v>
      </c>
      <c r="M228" s="63">
        <v>2.69</v>
      </c>
      <c r="N228" s="64" t="b">
        <f>TRUE()</f>
        <v>1</v>
      </c>
      <c r="O228" s="63">
        <v>123.6</v>
      </c>
    </row>
    <row r="229" spans="1:15" ht="12.75" customHeight="1">
      <c r="A229" s="61" t="s">
        <v>1139</v>
      </c>
      <c r="B229" s="61">
        <v>75</v>
      </c>
      <c r="C229" s="61">
        <v>38</v>
      </c>
      <c r="D229" s="62">
        <v>1.6</v>
      </c>
      <c r="E229" s="62">
        <v>1.6</v>
      </c>
      <c r="F229" s="63">
        <v>2.73</v>
      </c>
      <c r="G229" s="63">
        <v>2.14</v>
      </c>
      <c r="H229" s="63"/>
      <c r="I229" s="63"/>
      <c r="J229" s="63">
        <v>24.1</v>
      </c>
      <c r="K229" s="63">
        <v>5.8</v>
      </c>
      <c r="L229" s="63">
        <v>6.43</v>
      </c>
      <c r="M229" s="63">
        <v>2.45</v>
      </c>
      <c r="N229" s="64" t="b">
        <f>TRUE()</f>
        <v>1</v>
      </c>
      <c r="O229" s="63">
        <v>123.6</v>
      </c>
    </row>
    <row r="230" spans="1:15" ht="12.75" customHeight="1">
      <c r="A230" s="61" t="s">
        <v>1140</v>
      </c>
      <c r="B230" s="61">
        <v>75</v>
      </c>
      <c r="C230" s="61">
        <v>38</v>
      </c>
      <c r="D230" s="62">
        <v>1.4</v>
      </c>
      <c r="E230" s="62">
        <v>1.4</v>
      </c>
      <c r="F230" s="63">
        <v>2.41</v>
      </c>
      <c r="G230" s="63">
        <v>1.89</v>
      </c>
      <c r="H230" s="63"/>
      <c r="I230" s="63"/>
      <c r="J230" s="63">
        <v>21.4</v>
      </c>
      <c r="K230" s="63">
        <v>5.2</v>
      </c>
      <c r="L230" s="63">
        <v>5.71</v>
      </c>
      <c r="M230" s="63">
        <v>2.19</v>
      </c>
      <c r="N230" s="64" t="b">
        <f>TRUE()</f>
        <v>1</v>
      </c>
      <c r="O230" s="63">
        <v>123.6</v>
      </c>
    </row>
    <row r="231" spans="1:16" ht="12.75" customHeight="1">
      <c r="A231" s="104" t="s">
        <v>1141</v>
      </c>
      <c r="B231" s="104">
        <v>75</v>
      </c>
      <c r="C231" s="104">
        <v>38</v>
      </c>
      <c r="D231" s="105">
        <v>1.2</v>
      </c>
      <c r="E231" s="105">
        <v>1.2</v>
      </c>
      <c r="F231" s="106">
        <v>2.08</v>
      </c>
      <c r="G231" s="106">
        <v>1.63</v>
      </c>
      <c r="H231" s="106"/>
      <c r="I231" s="106"/>
      <c r="J231" s="106">
        <v>18.6</v>
      </c>
      <c r="K231" s="106">
        <v>4.6</v>
      </c>
      <c r="L231" s="106">
        <v>4.97</v>
      </c>
      <c r="M231" s="106">
        <v>1.92</v>
      </c>
      <c r="N231" s="107" t="b">
        <f>TRUE()</f>
        <v>1</v>
      </c>
      <c r="O231" s="106">
        <v>123.6</v>
      </c>
      <c r="P231" s="108"/>
    </row>
    <row r="232" spans="1:15" ht="12.75" customHeight="1">
      <c r="A232" s="61" t="s">
        <v>1142</v>
      </c>
      <c r="B232" s="61">
        <v>65</v>
      </c>
      <c r="C232" s="61">
        <v>30</v>
      </c>
      <c r="D232" s="62">
        <v>2.6</v>
      </c>
      <c r="E232" s="62">
        <v>2.6</v>
      </c>
      <c r="F232" s="63">
        <v>3.59</v>
      </c>
      <c r="G232" s="63">
        <v>2.81</v>
      </c>
      <c r="H232" s="63"/>
      <c r="I232" s="63"/>
      <c r="J232" s="63">
        <v>21.7</v>
      </c>
      <c r="K232" s="63">
        <v>4.5</v>
      </c>
      <c r="L232" s="63">
        <v>6.68</v>
      </c>
      <c r="M232" s="63">
        <v>2.43</v>
      </c>
      <c r="N232" s="64" t="b">
        <f>TRUE()</f>
        <v>1</v>
      </c>
      <c r="O232" s="63">
        <v>123.6</v>
      </c>
    </row>
    <row r="233" spans="1:15" ht="12.75" customHeight="1">
      <c r="A233" s="61" t="s">
        <v>1143</v>
      </c>
      <c r="B233" s="61">
        <v>65</v>
      </c>
      <c r="C233" s="61">
        <v>30</v>
      </c>
      <c r="D233" s="62">
        <v>2.3</v>
      </c>
      <c r="E233" s="62">
        <v>2.3</v>
      </c>
      <c r="F233" s="63">
        <v>3.22</v>
      </c>
      <c r="G233" s="63">
        <v>2.53</v>
      </c>
      <c r="H233" s="63"/>
      <c r="I233" s="63"/>
      <c r="J233" s="63">
        <v>19.8</v>
      </c>
      <c r="K233" s="63">
        <v>4.1</v>
      </c>
      <c r="L233" s="63">
        <v>6.08</v>
      </c>
      <c r="M233" s="63">
        <v>2.24</v>
      </c>
      <c r="N233" s="64" t="b">
        <f>TRUE()</f>
        <v>1</v>
      </c>
      <c r="O233" s="63">
        <v>123.6</v>
      </c>
    </row>
    <row r="234" spans="1:15" ht="12.75" customHeight="1">
      <c r="A234" s="61" t="s">
        <v>1144</v>
      </c>
      <c r="B234" s="61">
        <v>65</v>
      </c>
      <c r="C234" s="61">
        <v>30</v>
      </c>
      <c r="D234" s="62">
        <v>2</v>
      </c>
      <c r="E234" s="62">
        <v>2</v>
      </c>
      <c r="F234" s="63">
        <v>2.84</v>
      </c>
      <c r="G234" s="63">
        <v>2.23</v>
      </c>
      <c r="H234" s="63"/>
      <c r="I234" s="63"/>
      <c r="J234" s="63">
        <v>17.7</v>
      </c>
      <c r="K234" s="63">
        <v>3.7</v>
      </c>
      <c r="L234" s="63">
        <v>5.44</v>
      </c>
      <c r="M234" s="63">
        <v>2.03</v>
      </c>
      <c r="N234" s="64" t="b">
        <f>TRUE()</f>
        <v>1</v>
      </c>
      <c r="O234" s="63">
        <v>123.6</v>
      </c>
    </row>
    <row r="235" spans="1:15" ht="12.75" customHeight="1">
      <c r="A235" s="61" t="s">
        <v>1145</v>
      </c>
      <c r="B235" s="61">
        <v>65</v>
      </c>
      <c r="C235" s="61">
        <v>30</v>
      </c>
      <c r="D235" s="62">
        <v>1.8</v>
      </c>
      <c r="E235" s="62">
        <v>1.8</v>
      </c>
      <c r="F235" s="63">
        <v>2.58</v>
      </c>
      <c r="G235" s="63">
        <v>2.02</v>
      </c>
      <c r="H235" s="63"/>
      <c r="I235" s="63"/>
      <c r="J235" s="63">
        <v>16.2</v>
      </c>
      <c r="K235" s="63">
        <v>3.5</v>
      </c>
      <c r="L235" s="63">
        <v>4.99</v>
      </c>
      <c r="M235" s="63">
        <v>1.88</v>
      </c>
      <c r="N235" s="64" t="b">
        <f>TRUE()</f>
        <v>1</v>
      </c>
      <c r="O235" s="63">
        <v>123.6</v>
      </c>
    </row>
    <row r="236" spans="1:15" ht="12.75" customHeight="1">
      <c r="A236" s="61" t="s">
        <v>1146</v>
      </c>
      <c r="B236" s="61">
        <v>65</v>
      </c>
      <c r="C236" s="61">
        <v>30</v>
      </c>
      <c r="D236" s="62">
        <v>1.6</v>
      </c>
      <c r="E236" s="62">
        <v>1.6</v>
      </c>
      <c r="F236" s="63">
        <v>2.31</v>
      </c>
      <c r="G236" s="63">
        <v>1.82</v>
      </c>
      <c r="H236" s="63"/>
      <c r="I236" s="63"/>
      <c r="J236" s="63">
        <v>14.7</v>
      </c>
      <c r="K236" s="63">
        <v>3.2</v>
      </c>
      <c r="L236" s="63">
        <v>4.52</v>
      </c>
      <c r="M236" s="63">
        <v>1.71</v>
      </c>
      <c r="N236" s="64" t="b">
        <f>TRUE()</f>
        <v>1</v>
      </c>
      <c r="O236" s="63">
        <v>123.6</v>
      </c>
    </row>
    <row r="237" spans="1:15" ht="12.75" customHeight="1">
      <c r="A237" s="61" t="s">
        <v>1147</v>
      </c>
      <c r="B237" s="61">
        <v>65</v>
      </c>
      <c r="C237" s="61">
        <v>30</v>
      </c>
      <c r="D237" s="62">
        <v>1.4</v>
      </c>
      <c r="E237" s="62">
        <v>1.4</v>
      </c>
      <c r="F237" s="63">
        <v>2.04</v>
      </c>
      <c r="G237" s="63">
        <v>1.6</v>
      </c>
      <c r="H237" s="63"/>
      <c r="I237" s="63"/>
      <c r="J237" s="63">
        <v>13.1</v>
      </c>
      <c r="K237" s="63">
        <v>2.8</v>
      </c>
      <c r="L237" s="63">
        <v>4.02</v>
      </c>
      <c r="M237" s="63">
        <v>1.54</v>
      </c>
      <c r="N237" s="64" t="b">
        <f>TRUE()</f>
        <v>1</v>
      </c>
      <c r="O237" s="63">
        <v>123.6</v>
      </c>
    </row>
    <row r="238" spans="1:15" ht="12.75" customHeight="1">
      <c r="A238" s="61" t="s">
        <v>1148</v>
      </c>
      <c r="B238" s="61">
        <v>65</v>
      </c>
      <c r="C238" s="61">
        <v>30</v>
      </c>
      <c r="D238" s="62">
        <v>1.2</v>
      </c>
      <c r="E238" s="62">
        <v>1.2</v>
      </c>
      <c r="F238" s="63">
        <v>1.77</v>
      </c>
      <c r="G238" s="63">
        <v>1.39</v>
      </c>
      <c r="H238" s="63"/>
      <c r="I238" s="63"/>
      <c r="J238" s="63">
        <v>11.4</v>
      </c>
      <c r="K238" s="63">
        <v>2.5</v>
      </c>
      <c r="L238" s="63">
        <v>3.51</v>
      </c>
      <c r="M238" s="63">
        <v>1.35</v>
      </c>
      <c r="N238" s="64" t="b">
        <f>TRUE()</f>
        <v>1</v>
      </c>
      <c r="O238" s="63">
        <v>123.6</v>
      </c>
    </row>
    <row r="240" spans="1:5" ht="12.75" customHeight="1">
      <c r="A240" s="61" t="s">
        <v>1149</v>
      </c>
      <c r="B240" s="63" t="s">
        <v>1150</v>
      </c>
      <c r="C240" s="63" t="s">
        <v>1151</v>
      </c>
      <c r="D240" s="63" t="s">
        <v>1152</v>
      </c>
      <c r="E240" s="63" t="s">
        <v>1153</v>
      </c>
    </row>
    <row r="241" spans="1:5" ht="12.75" customHeight="1">
      <c r="A241" s="61" t="s">
        <v>1154</v>
      </c>
      <c r="B241" s="63">
        <v>5.4</v>
      </c>
      <c r="C241" s="63">
        <v>13</v>
      </c>
      <c r="D241" s="63">
        <v>1.36</v>
      </c>
      <c r="E241" s="63">
        <v>5.76</v>
      </c>
    </row>
    <row r="242" spans="1:5" ht="12.75" customHeight="1">
      <c r="A242" s="61" t="s">
        <v>1155</v>
      </c>
      <c r="B242" s="63">
        <v>6.4</v>
      </c>
      <c r="C242" s="63">
        <v>17.1</v>
      </c>
      <c r="D242" s="63">
        <v>1.89</v>
      </c>
      <c r="E242" s="63">
        <v>6.67</v>
      </c>
    </row>
    <row r="243" spans="1:5" ht="12.75" customHeight="1">
      <c r="A243" s="61" t="s">
        <v>1156</v>
      </c>
      <c r="B243" s="63">
        <v>5.3</v>
      </c>
      <c r="C243" s="63">
        <v>13</v>
      </c>
      <c r="D243" s="63">
        <v>2.13</v>
      </c>
      <c r="E243" s="63">
        <v>3.67</v>
      </c>
    </row>
    <row r="244" spans="1:5" ht="12.75" customHeight="1">
      <c r="A244" s="61" t="s">
        <v>1157</v>
      </c>
      <c r="B244" s="63">
        <v>3.4</v>
      </c>
      <c r="C244" s="63">
        <v>11</v>
      </c>
      <c r="D244" s="63">
        <v>0.73</v>
      </c>
      <c r="E244" s="63">
        <v>8.14</v>
      </c>
    </row>
    <row r="245" spans="1:5" ht="12.75" customHeight="1">
      <c r="A245" s="61" t="s">
        <v>1158</v>
      </c>
      <c r="B245" s="63">
        <v>6.5</v>
      </c>
      <c r="C245" s="63">
        <v>18.9</v>
      </c>
      <c r="D245" s="63">
        <v>2.27</v>
      </c>
      <c r="E245" s="63">
        <v>5.15</v>
      </c>
    </row>
    <row r="246" spans="1:5" ht="12.75" customHeight="1">
      <c r="A246" s="61" t="s">
        <v>1159</v>
      </c>
      <c r="B246" s="63">
        <v>4.9</v>
      </c>
      <c r="C246" s="63">
        <v>14.2</v>
      </c>
      <c r="D246" s="63">
        <v>1.51</v>
      </c>
      <c r="E246" s="63">
        <v>4.68</v>
      </c>
    </row>
    <row r="247" spans="1:5" ht="12.75" customHeight="1">
      <c r="A247" s="61" t="s">
        <v>1160</v>
      </c>
      <c r="B247" s="63">
        <v>3.5</v>
      </c>
      <c r="C247" s="63">
        <v>10.9</v>
      </c>
      <c r="D247" s="63">
        <v>1.17</v>
      </c>
      <c r="E247" s="63">
        <v>4.59</v>
      </c>
    </row>
    <row r="248" spans="1:5" ht="12.75" customHeight="1">
      <c r="A248" s="61" t="s">
        <v>1161</v>
      </c>
      <c r="B248" s="63">
        <v>3.6</v>
      </c>
      <c r="C248" s="63">
        <v>13.1</v>
      </c>
      <c r="D248" s="63">
        <v>1.03</v>
      </c>
      <c r="E248" s="63">
        <v>8.62</v>
      </c>
    </row>
    <row r="249" spans="1:5" ht="12.75" customHeight="1">
      <c r="A249" s="61" t="s">
        <v>1162</v>
      </c>
      <c r="B249" s="63">
        <v>3.5</v>
      </c>
      <c r="C249" s="63">
        <v>11</v>
      </c>
      <c r="D249" s="63">
        <v>1.03</v>
      </c>
      <c r="E249" s="63">
        <v>7.72</v>
      </c>
    </row>
    <row r="250" spans="1:5" ht="12.75" customHeight="1">
      <c r="A250" s="61" t="s">
        <v>1163</v>
      </c>
      <c r="B250" s="63">
        <v>7.3</v>
      </c>
      <c r="C250" s="63">
        <v>19.3</v>
      </c>
      <c r="D250" s="63">
        <v>1.96</v>
      </c>
      <c r="E250" s="63">
        <v>7.7</v>
      </c>
    </row>
  </sheetData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34">
      <selection activeCell="G28" sqref="G28"/>
    </sheetView>
  </sheetViews>
  <sheetFormatPr defaultColWidth="9.140625" defaultRowHeight="12.75"/>
  <cols>
    <col min="1" max="1" width="28.140625" style="109" customWidth="1"/>
    <col min="2" max="2" width="19.140625" style="109" customWidth="1"/>
    <col min="3" max="3" width="9.140625" style="109" customWidth="1"/>
    <col min="4" max="4" width="9.28125" style="109" customWidth="1"/>
    <col min="5" max="5" width="19.140625" style="109" customWidth="1"/>
    <col min="6" max="6" width="11.7109375" style="109" customWidth="1"/>
    <col min="7" max="7" width="11.28125" style="109" customWidth="1"/>
    <col min="8" max="8" width="8.57421875" style="109" customWidth="1"/>
    <col min="9" max="9" width="8.00390625" style="109" customWidth="1"/>
    <col min="10" max="10" width="10.7109375" style="109" customWidth="1"/>
    <col min="11" max="11" width="10.140625" style="109" customWidth="1"/>
    <col min="12" max="16384" width="8.00390625" style="109" customWidth="1"/>
  </cols>
  <sheetData>
    <row r="1" spans="1:2" ht="12.75">
      <c r="A1" s="110" t="s">
        <v>1164</v>
      </c>
      <c r="B1" s="109" t="s">
        <v>1165</v>
      </c>
    </row>
    <row r="2" spans="1:2" ht="12.75">
      <c r="A2" s="110" t="s">
        <v>1166</v>
      </c>
      <c r="B2" s="109" t="s">
        <v>1167</v>
      </c>
    </row>
    <row r="3" spans="1:2" ht="12.75">
      <c r="A3" s="110" t="s">
        <v>1168</v>
      </c>
      <c r="B3" s="109" t="s">
        <v>1169</v>
      </c>
    </row>
    <row r="4" spans="1:2" ht="12.75">
      <c r="A4" s="110" t="s">
        <v>1170</v>
      </c>
      <c r="B4" s="111" t="s">
        <v>1171</v>
      </c>
    </row>
    <row r="6" spans="1:7" ht="12.75">
      <c r="A6" s="111" t="s">
        <v>1172</v>
      </c>
      <c r="D6" s="111" t="s">
        <v>1173</v>
      </c>
      <c r="G6" s="112"/>
    </row>
    <row r="7" spans="2:6" ht="12.75">
      <c r="B7" s="113" t="s">
        <v>1174</v>
      </c>
      <c r="C7" s="114">
        <v>2</v>
      </c>
      <c r="E7" s="111" t="s">
        <v>1175</v>
      </c>
      <c r="F7" s="112"/>
    </row>
    <row r="8" spans="2:6" ht="12.75">
      <c r="B8" s="113" t="s">
        <v>1176</v>
      </c>
      <c r="C8" s="114">
        <v>7</v>
      </c>
      <c r="E8" s="113" t="s">
        <v>1177</v>
      </c>
      <c r="F8" s="114">
        <v>77</v>
      </c>
    </row>
    <row r="9" spans="2:6" ht="12.75">
      <c r="B9" s="113" t="s">
        <v>1178</v>
      </c>
      <c r="C9" s="114">
        <v>3.666</v>
      </c>
      <c r="E9" s="113" t="s">
        <v>1179</v>
      </c>
      <c r="F9" s="114">
        <v>800</v>
      </c>
    </row>
    <row r="10" spans="2:6" ht="12.75">
      <c r="B10" s="113" t="s">
        <v>1180</v>
      </c>
      <c r="C10" s="109">
        <f>SUM(C7)/(C8/2)</f>
        <v>0.5714285714285714</v>
      </c>
      <c r="E10" s="111" t="s">
        <v>1181</v>
      </c>
      <c r="F10" s="115"/>
    </row>
    <row r="11" spans="2:6" ht="12.75">
      <c r="B11" s="113" t="s">
        <v>1182</v>
      </c>
      <c r="C11" s="114">
        <v>0.6</v>
      </c>
      <c r="E11" s="113" t="s">
        <v>1183</v>
      </c>
      <c r="F11" s="114">
        <v>1500</v>
      </c>
    </row>
    <row r="12" spans="2:6" ht="12.75">
      <c r="B12" s="113" t="s">
        <v>1184</v>
      </c>
      <c r="C12" s="114">
        <v>6</v>
      </c>
      <c r="E12" s="113" t="s">
        <v>1185</v>
      </c>
      <c r="F12" s="112"/>
    </row>
    <row r="13" spans="2:6" ht="12.75">
      <c r="B13" s="113" t="s">
        <v>1186</v>
      </c>
      <c r="C13" s="116" t="s">
        <v>1187</v>
      </c>
      <c r="E13" s="113" t="s">
        <v>1188</v>
      </c>
      <c r="F13" s="114">
        <v>0.67</v>
      </c>
    </row>
    <row r="14" spans="2:6" ht="12.75">
      <c r="B14" s="113" t="s">
        <v>1189</v>
      </c>
      <c r="C14" s="116" t="s">
        <v>1190</v>
      </c>
      <c r="E14" s="113" t="s">
        <v>1191</v>
      </c>
      <c r="F14" s="114">
        <v>0.7</v>
      </c>
    </row>
    <row r="15" spans="2:6" ht="12.75">
      <c r="B15" s="113" t="s">
        <v>1192</v>
      </c>
      <c r="C15" s="116">
        <v>1</v>
      </c>
      <c r="F15" s="112"/>
    </row>
    <row r="16" spans="2:5" ht="12.75">
      <c r="B16" s="113" t="s">
        <v>1193</v>
      </c>
      <c r="C16" s="116">
        <v>5.76</v>
      </c>
      <c r="E16" s="111" t="s">
        <v>1194</v>
      </c>
    </row>
    <row r="17" spans="2:6" ht="12.75">
      <c r="B17" s="113" t="s">
        <v>1195</v>
      </c>
      <c r="C17" s="116">
        <v>5.67</v>
      </c>
      <c r="E17" s="117" t="s">
        <v>1196</v>
      </c>
      <c r="F17" s="112">
        <f>F13*F14*F11*C15</f>
        <v>703.5</v>
      </c>
    </row>
    <row r="18" ht="12.75">
      <c r="C18" s="112"/>
    </row>
    <row r="19" spans="1:6" ht="12.75">
      <c r="A19" s="111" t="s">
        <v>1197</v>
      </c>
      <c r="C19" s="118" t="s">
        <v>1198</v>
      </c>
      <c r="D19" s="119" t="s">
        <v>1199</v>
      </c>
      <c r="E19" s="119" t="s">
        <v>1200</v>
      </c>
      <c r="F19" s="119" t="s">
        <v>1201</v>
      </c>
    </row>
    <row r="20" spans="1:6" ht="12.75">
      <c r="A20" s="120" t="s">
        <v>1202</v>
      </c>
      <c r="B20" s="121" t="s">
        <v>1203</v>
      </c>
      <c r="C20" s="122"/>
      <c r="D20" s="122"/>
      <c r="E20" s="122"/>
      <c r="F20" s="122"/>
    </row>
    <row r="21" spans="1:6" ht="12.75">
      <c r="A21" s="114">
        <v>50</v>
      </c>
      <c r="B21" s="114">
        <v>75</v>
      </c>
      <c r="C21" s="118" t="s">
        <v>1204</v>
      </c>
      <c r="D21" s="123" t="str">
        <f>REPT(G44,1)</f>
        <v>SAFE! </v>
      </c>
      <c r="E21" s="123" t="str">
        <f>REPT(G49,1)</f>
        <v>FAILS! </v>
      </c>
      <c r="F21" s="124" t="str">
        <f>REPT(G54,1)</f>
        <v>FAILS! </v>
      </c>
    </row>
    <row r="22" spans="1:6" ht="13.5">
      <c r="A22" s="125" t="s">
        <v>1205</v>
      </c>
      <c r="B22" s="126" t="s">
        <v>1206</v>
      </c>
      <c r="C22" s="118" t="s">
        <v>1207</v>
      </c>
      <c r="D22" s="123" t="str">
        <f>REPT(G45,1)</f>
        <v>SAFE! </v>
      </c>
      <c r="E22" s="123" t="str">
        <f>REPT(G50,1)</f>
        <v>FAILS! </v>
      </c>
      <c r="F22" s="124" t="str">
        <f>REPT(G55,1)</f>
        <v>FAILS! </v>
      </c>
    </row>
    <row r="23" spans="1:2" ht="12.75">
      <c r="A23" s="122"/>
      <c r="B23" s="122"/>
    </row>
    <row r="24" spans="1:3" ht="12.75">
      <c r="A24" s="125" t="s">
        <v>1208</v>
      </c>
      <c r="B24" s="127">
        <f>SUM(A21*B21*B21*B21)/12</f>
        <v>1757812.5</v>
      </c>
      <c r="C24" s="111" t="s">
        <v>1209</v>
      </c>
    </row>
    <row r="25" spans="1:4" ht="12.75">
      <c r="A25" s="125" t="s">
        <v>1210</v>
      </c>
      <c r="B25" s="127">
        <f>SUM(B21*A21*A21*A21)/12</f>
        <v>781250</v>
      </c>
      <c r="C25" s="109" t="s">
        <v>1211</v>
      </c>
      <c r="D25" s="111" t="s">
        <v>1212</v>
      </c>
    </row>
    <row r="26" spans="4:6" ht="12.75">
      <c r="D26" s="128" t="s">
        <v>1213</v>
      </c>
      <c r="E26" s="129">
        <f>SUM((COS(C10)*F8*C11)+(COS(C10)*B29*A21*B21/1000))</f>
        <v>55.89303623144244</v>
      </c>
      <c r="F26" s="109" t="s">
        <v>1214</v>
      </c>
    </row>
    <row r="27" spans="1:6" ht="12.75">
      <c r="A27" s="111" t="s">
        <v>1215</v>
      </c>
      <c r="D27" s="128" t="s">
        <v>1216</v>
      </c>
      <c r="E27" s="129">
        <f>F9*C11*COS(C10)</f>
        <v>403.74202243931336</v>
      </c>
      <c r="F27" s="109" t="s">
        <v>1217</v>
      </c>
    </row>
    <row r="28" spans="1:6" ht="12.75">
      <c r="A28" s="113" t="s">
        <v>1218</v>
      </c>
      <c r="B28" s="120" t="s">
        <v>1219</v>
      </c>
      <c r="D28" s="128" t="s">
        <v>1220</v>
      </c>
      <c r="E28" s="130">
        <f>SUM(F17*C11)</f>
        <v>422.09999999999997</v>
      </c>
      <c r="F28" s="109" t="s">
        <v>1221</v>
      </c>
    </row>
    <row r="29" spans="1:5" ht="12.75">
      <c r="A29" s="113" t="s">
        <v>1222</v>
      </c>
      <c r="B29" s="114">
        <v>5.4</v>
      </c>
      <c r="C29" s="109" t="s">
        <v>1223</v>
      </c>
      <c r="D29" s="111" t="s">
        <v>1224</v>
      </c>
      <c r="E29" s="111"/>
    </row>
    <row r="30" spans="1:5" ht="12.75">
      <c r="A30" s="113" t="s">
        <v>1225</v>
      </c>
      <c r="B30" s="114">
        <v>13</v>
      </c>
      <c r="E30" s="111"/>
    </row>
    <row r="31" spans="1:6" ht="12.75">
      <c r="A31" s="113" t="s">
        <v>1226</v>
      </c>
      <c r="B31" s="114">
        <v>1.36</v>
      </c>
      <c r="D31" s="128" t="s">
        <v>1227</v>
      </c>
      <c r="E31" s="111">
        <f>SUM((F8*C11)+(B29*A21*B21/1000))*SIN(C10)</f>
        <v>35.938433477694346</v>
      </c>
      <c r="F31" s="109" t="s">
        <v>1228</v>
      </c>
    </row>
    <row r="32" spans="1:6" ht="12.75">
      <c r="A32" s="113" t="s">
        <v>1229</v>
      </c>
      <c r="B32" s="114">
        <v>5.76</v>
      </c>
      <c r="D32" s="128" t="s">
        <v>1230</v>
      </c>
      <c r="E32" s="111">
        <f>SUM(F9*C11*SIN(C10))</f>
        <v>259.60042241223914</v>
      </c>
      <c r="F32" s="109" t="s">
        <v>1231</v>
      </c>
    </row>
    <row r="36" ht="12.75">
      <c r="A36" s="111" t="s">
        <v>1232</v>
      </c>
    </row>
    <row r="37" spans="1:8" ht="12.75">
      <c r="A37" s="172" t="s">
        <v>1233</v>
      </c>
      <c r="B37" s="172"/>
      <c r="C37" s="172" t="s">
        <v>1234</v>
      </c>
      <c r="D37" s="172"/>
      <c r="E37" s="173" t="s">
        <v>1235</v>
      </c>
      <c r="F37" s="173"/>
      <c r="G37" s="172" t="s">
        <v>1236</v>
      </c>
      <c r="H37" s="172"/>
    </row>
    <row r="38" spans="1:8" ht="12.75">
      <c r="A38" s="122"/>
      <c r="B38" s="122"/>
      <c r="C38" s="125" t="s">
        <v>1237</v>
      </c>
      <c r="D38" s="125" t="s">
        <v>1238</v>
      </c>
      <c r="E38" s="125" t="s">
        <v>1239</v>
      </c>
      <c r="F38" s="125" t="s">
        <v>1240</v>
      </c>
      <c r="G38" s="125" t="s">
        <v>1241</v>
      </c>
      <c r="H38" s="125" t="s">
        <v>1242</v>
      </c>
    </row>
    <row r="39" spans="1:8" ht="12.75">
      <c r="A39" s="132">
        <v>1</v>
      </c>
      <c r="B39" s="133" t="s">
        <v>1243</v>
      </c>
      <c r="C39" s="134">
        <f>E26+E27</f>
        <v>459.6350586707558</v>
      </c>
      <c r="D39" s="134">
        <f>E31+E32</f>
        <v>295.5388558899335</v>
      </c>
      <c r="E39" s="135">
        <f>SUM(C39*3/2)</f>
        <v>689.4525880061337</v>
      </c>
      <c r="F39" s="135">
        <f>SUM(D39*3/2)</f>
        <v>443.3082838349002</v>
      </c>
      <c r="G39" s="134">
        <f>C39*C9^2/8</f>
        <v>772.1613888211135</v>
      </c>
      <c r="H39" s="134">
        <f>D39*C9^2/8</f>
        <v>496.4888754885863</v>
      </c>
    </row>
    <row r="40" spans="1:8" ht="12.75">
      <c r="A40" s="132">
        <v>2</v>
      </c>
      <c r="B40" s="133" t="s">
        <v>1244</v>
      </c>
      <c r="C40" s="134">
        <f>SUM(E26+E27+E28)*0.75</f>
        <v>661.3012940030668</v>
      </c>
      <c r="D40" s="134">
        <f>SUM(E31+E32)*0.75</f>
        <v>221.6541419174501</v>
      </c>
      <c r="E40" s="135">
        <f>SUM(C40*3/2)</f>
        <v>991.9519410046003</v>
      </c>
      <c r="F40" s="135">
        <f>SUM(D40*3/2)</f>
        <v>332.48121287617516</v>
      </c>
      <c r="G40" s="134">
        <f>C40*C9^2/8</f>
        <v>1110.9494717033351</v>
      </c>
      <c r="H40" s="134">
        <f>D40*C9^2/8</f>
        <v>372.36665661643974</v>
      </c>
    </row>
    <row r="42" spans="1:7" ht="12.75">
      <c r="A42" s="131" t="s">
        <v>1245</v>
      </c>
      <c r="B42" s="131"/>
      <c r="C42" s="172" t="s">
        <v>1246</v>
      </c>
      <c r="D42" s="172"/>
      <c r="E42" s="131" t="s">
        <v>1247</v>
      </c>
      <c r="F42" s="131" t="s">
        <v>1248</v>
      </c>
      <c r="G42" s="131" t="s">
        <v>1249</v>
      </c>
    </row>
    <row r="43" spans="1:7" ht="12.75">
      <c r="A43" s="122"/>
      <c r="B43" s="122"/>
      <c r="C43" s="125"/>
      <c r="D43" s="125"/>
      <c r="E43" s="125"/>
      <c r="F43" s="125"/>
      <c r="G43" s="125"/>
    </row>
    <row r="44" spans="1:7" ht="12.75">
      <c r="A44" s="132">
        <v>3</v>
      </c>
      <c r="B44" s="133" t="s">
        <v>1250</v>
      </c>
      <c r="C44" s="136">
        <f>SUM(E39*3/(2*A21*B21))</f>
        <v>0.2757810352024535</v>
      </c>
      <c r="D44" s="136">
        <f>SUM(F39*3/(2*A21*B21))</f>
        <v>0.17732331353396008</v>
      </c>
      <c r="E44" s="136">
        <f>SQRT((C44*C44)+(D44*D44))</f>
        <v>0.32787</v>
      </c>
      <c r="F44" s="136">
        <f>SUM(B31)</f>
        <v>1.36</v>
      </c>
      <c r="G44" s="137" t="str">
        <f>IF(F44&lt;E44,"FAILS! ","SAFE! ")</f>
        <v>SAFE! </v>
      </c>
    </row>
    <row r="45" spans="1:7" ht="12.75">
      <c r="A45" s="132">
        <v>4</v>
      </c>
      <c r="B45" s="133" t="s">
        <v>1251</v>
      </c>
      <c r="C45" s="136">
        <f>SUM(E40*3/(2*A21*B21))</f>
        <v>0.39678077640184006</v>
      </c>
      <c r="D45" s="136">
        <f>SUM(F40*3/(2*A21*B21))</f>
        <v>0.13299248515047007</v>
      </c>
      <c r="E45" s="136">
        <f>SQRT((C45*C45)+(D45*D45))</f>
        <v>0.41847578858106593</v>
      </c>
      <c r="F45" s="136">
        <f>SUM(B31)</f>
        <v>1.36</v>
      </c>
      <c r="G45" s="137" t="str">
        <f>IF(F45&lt;E45,"FAILS! ","SAFE! ")</f>
        <v>SAFE! </v>
      </c>
    </row>
    <row r="46" ht="12.75">
      <c r="G46" s="120"/>
    </row>
    <row r="47" spans="1:7" ht="12.75">
      <c r="A47" s="131" t="s">
        <v>1252</v>
      </c>
      <c r="B47" s="131"/>
      <c r="C47" s="173" t="s">
        <v>1253</v>
      </c>
      <c r="D47" s="173"/>
      <c r="E47" s="131" t="s">
        <v>1254</v>
      </c>
      <c r="F47" s="131" t="s">
        <v>1255</v>
      </c>
      <c r="G47" s="131" t="s">
        <v>1256</v>
      </c>
    </row>
    <row r="48" spans="1:7" ht="12.75">
      <c r="A48" s="122"/>
      <c r="B48" s="122"/>
      <c r="C48" s="125" t="s">
        <v>1257</v>
      </c>
      <c r="D48" s="125" t="s">
        <v>1258</v>
      </c>
      <c r="E48" s="125" t="s">
        <v>1259</v>
      </c>
      <c r="F48" s="125" t="s">
        <v>1260</v>
      </c>
      <c r="G48" s="125"/>
    </row>
    <row r="49" spans="1:7" ht="12.75">
      <c r="A49" s="132">
        <v>3</v>
      </c>
      <c r="B49" s="133" t="s">
        <v>1261</v>
      </c>
      <c r="C49" s="135">
        <f>SUM(G39*6*1000)/(A21*B21*B21)</f>
        <v>16.472776294850423</v>
      </c>
      <c r="D49" s="135">
        <f>SUM(H39*6*1000)/(A21*A21*B21)</f>
        <v>15.887644015634763</v>
      </c>
      <c r="E49" s="136">
        <f>SUM(C49+D49)</f>
        <v>32.36042031048518</v>
      </c>
      <c r="F49" s="136">
        <f>SUM(B30)</f>
        <v>13</v>
      </c>
      <c r="G49" s="137" t="str">
        <f>IF(F49&lt;E49,"FAILS! ","SAFE! ")</f>
        <v>FAILS! </v>
      </c>
    </row>
    <row r="50" spans="1:7" ht="12.75">
      <c r="A50" s="132">
        <v>4</v>
      </c>
      <c r="B50" s="133" t="s">
        <v>1262</v>
      </c>
      <c r="C50" s="135">
        <f>SUM(G40*6*1000)/(A21*B21*B21)</f>
        <v>23.700255396337816</v>
      </c>
      <c r="D50" s="135">
        <f>SUM(H40*6*1000)/(A21*A21*B21)</f>
        <v>11.915733011726072</v>
      </c>
      <c r="E50" s="136">
        <f>SUM(C50+D50)</f>
        <v>35.615988408063885</v>
      </c>
      <c r="F50" s="136">
        <f>SUM(B30)</f>
        <v>13</v>
      </c>
      <c r="G50" s="137" t="str">
        <f>IF(F50&lt;E50,"FAILS! ","SAFE! ")</f>
        <v>FAILS! </v>
      </c>
    </row>
    <row r="51" spans="1:7" ht="12.75">
      <c r="A51" s="138"/>
      <c r="B51" s="139"/>
      <c r="G51" s="120"/>
    </row>
    <row r="52" spans="1:7" ht="12.75">
      <c r="A52" s="131" t="s">
        <v>1263</v>
      </c>
      <c r="B52" s="131"/>
      <c r="C52" s="172" t="s">
        <v>1264</v>
      </c>
      <c r="D52" s="172"/>
      <c r="E52" s="172"/>
      <c r="F52" s="172"/>
      <c r="G52" s="131" t="s">
        <v>1265</v>
      </c>
    </row>
    <row r="53" spans="1:7" ht="12.75">
      <c r="A53" s="122"/>
      <c r="B53" s="122"/>
      <c r="C53" s="125" t="s">
        <v>1266</v>
      </c>
      <c r="D53" s="125" t="s">
        <v>1267</v>
      </c>
      <c r="E53" s="125" t="s">
        <v>1268</v>
      </c>
      <c r="F53" s="125" t="s">
        <v>1269</v>
      </c>
      <c r="G53" s="125"/>
    </row>
    <row r="54" spans="1:7" ht="12.75">
      <c r="A54" s="132">
        <v>4</v>
      </c>
      <c r="B54" s="133" t="s">
        <v>1270</v>
      </c>
      <c r="C54" s="136">
        <f>SUM((5*C39*C9*C9*C9*C9*1000000)/(384*C16*B24))</f>
        <v>106.76446734669885</v>
      </c>
      <c r="D54" s="136">
        <f>SUM((5*D39*C9*C9*C9*C9*1000000)/(384*C16*B25))</f>
        <v>154.45810290522877</v>
      </c>
      <c r="E54" s="136">
        <f>SQRT((C54*C54)+(D54*D54))</f>
        <v>187.76569718909406</v>
      </c>
      <c r="F54" s="136">
        <f>SUM(C9/180)*1000</f>
        <v>20.366666666666664</v>
      </c>
      <c r="G54" s="137" t="str">
        <f>IF(F54&lt;E54,"FAILS! ","SAFE! ")</f>
        <v>FAILS! </v>
      </c>
    </row>
    <row r="55" spans="1:7" ht="12.75">
      <c r="A55" s="132">
        <v>5</v>
      </c>
      <c r="B55" s="133" t="s">
        <v>1271</v>
      </c>
      <c r="C55" s="136">
        <f>SUM((5*C40*C9*C9*C9*C9*1000000)/(384*C16*B24))</f>
        <v>153.60769175028173</v>
      </c>
      <c r="D55" s="136">
        <f>SUM((5*D40*C9*C9*C9*C9*1000000)/(384*C16*B25))</f>
        <v>115.84357717892158</v>
      </c>
      <c r="E55" s="136">
        <f>SQRT((C55*C55)+(D55*D55))</f>
        <v>192.39297632309328</v>
      </c>
      <c r="F55" s="136">
        <f>SUM(C9/180)*1000</f>
        <v>20.366666666666664</v>
      </c>
      <c r="G55" s="137" t="str">
        <f>IF(F55&lt;E55,"FAILS! ","SAFE! ")</f>
        <v>FAILS! </v>
      </c>
    </row>
    <row r="58" ht="11.25" customHeight="1"/>
    <row r="59" ht="9.75" customHeight="1"/>
    <row r="64" ht="9.75" customHeight="1"/>
  </sheetData>
  <mergeCells count="7">
    <mergeCell ref="G37:H37"/>
    <mergeCell ref="C42:D42"/>
    <mergeCell ref="C47:D47"/>
    <mergeCell ref="C52:F52"/>
    <mergeCell ref="A37:B37"/>
    <mergeCell ref="C37:D37"/>
    <mergeCell ref="E37:F37"/>
  </mergeCells>
  <printOptions/>
  <pageMargins left="0.7875" right="0.7875" top="0.7875" bottom="0.7875" header="0.09861111111111112" footer="0.09861111111111112"/>
  <pageSetup fitToHeight="0"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E31" sqref="E31"/>
    </sheetView>
  </sheetViews>
  <sheetFormatPr defaultColWidth="9.140625" defaultRowHeight="12.75"/>
  <cols>
    <col min="1" max="1" width="18.57421875" style="140" customWidth="1"/>
    <col min="2" max="2" width="15.421875" style="140" customWidth="1"/>
    <col min="3" max="3" width="17.421875" style="140" customWidth="1"/>
    <col min="4" max="4" width="8.57421875" style="140" customWidth="1"/>
    <col min="5" max="5" width="8.421875" style="140" customWidth="1"/>
    <col min="6" max="7" width="6.57421875" style="140" customWidth="1"/>
    <col min="8" max="8" width="4.28125" style="140" customWidth="1"/>
    <col min="9" max="9" width="15.8515625" style="140" customWidth="1"/>
    <col min="10" max="10" width="10.28125" style="140" customWidth="1"/>
    <col min="11" max="11" width="8.57421875" style="140" customWidth="1"/>
    <col min="12" max="12" width="10.140625" style="140" customWidth="1"/>
    <col min="13" max="13" width="13.421875" style="140" customWidth="1"/>
    <col min="14" max="14" width="4.00390625" style="140" customWidth="1"/>
    <col min="15" max="15" width="4.57421875" style="140" customWidth="1"/>
    <col min="16" max="16" width="7.421875" style="140" customWidth="1"/>
    <col min="17" max="16384" width="8.28125" style="140" customWidth="1"/>
  </cols>
  <sheetData>
    <row r="1" spans="1:3" ht="12.75">
      <c r="A1" s="150" t="s">
        <v>1272</v>
      </c>
      <c r="B1" s="141" t="s">
        <v>1393</v>
      </c>
      <c r="C1" s="142"/>
    </row>
    <row r="2" spans="1:3" ht="12.75">
      <c r="A2" s="150" t="s">
        <v>1273</v>
      </c>
      <c r="B2" s="141"/>
      <c r="C2" s="142"/>
    </row>
    <row r="3" spans="1:3" ht="12.75">
      <c r="A3" s="150" t="s">
        <v>1274</v>
      </c>
      <c r="B3" s="141"/>
      <c r="C3" s="142"/>
    </row>
    <row r="4" spans="1:3" ht="12.75">
      <c r="A4" s="150" t="s">
        <v>1275</v>
      </c>
      <c r="B4" s="141" t="s">
        <v>1276</v>
      </c>
      <c r="C4" s="142"/>
    </row>
    <row r="5" spans="1:3" ht="12.75">
      <c r="A5" s="150" t="s">
        <v>1394</v>
      </c>
      <c r="B5" s="141" t="s">
        <v>1395</v>
      </c>
      <c r="C5" s="142"/>
    </row>
    <row r="6" spans="1:3" ht="12.75">
      <c r="A6" s="150"/>
      <c r="B6" s="141"/>
      <c r="C6" s="142"/>
    </row>
    <row r="7" spans="1:2" ht="12.75">
      <c r="A7" s="150" t="s">
        <v>1277</v>
      </c>
      <c r="B7" s="143">
        <f ca="1">TODAY()</f>
        <v>39477</v>
      </c>
    </row>
    <row r="8" ht="12.75">
      <c r="A8" s="144" t="s">
        <v>1278</v>
      </c>
    </row>
    <row r="9" spans="2:8" ht="12.75">
      <c r="B9" s="140" t="s">
        <v>1279</v>
      </c>
      <c r="D9" s="145">
        <v>2</v>
      </c>
      <c r="E9" s="140" t="s">
        <v>1280</v>
      </c>
      <c r="H9" s="140" t="s">
        <v>1281</v>
      </c>
    </row>
    <row r="10" spans="2:5" ht="12.75">
      <c r="B10" s="140" t="s">
        <v>1282</v>
      </c>
      <c r="D10" s="145">
        <v>10.5</v>
      </c>
      <c r="E10" s="140" t="s">
        <v>1283</v>
      </c>
    </row>
    <row r="11" spans="2:11" ht="12.75">
      <c r="B11" s="140" t="s">
        <v>1284</v>
      </c>
      <c r="D11" s="145">
        <v>1.2</v>
      </c>
      <c r="E11" s="140" t="s">
        <v>1285</v>
      </c>
      <c r="I11" s="146" t="s">
        <v>1286</v>
      </c>
      <c r="J11" s="140">
        <f>SUM((((COS(D46*PI()/180)*D24*D13+COS(D46*PI()/180)*9.81*D37))))</f>
        <v>62.241368687396935</v>
      </c>
      <c r="K11" s="140" t="s">
        <v>1287</v>
      </c>
    </row>
    <row r="12" spans="2:11" ht="12.75">
      <c r="B12" s="140" t="s">
        <v>1288</v>
      </c>
      <c r="D12" s="145">
        <f>D9/(D10/2)</f>
        <v>0.38095238095238093</v>
      </c>
      <c r="E12" s="140" t="s">
        <v>1289</v>
      </c>
      <c r="I12" s="146" t="s">
        <v>1290</v>
      </c>
      <c r="J12" s="140">
        <f>SUM(((COS(D46*PI()/180)*D25*D13)))</f>
        <v>392.4848486701666</v>
      </c>
      <c r="K12" s="140" t="s">
        <v>1291</v>
      </c>
    </row>
    <row r="13" spans="2:11" ht="12.75">
      <c r="B13" s="140" t="s">
        <v>1292</v>
      </c>
      <c r="D13" s="145">
        <v>0.6</v>
      </c>
      <c r="E13" s="140" t="s">
        <v>1293</v>
      </c>
      <c r="I13" s="146" t="s">
        <v>1294</v>
      </c>
      <c r="J13" s="140">
        <f>D33*D13</f>
        <v>714.4199999999998</v>
      </c>
      <c r="K13" s="140" t="s">
        <v>1295</v>
      </c>
    </row>
    <row r="14" spans="2:10" ht="12.75">
      <c r="B14" s="140" t="s">
        <v>1296</v>
      </c>
      <c r="D14" s="145">
        <v>3.5</v>
      </c>
      <c r="E14" s="140" t="s">
        <v>1297</v>
      </c>
      <c r="J14" s="142"/>
    </row>
    <row r="15" spans="2:10" ht="12.75">
      <c r="B15" s="140" t="s">
        <v>1298</v>
      </c>
      <c r="D15" s="147" t="s">
        <v>1299</v>
      </c>
      <c r="J15" s="142"/>
    </row>
    <row r="16" spans="2:10" ht="12.75">
      <c r="B16" s="140" t="s">
        <v>1300</v>
      </c>
      <c r="D16" s="147" t="s">
        <v>1301</v>
      </c>
      <c r="H16" s="140" t="s">
        <v>1302</v>
      </c>
      <c r="J16" s="142"/>
    </row>
    <row r="17" spans="2:10" ht="12.75">
      <c r="B17" s="140" t="s">
        <v>1303</v>
      </c>
      <c r="D17" s="147">
        <v>1</v>
      </c>
      <c r="J17" s="142"/>
    </row>
    <row r="18" spans="2:11" ht="12.75">
      <c r="B18" s="140" t="s">
        <v>1304</v>
      </c>
      <c r="D18" s="147">
        <v>200</v>
      </c>
      <c r="E18" s="140" t="s">
        <v>1305</v>
      </c>
      <c r="I18" s="146" t="s">
        <v>1306</v>
      </c>
      <c r="J18" s="140">
        <f>(((((D24*D13+9.81*D37)))))*SIN((D46*PI()/180))</f>
        <v>23.71099759519883</v>
      </c>
      <c r="K18" s="140" t="s">
        <v>1307</v>
      </c>
    </row>
    <row r="19" spans="2:11" ht="12.75">
      <c r="B19" s="140" t="s">
        <v>1308</v>
      </c>
      <c r="D19" s="147">
        <v>170</v>
      </c>
      <c r="E19" s="140" t="s">
        <v>1309</v>
      </c>
      <c r="I19" s="146" t="s">
        <v>1310</v>
      </c>
      <c r="J19" s="140">
        <f>D25*D13*SIN((D46*PI()/180))</f>
        <v>149.51803758863488</v>
      </c>
      <c r="K19" s="140" t="s">
        <v>1311</v>
      </c>
    </row>
    <row r="20" spans="2:4" ht="12.75">
      <c r="B20" s="140" t="s">
        <v>1312</v>
      </c>
      <c r="D20" s="145" t="str">
        <f>IF(D21=1,"none",IF(D21=2,"mid point",IF(D21=3,"third point")))</f>
        <v>none</v>
      </c>
    </row>
    <row r="21" spans="3:16" ht="12.75">
      <c r="C21" s="140" t="s">
        <v>1313</v>
      </c>
      <c r="D21" s="145">
        <v>1</v>
      </c>
      <c r="H21" s="174" t="s">
        <v>1314</v>
      </c>
      <c r="I21" s="174"/>
      <c r="J21" s="174"/>
      <c r="K21" s="174"/>
      <c r="L21" s="174" t="s">
        <v>1315</v>
      </c>
      <c r="M21" s="174"/>
      <c r="N21" s="149"/>
      <c r="O21" s="149"/>
      <c r="P21" s="149"/>
    </row>
    <row r="22" spans="1:16" ht="12.75">
      <c r="A22" s="150" t="s">
        <v>1316</v>
      </c>
      <c r="D22" s="145"/>
      <c r="H22" s="174" t="s">
        <v>1317</v>
      </c>
      <c r="I22" s="174"/>
      <c r="J22" s="151" t="s">
        <v>1318</v>
      </c>
      <c r="K22" s="151" t="s">
        <v>1319</v>
      </c>
      <c r="L22" s="148" t="s">
        <v>1320</v>
      </c>
      <c r="M22" s="148" t="s">
        <v>1321</v>
      </c>
      <c r="N22" s="149"/>
      <c r="O22" s="149"/>
      <c r="P22" s="149"/>
    </row>
    <row r="23" spans="2:16" ht="12.75">
      <c r="B23" s="140" t="s">
        <v>1322</v>
      </c>
      <c r="D23" s="145"/>
      <c r="H23" s="152">
        <v>1</v>
      </c>
      <c r="I23" s="152" t="s">
        <v>1323</v>
      </c>
      <c r="J23" s="152">
        <f>J11+J12</f>
        <v>454.72621735756354</v>
      </c>
      <c r="K23" s="152">
        <f>J18+J19</f>
        <v>173.2290351838337</v>
      </c>
      <c r="L23" s="152">
        <f>J23*D11^2/8</f>
        <v>81.85071912436143</v>
      </c>
      <c r="M23" s="152">
        <f>IF(D21=1,SUM(K23*D11^2/8),IF(D21=2,SUM(K23*D11^2/32),IF(D21=3,SUM(K23*D11^2/90))))</f>
        <v>31.181226333090066</v>
      </c>
      <c r="N23" s="149"/>
      <c r="O23" s="149"/>
      <c r="P23" s="149"/>
    </row>
    <row r="24" spans="3:16" ht="12.75">
      <c r="C24" s="140" t="s">
        <v>1324</v>
      </c>
      <c r="D24" s="145">
        <v>77</v>
      </c>
      <c r="E24" s="140" t="s">
        <v>1325</v>
      </c>
      <c r="H24" s="152">
        <v>2</v>
      </c>
      <c r="I24" s="152" t="s">
        <v>1326</v>
      </c>
      <c r="J24" s="152">
        <f>SUM(J11+J12+J13)*0.75</f>
        <v>876.8596630181725</v>
      </c>
      <c r="K24" s="152">
        <f>SUM(J18+J19)*0.75</f>
        <v>129.92177638787527</v>
      </c>
      <c r="L24" s="152">
        <f>J24*D11^2/8</f>
        <v>157.83473934327102</v>
      </c>
      <c r="M24" s="152">
        <f>IF(D21=1,SUM(K24*D11^2/8),IF(D21=2,SUM(D11^2*K24/32),IF(D21=3,SUM(D11^2*K24/90))))</f>
        <v>23.385919749817546</v>
      </c>
      <c r="N24" s="149"/>
      <c r="O24" s="149"/>
      <c r="P24" s="149"/>
    </row>
    <row r="25" spans="2:16" ht="12.75">
      <c r="B25" s="140" t="s">
        <v>1327</v>
      </c>
      <c r="D25" s="145">
        <v>700</v>
      </c>
      <c r="E25" s="140" t="s">
        <v>1328</v>
      </c>
      <c r="H25" s="151"/>
      <c r="I25" s="151"/>
      <c r="J25" s="151"/>
      <c r="K25" s="152"/>
      <c r="L25" s="152"/>
      <c r="M25" s="152"/>
      <c r="N25" s="149"/>
      <c r="O25" s="149"/>
      <c r="P25" s="149"/>
    </row>
    <row r="26" spans="2:16" ht="12.75">
      <c r="B26" s="140" t="s">
        <v>1329</v>
      </c>
      <c r="D26" s="145">
        <v>0</v>
      </c>
      <c r="H26" s="175" t="s">
        <v>1330</v>
      </c>
      <c r="I26" s="175"/>
      <c r="J26" s="175"/>
      <c r="K26" s="175"/>
      <c r="L26" s="175" t="s">
        <v>1331</v>
      </c>
      <c r="M26" s="175"/>
      <c r="N26" s="149"/>
      <c r="O26" s="148" t="s">
        <v>1332</v>
      </c>
      <c r="P26" s="148" t="s">
        <v>1333</v>
      </c>
    </row>
    <row r="27" spans="2:16" ht="12.75">
      <c r="B27" s="140" t="s">
        <v>1334</v>
      </c>
      <c r="D27" s="145">
        <v>2700</v>
      </c>
      <c r="E27" s="140" t="s">
        <v>1335</v>
      </c>
      <c r="H27" s="174" t="s">
        <v>1336</v>
      </c>
      <c r="I27" s="174"/>
      <c r="J27" s="151" t="s">
        <v>1337</v>
      </c>
      <c r="K27" s="151" t="s">
        <v>1338</v>
      </c>
      <c r="L27" s="151" t="s">
        <v>1339</v>
      </c>
      <c r="M27" s="151" t="s">
        <v>1340</v>
      </c>
      <c r="N27" s="149"/>
      <c r="O27" s="149"/>
      <c r="P27" s="148" t="s">
        <v>1341</v>
      </c>
    </row>
    <row r="28" spans="2:16" ht="12.75">
      <c r="B28" s="140" t="s">
        <v>1342</v>
      </c>
      <c r="D28" s="145"/>
      <c r="H28" s="152">
        <v>1</v>
      </c>
      <c r="I28" s="152" t="s">
        <v>1343</v>
      </c>
      <c r="J28" s="152">
        <f>L23*1000/(D43*1000)</f>
        <v>16.46895757029405</v>
      </c>
      <c r="K28" s="149">
        <f>M23*1000/(0.5*D44*1000)</f>
        <v>32.48044409696882</v>
      </c>
      <c r="L28" s="152">
        <f>C57</f>
        <v>138</v>
      </c>
      <c r="M28" s="152">
        <f>C58</f>
        <v>123.6</v>
      </c>
      <c r="N28" s="153">
        <f>SUM(J28/L28+K28/M28)</f>
        <v>0.3821270367870903</v>
      </c>
      <c r="O28" s="148" t="str">
        <f>IF(N28&gt;1,"fails","safe")</f>
        <v>safe</v>
      </c>
      <c r="P28" s="148" t="str">
        <f>IF(N28&gt;N29,"case 1 ","case 2")</f>
        <v>case 2</v>
      </c>
    </row>
    <row r="29" spans="2:16" ht="12.75">
      <c r="B29" s="140" t="s">
        <v>1344</v>
      </c>
      <c r="D29" s="145">
        <f>tables!G15</f>
        <v>0.63</v>
      </c>
      <c r="H29" s="152">
        <v>2</v>
      </c>
      <c r="I29" s="152" t="s">
        <v>1345</v>
      </c>
      <c r="J29" s="152">
        <f>L24*1000/(D43*1000)</f>
        <v>31.757492825607855</v>
      </c>
      <c r="K29" s="149">
        <f>M24*1000/(0.5*D44*1000)</f>
        <v>24.36033307272661</v>
      </c>
      <c r="L29" s="149">
        <f>L28</f>
        <v>138</v>
      </c>
      <c r="M29" s="152">
        <f>M28</f>
        <v>123.6</v>
      </c>
      <c r="N29" s="149">
        <f>SUM(J29/L29+K29/M29)</f>
        <v>0.427216833009791</v>
      </c>
      <c r="O29" s="148" t="str">
        <f>IF(N29&gt;1,"fails","safe")</f>
        <v>safe</v>
      </c>
      <c r="P29" s="148" t="str">
        <f>IF(N29&gt;N28,"case 2","case 1")</f>
        <v>case 2</v>
      </c>
    </row>
    <row r="30" spans="2:15" ht="12.75">
      <c r="B30" s="140" t="s">
        <v>1346</v>
      </c>
      <c r="D30" s="145">
        <v>0.7</v>
      </c>
      <c r="H30" s="148"/>
      <c r="N30" s="149"/>
      <c r="O30" s="149"/>
    </row>
    <row r="31" ht="12.75">
      <c r="D31" s="145"/>
    </row>
    <row r="32" spans="2:8" ht="12.75">
      <c r="B32" s="140" t="s">
        <v>1347</v>
      </c>
      <c r="D32" s="145" t="s">
        <v>1348</v>
      </c>
      <c r="H32" s="142" t="s">
        <v>1349</v>
      </c>
    </row>
    <row r="33" spans="4:5" ht="12.75">
      <c r="D33" s="145">
        <f>D29*D30*D27*D17</f>
        <v>1190.6999999999998</v>
      </c>
      <c r="E33" s="140" t="s">
        <v>1350</v>
      </c>
    </row>
    <row r="34" spans="4:10" ht="12.75">
      <c r="D34" s="145"/>
      <c r="H34" s="142" t="s">
        <v>1351</v>
      </c>
      <c r="J34" s="154">
        <f>D11*1000/180</f>
        <v>6.666666666666667</v>
      </c>
    </row>
    <row r="35" spans="2:4" ht="12.75">
      <c r="B35" s="142" t="s">
        <v>1352</v>
      </c>
      <c r="C35" s="104" t="s">
        <v>1353</v>
      </c>
      <c r="D35" s="145"/>
    </row>
    <row r="36" spans="8:12" ht="12.75">
      <c r="H36" s="149" t="s">
        <v>1354</v>
      </c>
      <c r="I36" s="155" t="s">
        <v>1355</v>
      </c>
      <c r="J36" s="176" t="s">
        <v>1356</v>
      </c>
      <c r="K36" s="177">
        <f>SUM(5*I55*D11^4*100/((384*D41*D18)))</f>
        <v>0.6364304005777057</v>
      </c>
      <c r="L36" s="178" t="str">
        <f>IF(K36&lt;J34,"SAFE","FAILS")</f>
        <v>SAFE</v>
      </c>
    </row>
    <row r="37" spans="3:12" ht="12.75">
      <c r="C37" s="142" t="s">
        <v>1357</v>
      </c>
      <c r="D37" s="140">
        <f>sda3!F231</f>
        <v>2.08</v>
      </c>
      <c r="E37" s="140" t="s">
        <v>1358</v>
      </c>
      <c r="H37" s="149"/>
      <c r="I37" s="149" t="s">
        <v>1359</v>
      </c>
      <c r="J37" s="176"/>
      <c r="K37" s="177"/>
      <c r="L37" s="178"/>
    </row>
    <row r="38" spans="3:12" ht="15.75">
      <c r="C38" s="142" t="s">
        <v>1360</v>
      </c>
      <c r="D38" s="140">
        <v>75</v>
      </c>
      <c r="E38" s="140" t="s">
        <v>1361</v>
      </c>
      <c r="H38" s="149"/>
      <c r="I38" s="149"/>
      <c r="K38" s="156"/>
      <c r="L38" s="157"/>
    </row>
    <row r="39" spans="3:12" ht="12.75">
      <c r="C39" s="142" t="s">
        <v>1362</v>
      </c>
      <c r="D39" s="140">
        <v>38</v>
      </c>
      <c r="E39" s="140" t="s">
        <v>1363</v>
      </c>
      <c r="H39" s="149" t="s">
        <v>1364</v>
      </c>
      <c r="I39" s="155" t="s">
        <v>1365</v>
      </c>
      <c r="J39" s="176" t="s">
        <v>1366</v>
      </c>
      <c r="K39" s="177">
        <f>SUM(5*J55*D11^4*100/(384*D18*D42))</f>
        <v>0.5083895597786424</v>
      </c>
      <c r="L39" s="178" t="str">
        <f>IF(K39&lt;J34,"SAFE","FAILS")</f>
        <v>SAFE</v>
      </c>
    </row>
    <row r="40" spans="3:12" ht="12.75">
      <c r="C40" s="142" t="s">
        <v>1367</v>
      </c>
      <c r="D40" s="140">
        <v>1.2</v>
      </c>
      <c r="E40" s="140" t="s">
        <v>1368</v>
      </c>
      <c r="H40" s="149"/>
      <c r="I40" s="149" t="s">
        <v>1369</v>
      </c>
      <c r="J40" s="176"/>
      <c r="K40" s="177"/>
      <c r="L40" s="178"/>
    </row>
    <row r="41" spans="3:5" ht="12.75">
      <c r="C41" s="142" t="s">
        <v>1370</v>
      </c>
      <c r="D41" s="140">
        <f>sda3!J231</f>
        <v>18.6</v>
      </c>
      <c r="E41" s="140" t="s">
        <v>1371</v>
      </c>
    </row>
    <row r="42" spans="3:5" ht="12.75">
      <c r="C42" s="142" t="s">
        <v>1372</v>
      </c>
      <c r="D42" s="140">
        <f>sda3!K231</f>
        <v>4.6</v>
      </c>
      <c r="E42" s="140" t="s">
        <v>1373</v>
      </c>
    </row>
    <row r="43" spans="3:5" ht="12.75">
      <c r="C43" s="142" t="s">
        <v>1374</v>
      </c>
      <c r="D43" s="140">
        <f>sda3!L231</f>
        <v>4.97</v>
      </c>
      <c r="E43" s="140" t="s">
        <v>1375</v>
      </c>
    </row>
    <row r="44" spans="3:5" ht="12.75">
      <c r="C44" s="142" t="s">
        <v>1376</v>
      </c>
      <c r="D44" s="140">
        <f>sda3!M231</f>
        <v>1.92</v>
      </c>
      <c r="E44" s="140" t="s">
        <v>1377</v>
      </c>
    </row>
    <row r="46" spans="3:5" ht="12.75">
      <c r="C46" s="142" t="s">
        <v>1378</v>
      </c>
      <c r="D46" s="140">
        <f>DEGREES(((((ATAN((D9/(D10/2))))))))</f>
        <v>20.854458039578347</v>
      </c>
      <c r="E46" s="140" t="s">
        <v>1379</v>
      </c>
    </row>
    <row r="47" ht="12.75">
      <c r="D47" s="158"/>
    </row>
    <row r="55" spans="1:10" ht="12.75">
      <c r="A55" s="149">
        <v>170</v>
      </c>
      <c r="B55" s="140">
        <f>170/SQRT(D19)</f>
        <v>13.038404810405297</v>
      </c>
      <c r="C55" s="140" t="str">
        <f>IF(B55&gt;D55,"COMPACT","non-compact")</f>
        <v>non-compact</v>
      </c>
      <c r="D55" s="140">
        <f>D39/(2*D40)</f>
        <v>15.833333333333334</v>
      </c>
      <c r="E55" s="149" t="s">
        <v>1380</v>
      </c>
      <c r="F55" s="149"/>
      <c r="G55" s="149"/>
      <c r="I55" s="140">
        <f>IF(J23&gt;J24,SUM(J23),SUM(J24))</f>
        <v>876.8596630181725</v>
      </c>
      <c r="J55" s="140">
        <f>IF(K23&gt;K24,SUM(K23),SUM(K24))</f>
        <v>173.2290351838337</v>
      </c>
    </row>
    <row r="56" spans="1:7" ht="12.75">
      <c r="A56" s="149" t="s">
        <v>1381</v>
      </c>
      <c r="E56" s="155" t="s">
        <v>1382</v>
      </c>
      <c r="F56" s="155"/>
      <c r="G56" s="155"/>
    </row>
    <row r="57" spans="1:3" ht="12.75">
      <c r="A57" s="140" t="s">
        <v>1383</v>
      </c>
      <c r="B57" s="140">
        <f>IF(C55="COMPACT",SUM(0.66*D19),SUM(0.6*D19))</f>
        <v>102.00000000000001</v>
      </c>
      <c r="C57" s="140">
        <f>IF(B57=138,SUM(123.6),138)</f>
        <v>138</v>
      </c>
    </row>
    <row r="58" spans="1:3" ht="12.75">
      <c r="A58" s="140" t="s">
        <v>1384</v>
      </c>
      <c r="B58" s="140">
        <f>IF(C55="COMPACT",SUM(0.6*D19),SUM(0.5*D19))</f>
        <v>85</v>
      </c>
      <c r="C58" s="140">
        <f>123.6</f>
        <v>123.6</v>
      </c>
    </row>
    <row r="68" ht="12.75">
      <c r="A68" s="142" t="s">
        <v>1385</v>
      </c>
    </row>
    <row r="70" spans="1:3" ht="11.25" customHeight="1">
      <c r="A70" s="149" t="s">
        <v>1386</v>
      </c>
      <c r="B70" s="149">
        <f>D39</f>
        <v>38</v>
      </c>
      <c r="C70" s="176">
        <v>2.86</v>
      </c>
    </row>
    <row r="71" spans="1:3" ht="9.75" customHeight="1">
      <c r="A71" s="149" t="s">
        <v>1387</v>
      </c>
      <c r="B71" s="149" t="s">
        <v>1388</v>
      </c>
      <c r="C71" s="176"/>
    </row>
    <row r="72" spans="1:3" ht="12.75">
      <c r="A72" s="149" t="s">
        <v>1389</v>
      </c>
      <c r="B72" s="149">
        <f>2*D40</f>
        <v>2.4</v>
      </c>
      <c r="C72" s="176"/>
    </row>
    <row r="75" spans="1:3" ht="12.75">
      <c r="A75" s="149">
        <v>170</v>
      </c>
      <c r="B75" s="149">
        <v>170</v>
      </c>
      <c r="C75" s="176">
        <v>11.21</v>
      </c>
    </row>
    <row r="76" spans="1:3" ht="9.75" customHeight="1">
      <c r="A76" s="149" t="s">
        <v>1390</v>
      </c>
      <c r="B76" s="149" t="s">
        <v>1391</v>
      </c>
      <c r="C76" s="176"/>
    </row>
    <row r="77" spans="1:3" ht="12.75">
      <c r="A77" s="140" t="s">
        <v>1392</v>
      </c>
      <c r="B77" s="149">
        <f>SQRT(D19)</f>
        <v>13.038404810405298</v>
      </c>
      <c r="C77" s="176"/>
    </row>
  </sheetData>
  <mergeCells count="14">
    <mergeCell ref="C75:C77"/>
    <mergeCell ref="J39:J40"/>
    <mergeCell ref="K39:K40"/>
    <mergeCell ref="L39:L40"/>
    <mergeCell ref="C70:C72"/>
    <mergeCell ref="H27:I27"/>
    <mergeCell ref="J36:J37"/>
    <mergeCell ref="K36:K37"/>
    <mergeCell ref="L36:L37"/>
    <mergeCell ref="H21:K21"/>
    <mergeCell ref="L21:M21"/>
    <mergeCell ref="H22:I22"/>
    <mergeCell ref="H26:K26"/>
    <mergeCell ref="L26:M26"/>
  </mergeCells>
  <printOptions/>
  <pageMargins left="0.7875" right="0.7875" top="0.7875" bottom="0.7875" header="0.1" footer="0.09861111111111112"/>
  <pageSetup firstPageNumber="1" useFirstPageNumber="1" fitToHeight="0" horizontalDpi="300" verticalDpi="300" orientation="portrait"/>
  <headerFooter alignWithMargins="0">
    <oddHeader>&amp;C&amp;"Unicorn,Regular"&amp;12design of steel purlins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</cp:lastModifiedBy>
  <cp:lastPrinted>2005-04-25T06:21:55Z</cp:lastPrinted>
  <dcterms:created xsi:type="dcterms:W3CDTF">2004-06-01T14:54:16Z</dcterms:created>
  <dcterms:modified xsi:type="dcterms:W3CDTF">2008-01-30T12:50:10Z</dcterms:modified>
  <cp:category/>
  <cp:version/>
  <cp:contentType/>
  <cp:contentStatus/>
  <cp:revision>40</cp:revision>
</cp:coreProperties>
</file>