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51" windowWidth="12000" windowHeight="6495" activeTab="0"/>
  </bookViews>
  <sheets>
    <sheet name="Sheet1" sheetId="1" r:id="rId1"/>
    <sheet name="Sheet2" sheetId="2" r:id="rId2"/>
    <sheet name="Sheet3" sheetId="3" r:id="rId3"/>
  </sheets>
  <definedNames>
    <definedName name="Ab">'Sheet1'!$J$15</definedName>
    <definedName name="Ah">'Sheet1'!$J$16</definedName>
    <definedName name="Ar">'Sheet1'!$G$11</definedName>
    <definedName name="b">'Sheet1'!$B$7</definedName>
    <definedName name="BC">'Sheet1'!#REF!</definedName>
    <definedName name="bn">'Sheet1'!$J$13</definedName>
    <definedName name="BS">'Sheet1'!#REF!</definedName>
    <definedName name="cg">'Sheet1'!$D$12</definedName>
    <definedName name="CT">'Sheet1'!$G$33</definedName>
    <definedName name="Den">'Sheet1'!#REF!</definedName>
    <definedName name="DenT">'Sheet1'!#REF!</definedName>
    <definedName name="Dp">'Sheet1'!#REF!</definedName>
    <definedName name="Dsw">'Sheet1'!#REF!</definedName>
    <definedName name="Dt">'Sheet1'!#REF!</definedName>
    <definedName name="DTot">'Sheet1'!#REF!</definedName>
    <definedName name="Dw">'Sheet1'!#REF!</definedName>
    <definedName name="E">'Sheet1'!$D$23</definedName>
    <definedName name="eg">'Sheet1'!$G$12</definedName>
    <definedName name="ESMx">'Sheet1'!$D$14</definedName>
    <definedName name="ESMy">'Sheet1'!$G$14</definedName>
    <definedName name="ET">'Sheet1'!#REF!</definedName>
    <definedName name="etax">'Sheet1'!$B$29</definedName>
    <definedName name="etay">'Sheet1'!$C$29</definedName>
    <definedName name="f">'Sheet1'!$B$9</definedName>
    <definedName name="Facex">'Sheet1'!$F$28</definedName>
    <definedName name="Facey">'Sheet1'!$G$28</definedName>
    <definedName name="Facpx">'Sheet1'!$F$29</definedName>
    <definedName name="Facpy">'Sheet1'!$G$29</definedName>
    <definedName name="fcex">'Sheet1'!$F$26</definedName>
    <definedName name="fcey">'Sheet1'!$G$26</definedName>
    <definedName name="fcpx">'Sheet1'!$F$27</definedName>
    <definedName name="fcpy">'Sheet1'!$G$27</definedName>
    <definedName name="fe">'Sheet1'!$D$19</definedName>
    <definedName name="Focx">'Sheet1'!$F$25</definedName>
    <definedName name="Focy">'Sheet1'!$G$25</definedName>
    <definedName name="fp">'Sheet1'!$F$19</definedName>
    <definedName name="g">'Sheet1'!$B$10</definedName>
    <definedName name="h">'Sheet1'!$D$11</definedName>
    <definedName name="hinput">'Sheet1'!$B$8</definedName>
    <definedName name="hn">'Sheet1'!$J$14</definedName>
    <definedName name="Ia">'Sheet1'!$D$35</definedName>
    <definedName name="Ib">'Sheet1'!$D$36</definedName>
    <definedName name="IM">'Sheet1'!$C$3</definedName>
    <definedName name="Ip">'Sheet1'!$G$31</definedName>
    <definedName name="Iq">'Sheet1'!$G$32</definedName>
    <definedName name="Ix">'Sheet1'!$D$13</definedName>
    <definedName name="Ixy">'Sheet1'!$D$31</definedName>
    <definedName name="Iy">'Sheet1'!$G$13</definedName>
    <definedName name="kLbyrx">'Sheet1'!$B$28</definedName>
    <definedName name="kLbyry">'Sheet1'!$C$28</definedName>
    <definedName name="kx">'Sheet1'!$B$26</definedName>
    <definedName name="ky">'Sheet1'!$C$26</definedName>
    <definedName name="Lu">'Sheet1'!$Q$6</definedName>
    <definedName name="Lx">'Sheet1'!$B$25</definedName>
    <definedName name="Ly">'Sheet1'!$C$25</definedName>
    <definedName name="Pa">'Sheet1'!$G$35</definedName>
    <definedName name="Pb">'Sheet1'!$J$31</definedName>
    <definedName name="Pc">'Sheet1'!$J$33</definedName>
    <definedName name="pcg">'Sheet1'!$D$15</definedName>
    <definedName name="peg">'Sheet1'!$G$15</definedName>
    <definedName name="pmax">'Sheet1'!$J$35</definedName>
    <definedName name="PSMx">'Sheet1'!$D$16</definedName>
    <definedName name="PSMy">'Sheet1'!$G$16</definedName>
    <definedName name="Qa">'Sheet1'!$G$36</definedName>
    <definedName name="Qb">'Sheet1'!$J$32</definedName>
    <definedName name="Qc">'Sheet1'!$J$34</definedName>
    <definedName name="qmax">'Sheet1'!$J$36</definedName>
    <definedName name="rx">'Sheet1'!$B$27</definedName>
    <definedName name="ry">'Sheet1'!$C$27</definedName>
    <definedName name="SAn">'Sheet1'!#REF!</definedName>
    <definedName name="SN">'Sheet1'!$C$4</definedName>
    <definedName name="SS">'Sheet1'!#REF!</definedName>
    <definedName name="ST">'Sheet1'!$G$34</definedName>
    <definedName name="SW">'Sheet1'!#REF!</definedName>
    <definedName name="SwC">'Sheet1'!#REF!</definedName>
    <definedName name="SwE">'Sheet1'!#REF!</definedName>
    <definedName name="t">'Sheet1'!#REF!</definedName>
    <definedName name="Td">'Sheet1'!$D$34</definedName>
    <definedName name="Tr">'Sheet1'!$D$32</definedName>
    <definedName name="u">'Sheet1'!#REF!</definedName>
    <definedName name="Vp">'Sheet1'!#REF!</definedName>
    <definedName name="Vsw">'Sheet1'!#REF!</definedName>
    <definedName name="Vt">'Sheet1'!#REF!</definedName>
    <definedName name="VTot">'Sheet1'!#REF!</definedName>
    <definedName name="Vw">'Sheet1'!#REF!</definedName>
    <definedName name="w">'Sheet1'!#REF!</definedName>
    <definedName name="YST">'Sheet1'!#REF!</definedName>
  </definedNames>
  <calcPr fullCalcOnLoad="1"/>
</workbook>
</file>

<file path=xl/sharedStrings.xml><?xml version="1.0" encoding="utf-8"?>
<sst xmlns="http://schemas.openxmlformats.org/spreadsheetml/2006/main" count="94" uniqueCount="92">
  <si>
    <t>b =</t>
  </si>
  <si>
    <t>h =</t>
  </si>
  <si>
    <t>Ar =</t>
  </si>
  <si>
    <t>Ix =</t>
  </si>
  <si>
    <t>cg =</t>
  </si>
  <si>
    <t>eg =</t>
  </si>
  <si>
    <t>f =</t>
  </si>
  <si>
    <t>g =</t>
  </si>
  <si>
    <t>hn =</t>
  </si>
  <si>
    <t>Ab =</t>
  </si>
  <si>
    <t>Ah =</t>
  </si>
  <si>
    <t>Iy =</t>
  </si>
  <si>
    <t>Ixy =</t>
  </si>
  <si>
    <t>Tr =</t>
  </si>
  <si>
    <t>Radians</t>
  </si>
  <si>
    <t>Degrees</t>
  </si>
  <si>
    <t>Ia =</t>
  </si>
  <si>
    <t>Ib =</t>
  </si>
  <si>
    <t>Ip =</t>
  </si>
  <si>
    <t>Iq =</t>
  </si>
  <si>
    <t>CT =</t>
  </si>
  <si>
    <t>ST =</t>
  </si>
  <si>
    <t>Pa =</t>
  </si>
  <si>
    <t xml:space="preserve">Qa = </t>
  </si>
  <si>
    <t>Pb =</t>
  </si>
  <si>
    <t>Qb =</t>
  </si>
  <si>
    <t>Pc =</t>
  </si>
  <si>
    <t>Qc =</t>
  </si>
  <si>
    <t>pmax =</t>
  </si>
  <si>
    <t>qmax =</t>
  </si>
  <si>
    <t>bn =</t>
  </si>
  <si>
    <t>END</t>
  </si>
  <si>
    <t>TITLE :</t>
  </si>
  <si>
    <t>Test problem</t>
  </si>
  <si>
    <t>Section No.</t>
  </si>
  <si>
    <t>Input Dimensions:</t>
  </si>
  <si>
    <t>The computations</t>
  </si>
  <si>
    <t>in the next three</t>
  </si>
  <si>
    <t xml:space="preserve">if and when the </t>
  </si>
  <si>
    <t>section analysed is</t>
  </si>
  <si>
    <t>Units (1=in., 2=mm)</t>
  </si>
  <si>
    <t>Theta =</t>
  </si>
  <si>
    <t>columns appear only</t>
  </si>
  <si>
    <t>Angle θ, + as marked in figure,</t>
  </si>
  <si>
    <t>an angle, No.6</t>
  </si>
  <si>
    <t>Elastic Sec. Modulus</t>
  </si>
  <si>
    <t>Plastic Sec. Modulus</t>
  </si>
  <si>
    <t>Mom. of Inertia</t>
  </si>
  <si>
    <t>Centroid</t>
  </si>
  <si>
    <t>PSMx =</t>
  </si>
  <si>
    <t>PSMy =</t>
  </si>
  <si>
    <t>peg =</t>
  </si>
  <si>
    <t>pcg =</t>
  </si>
  <si>
    <t>Circle h=</t>
  </si>
  <si>
    <t>Plastic(Equiv)N.Axes</t>
  </si>
  <si>
    <t>INTERMEDIATE COMPUTATIONS</t>
  </si>
  <si>
    <t xml:space="preserve"> When you  use the program, it is presumed you indemnify the author against all</t>
  </si>
  <si>
    <t>liability. - N. Krishnamurthy</t>
  </si>
  <si>
    <r>
      <t xml:space="preserve"> Prof. N. Krishnamurthy's</t>
    </r>
    <r>
      <rPr>
        <sz val="11"/>
        <color indexed="10"/>
        <rFont val="Arial Black"/>
        <family val="2"/>
      </rPr>
      <t xml:space="preserve"> Section Properties for Common Shapes</t>
    </r>
    <r>
      <rPr>
        <b/>
        <sz val="12"/>
        <color indexed="12"/>
        <rFont val="Arial Narrow"/>
        <family val="2"/>
      </rPr>
      <t xml:space="preserve"> (Website: www.profkrishna.com)</t>
    </r>
  </si>
  <si>
    <t>Limiting stress</t>
  </si>
  <si>
    <t>Elastic</t>
  </si>
  <si>
    <t>Mex =</t>
  </si>
  <si>
    <t>Max. Axial Force</t>
  </si>
  <si>
    <t>Max. x-axis Moment</t>
  </si>
  <si>
    <t>Max. y-axis Moment</t>
  </si>
  <si>
    <t>Mey =</t>
  </si>
  <si>
    <t>k =</t>
  </si>
  <si>
    <t>Unbr. L =</t>
  </si>
  <si>
    <t>E =</t>
  </si>
  <si>
    <t>r =</t>
  </si>
  <si>
    <t>Plastic</t>
  </si>
  <si>
    <t>Yield fp =</t>
  </si>
  <si>
    <t>Pp =</t>
  </si>
  <si>
    <t>Mpx =</t>
  </si>
  <si>
    <t>Mpy =</t>
  </si>
  <si>
    <t>kLbyr =</t>
  </si>
  <si>
    <t>eta =</t>
  </si>
  <si>
    <t>EulerFoc=</t>
  </si>
  <si>
    <t>Elas.fc =</t>
  </si>
  <si>
    <t>Plas.fc =</t>
  </si>
  <si>
    <t>x-Buckle</t>
  </si>
  <si>
    <t>y-Buckle</t>
  </si>
  <si>
    <t>Elas.Fac=</t>
  </si>
  <si>
    <t>Plas.Fac=</t>
  </si>
  <si>
    <t>(Trahair)</t>
  </si>
  <si>
    <t>Buckling Loads:</t>
  </si>
  <si>
    <t>Section Properties:</t>
  </si>
  <si>
    <t>Forces &amp; Moments:</t>
  </si>
  <si>
    <t>*            ESMp and ESMq are about p and q axes!</t>
  </si>
  <si>
    <t>fe =</t>
  </si>
  <si>
    <t>Pe =</t>
  </si>
  <si>
    <r>
      <t xml:space="preserve">[Buckling capacities by Eq. 3.29, N.S. Trahair's </t>
    </r>
    <r>
      <rPr>
        <i/>
        <sz val="10"/>
        <color indexed="10"/>
        <rFont val="Arial"/>
        <family val="2"/>
      </rPr>
      <t>"Behaviour &amp; Design of Steel Structures"</t>
    </r>
    <r>
      <rPr>
        <sz val="10"/>
        <color indexed="10"/>
        <rFont val="Arial"/>
        <family val="2"/>
      </rPr>
      <t>, adequate for preliminary design</t>
    </r>
    <r>
      <rPr>
        <sz val="10"/>
        <rFont val="Arial"/>
        <family val="0"/>
      </rPr>
      <t>]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</si>
</sst>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E+00"/>
    <numFmt numFmtId="171" formatCode="0.000E+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2"/>
      <name val="Arial Narrow"/>
      <family val="2"/>
    </font>
    <font>
      <sz val="11"/>
      <color indexed="10"/>
      <name val="Arial Black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b/>
      <sz val="11"/>
      <color indexed="12"/>
      <name val="Arial"/>
      <family val="2"/>
    </font>
    <font>
      <b/>
      <i/>
      <sz val="10"/>
      <name val="Arial Narrow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ck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25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 style="thick">
        <color indexed="25"/>
      </right>
      <top>
        <color indexed="63"/>
      </top>
      <bottom style="thick">
        <color indexed="25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medium">
        <color indexed="12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7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25"/>
      </bottom>
    </border>
    <border>
      <left style="thick">
        <color indexed="25"/>
      </left>
      <right>
        <color indexed="63"/>
      </right>
      <top style="thick">
        <color indexed="25"/>
      </top>
      <bottom>
        <color indexed="63"/>
      </bottom>
    </border>
    <border>
      <left>
        <color indexed="63"/>
      </left>
      <right>
        <color indexed="63"/>
      </right>
      <top style="thick">
        <color indexed="25"/>
      </top>
      <bottom>
        <color indexed="63"/>
      </bottom>
    </border>
    <border>
      <left>
        <color indexed="63"/>
      </left>
      <right style="thick">
        <color indexed="25"/>
      </right>
      <top style="thick">
        <color indexed="2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 applyProtection="1">
      <alignment horizontal="right"/>
      <protection hidden="1"/>
    </xf>
    <xf numFmtId="0" fontId="0" fillId="3" borderId="2" xfId="0" applyFill="1" applyBorder="1" applyAlignment="1" applyProtection="1">
      <alignment horizontal="right"/>
      <protection hidden="1"/>
    </xf>
    <xf numFmtId="167" fontId="0" fillId="3" borderId="0" xfId="0" applyNumberForma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3" xfId="0" applyFont="1" applyFill="1" applyBorder="1" applyAlignment="1" applyProtection="1">
      <alignment/>
      <protection hidden="1"/>
    </xf>
    <xf numFmtId="1" fontId="0" fillId="3" borderId="0" xfId="0" applyNumberFormat="1" applyFill="1" applyBorder="1" applyAlignment="1" applyProtection="1">
      <alignment horizontal="center"/>
      <protection hidden="1"/>
    </xf>
    <xf numFmtId="1" fontId="0" fillId="3" borderId="4" xfId="0" applyNumberFormat="1" applyFill="1" applyBorder="1" applyAlignment="1" applyProtection="1">
      <alignment horizontal="center"/>
      <protection hidden="1"/>
    </xf>
    <xf numFmtId="167" fontId="0" fillId="3" borderId="4" xfId="0" applyNumberForma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/>
      <protection hidden="1"/>
    </xf>
    <xf numFmtId="2" fontId="0" fillId="3" borderId="0" xfId="0" applyNumberFormat="1" applyFill="1" applyBorder="1" applyAlignment="1" applyProtection="1">
      <alignment horizontal="center"/>
      <protection hidden="1"/>
    </xf>
    <xf numFmtId="166" fontId="0" fillId="3" borderId="0" xfId="0" applyNumberForma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/>
      <protection hidden="1"/>
    </xf>
    <xf numFmtId="1" fontId="0" fillId="3" borderId="7" xfId="0" applyNumberFormat="1" applyFill="1" applyBorder="1" applyAlignment="1" applyProtection="1">
      <alignment horizontal="center"/>
      <protection hidden="1"/>
    </xf>
    <xf numFmtId="167" fontId="0" fillId="3" borderId="7" xfId="0" applyNumberForma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 horizontal="right"/>
      <protection hidden="1"/>
    </xf>
    <xf numFmtId="0" fontId="0" fillId="3" borderId="9" xfId="0" applyFill="1" applyBorder="1" applyAlignment="1" applyProtection="1">
      <alignment horizontal="right"/>
      <protection hidden="1"/>
    </xf>
    <xf numFmtId="0" fontId="0" fillId="3" borderId="10" xfId="0" applyFill="1" applyBorder="1" applyAlignment="1" applyProtection="1">
      <alignment horizontal="right"/>
      <protection hidden="1"/>
    </xf>
    <xf numFmtId="0" fontId="0" fillId="3" borderId="11" xfId="0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10" fillId="0" borderId="0" xfId="0" applyFont="1" applyAlignment="1">
      <alignment horizontal="right"/>
    </xf>
    <xf numFmtId="0" fontId="3" fillId="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 applyProtection="1">
      <alignment horizontal="center"/>
      <protection hidden="1" locked="0"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 horizontal="right"/>
      <protection hidden="1"/>
    </xf>
    <xf numFmtId="167" fontId="1" fillId="4" borderId="0" xfId="0" applyNumberFormat="1" applyFont="1" applyFill="1" applyBorder="1" applyAlignment="1" applyProtection="1">
      <alignment horizontal="center"/>
      <protection hidden="1" locked="0"/>
    </xf>
    <xf numFmtId="0" fontId="4" fillId="0" borderId="12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right"/>
      <protection hidden="1"/>
    </xf>
    <xf numFmtId="167" fontId="1" fillId="4" borderId="15" xfId="0" applyNumberFormat="1" applyFont="1" applyFill="1" applyBorder="1" applyAlignment="1" applyProtection="1">
      <alignment horizontal="center"/>
      <protection hidden="1" locked="0"/>
    </xf>
    <xf numFmtId="0" fontId="4" fillId="0" borderId="16" xfId="0" applyFont="1" applyBorder="1" applyAlignment="1" applyProtection="1">
      <alignment/>
      <protection hidden="1"/>
    </xf>
    <xf numFmtId="167" fontId="0" fillId="2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3" borderId="17" xfId="0" applyFill="1" applyBorder="1" applyAlignment="1" applyProtection="1">
      <alignment horizontal="right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/>
      <protection hidden="1"/>
    </xf>
    <xf numFmtId="167" fontId="0" fillId="5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167" fontId="0" fillId="2" borderId="0" xfId="0" applyNumberForma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7" fillId="6" borderId="0" xfId="0" applyFont="1" applyFill="1" applyBorder="1" applyAlignment="1">
      <alignment vertical="center"/>
    </xf>
    <xf numFmtId="0" fontId="0" fillId="6" borderId="0" xfId="0" applyFill="1" applyAlignment="1">
      <alignment/>
    </xf>
    <xf numFmtId="0" fontId="3" fillId="6" borderId="0" xfId="0" applyFon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1" fillId="4" borderId="23" xfId="0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Fill="1" applyBorder="1" applyAlignment="1" applyProtection="1">
      <alignment/>
      <protection hidden="1"/>
    </xf>
    <xf numFmtId="0" fontId="3" fillId="0" borderId="29" xfId="0" applyFont="1" applyFill="1" applyBorder="1" applyAlignment="1" applyProtection="1">
      <alignment/>
      <protection hidden="1"/>
    </xf>
    <xf numFmtId="0" fontId="0" fillId="0" borderId="30" xfId="0" applyBorder="1" applyAlignment="1">
      <alignment horizontal="right"/>
    </xf>
    <xf numFmtId="0" fontId="0" fillId="4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1" xfId="0" applyBorder="1" applyAlignment="1" applyProtection="1">
      <alignment/>
      <protection hidden="1"/>
    </xf>
    <xf numFmtId="167" fontId="0" fillId="4" borderId="0" xfId="0" applyNumberFormat="1" applyFill="1" applyBorder="1" applyAlignment="1">
      <alignment horizontal="center"/>
    </xf>
    <xf numFmtId="0" fontId="0" fillId="0" borderId="30" xfId="0" applyFill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right"/>
    </xf>
    <xf numFmtId="1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0" fontId="3" fillId="0" borderId="29" xfId="0" applyFont="1" applyBorder="1" applyAlignment="1">
      <alignment/>
    </xf>
    <xf numFmtId="0" fontId="0" fillId="0" borderId="34" xfId="0" applyBorder="1" applyAlignment="1" applyProtection="1">
      <alignment/>
      <protection hidden="1"/>
    </xf>
    <xf numFmtId="0" fontId="0" fillId="7" borderId="0" xfId="0" applyFill="1" applyAlignment="1">
      <alignment/>
    </xf>
    <xf numFmtId="0" fontId="5" fillId="7" borderId="0" xfId="0" applyFont="1" applyFill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1" fillId="3" borderId="9" xfId="0" applyFont="1" applyFill="1" applyBorder="1" applyAlignment="1" applyProtection="1">
      <alignment horizontal="right"/>
      <protection hidden="1"/>
    </xf>
    <xf numFmtId="0" fontId="11" fillId="3" borderId="5" xfId="0" applyFont="1" applyFill="1" applyBorder="1" applyAlignment="1" applyProtection="1">
      <alignment horizontal="right"/>
      <protection hidden="1"/>
    </xf>
    <xf numFmtId="0" fontId="11" fillId="3" borderId="11" xfId="0" applyFont="1" applyFill="1" applyBorder="1" applyAlignment="1" applyProtection="1">
      <alignment horizontal="right"/>
      <protection hidden="1"/>
    </xf>
    <xf numFmtId="0" fontId="11" fillId="3" borderId="8" xfId="0" applyFont="1" applyFill="1" applyBorder="1" applyAlignment="1" applyProtection="1">
      <alignment horizontal="right"/>
      <protection hidden="1"/>
    </xf>
    <xf numFmtId="0" fontId="0" fillId="7" borderId="0" xfId="0" applyFill="1" applyAlignment="1" applyProtection="1">
      <alignment horizontal="center"/>
      <protection hidden="1"/>
    </xf>
    <xf numFmtId="0" fontId="11" fillId="3" borderId="10" xfId="0" applyFont="1" applyFill="1" applyBorder="1" applyAlignment="1" applyProtection="1">
      <alignment horizontal="right"/>
      <protection hidden="1"/>
    </xf>
    <xf numFmtId="0" fontId="11" fillId="3" borderId="6" xfId="0" applyFont="1" applyFill="1" applyBorder="1" applyAlignment="1" applyProtection="1">
      <alignment horizontal="right"/>
      <protection hidden="1"/>
    </xf>
    <xf numFmtId="0" fontId="3" fillId="5" borderId="35" xfId="0" applyFont="1" applyFill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6" fillId="8" borderId="36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2" fillId="3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9" borderId="13" xfId="0" applyFont="1" applyFill="1" applyBorder="1" applyAlignment="1" applyProtection="1">
      <alignment horizontal="center"/>
      <protection hidden="1"/>
    </xf>
    <xf numFmtId="0" fontId="3" fillId="9" borderId="0" xfId="0" applyFont="1" applyFill="1" applyBorder="1" applyAlignment="1" applyProtection="1">
      <alignment horizontal="center"/>
      <protection hidden="1"/>
    </xf>
    <xf numFmtId="0" fontId="3" fillId="9" borderId="12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5" fillId="10" borderId="22" xfId="0" applyFont="1" applyFill="1" applyBorder="1" applyAlignment="1">
      <alignment horizontal="center" wrapText="1"/>
    </xf>
    <xf numFmtId="0" fontId="14" fillId="10" borderId="22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/>
    </xf>
    <xf numFmtId="0" fontId="13" fillId="5" borderId="4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6" fillId="8" borderId="18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4" fillId="3" borderId="42" xfId="0" applyFont="1" applyFill="1" applyBorder="1" applyAlignment="1" applyProtection="1">
      <alignment horizontal="center"/>
      <protection hidden="1"/>
    </xf>
    <xf numFmtId="0" fontId="4" fillId="3" borderId="43" xfId="0" applyFont="1" applyFill="1" applyBorder="1" applyAlignment="1" applyProtection="1">
      <alignment horizontal="center"/>
      <protection hidden="1"/>
    </xf>
    <xf numFmtId="0" fontId="4" fillId="3" borderId="44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0" fontId="3" fillId="5" borderId="0" xfId="0" applyFont="1" applyFill="1" applyAlignment="1">
      <alignment horizontal="left"/>
    </xf>
    <xf numFmtId="0" fontId="3" fillId="0" borderId="3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  <dxf>
      <fill>
        <patternFill>
          <bgColor rgb="FFFF99CC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28575</xdr:rowOff>
    </xdr:from>
    <xdr:to>
      <xdr:col>10</xdr:col>
      <xdr:colOff>523875</xdr:colOff>
      <xdr:row>8</xdr:row>
      <xdr:rowOff>152400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19075"/>
          <a:ext cx="4810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16</xdr:row>
      <xdr:rowOff>47625</xdr:rowOff>
    </xdr:from>
    <xdr:to>
      <xdr:col>10</xdr:col>
      <xdr:colOff>609600</xdr:colOff>
      <xdr:row>28</xdr:row>
      <xdr:rowOff>161925</xdr:rowOff>
    </xdr:to>
    <xdr:pic>
      <xdr:nvPicPr>
        <xdr:cNvPr id="2" name="Picture 54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2743200"/>
          <a:ext cx="1790700" cy="2124075"/>
        </a:xfrm>
        <a:prstGeom prst="rect">
          <a:avLst/>
        </a:prstGeom>
        <a:solidFill>
          <a:srgbClr val="CCECFF"/>
        </a:solidFill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B2" sqref="B2:C2"/>
    </sheetView>
  </sheetViews>
  <sheetFormatPr defaultColWidth="9.140625" defaultRowHeight="12.75"/>
  <cols>
    <col min="4" max="4" width="9.57421875" style="0" customWidth="1"/>
    <col min="6" max="6" width="9.421875" style="0" customWidth="1"/>
    <col min="8" max="8" width="10.00390625" style="0" bestFit="1" customWidth="1"/>
    <col min="11" max="11" width="9.28125" style="0" customWidth="1"/>
    <col min="14" max="14" width="9.57421875" style="0" bestFit="1" customWidth="1"/>
  </cols>
  <sheetData>
    <row r="1" spans="1:15" ht="15" customHeight="1" thickBot="1">
      <c r="A1" s="135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63"/>
      <c r="M1" s="136"/>
      <c r="N1" s="136"/>
      <c r="O1" s="136"/>
    </row>
    <row r="2" spans="1:12" ht="14.25" thickBot="1" thickTop="1">
      <c r="A2" s="13" t="s">
        <v>32</v>
      </c>
      <c r="B2" s="137" t="s">
        <v>33</v>
      </c>
      <c r="C2" s="138"/>
      <c r="D2" s="35"/>
      <c r="E2" s="35"/>
      <c r="F2" s="35"/>
      <c r="G2" s="35"/>
      <c r="H2" s="35"/>
      <c r="I2" s="35"/>
      <c r="J2" s="35"/>
      <c r="K2" s="22"/>
      <c r="L2" s="57"/>
    </row>
    <row r="3" spans="1:12" ht="12.75">
      <c r="A3" s="141" t="s">
        <v>40</v>
      </c>
      <c r="B3" s="142"/>
      <c r="C3" s="40">
        <v>1</v>
      </c>
      <c r="D3" s="38"/>
      <c r="E3" s="34"/>
      <c r="F3" s="34"/>
      <c r="G3" s="34"/>
      <c r="H3" s="34"/>
      <c r="I3" s="34"/>
      <c r="J3" s="34"/>
      <c r="K3" s="25"/>
      <c r="L3" s="57"/>
    </row>
    <row r="4" spans="1:12" ht="12.75">
      <c r="A4" s="139" t="s">
        <v>34</v>
      </c>
      <c r="B4" s="140"/>
      <c r="C4" s="41">
        <v>6</v>
      </c>
      <c r="D4" s="34"/>
      <c r="E4" s="34"/>
      <c r="F4" s="34"/>
      <c r="G4" s="34"/>
      <c r="H4" s="34"/>
      <c r="I4" s="34"/>
      <c r="J4" s="34"/>
      <c r="K4" s="25"/>
      <c r="L4" s="57"/>
    </row>
    <row r="5" spans="1:12" ht="12.75">
      <c r="A5" s="143" t="str">
        <f>IF(SN=1,"RECTANGLE",IF(SN=2,"RECTANGULAR TUBE",IF(SN=3,"I-SECTION",IF(SN=4,"C-SECTION",IF(SN=5,"T-SECTION",IF(SN=6,"ANGLE","ROD OR PIPE (If Rod, f=b/2)"))))))</f>
        <v>ANGLE</v>
      </c>
      <c r="B5" s="144"/>
      <c r="C5" s="145"/>
      <c r="D5" s="34"/>
      <c r="E5" s="34"/>
      <c r="F5" s="34"/>
      <c r="G5" s="34"/>
      <c r="H5" s="34"/>
      <c r="I5" s="34"/>
      <c r="J5" s="34"/>
      <c r="K5" s="25"/>
      <c r="L5" s="57"/>
    </row>
    <row r="6" spans="1:18" ht="12.75">
      <c r="A6" s="146" t="s">
        <v>35</v>
      </c>
      <c r="B6" s="147"/>
      <c r="C6" s="42"/>
      <c r="D6" s="34"/>
      <c r="E6" s="34"/>
      <c r="F6" s="34"/>
      <c r="G6" s="34"/>
      <c r="H6" s="34"/>
      <c r="I6" s="34"/>
      <c r="J6" s="34"/>
      <c r="K6" s="25"/>
      <c r="L6" s="57"/>
      <c r="P6" s="6"/>
      <c r="Q6" s="11"/>
      <c r="R6" s="5"/>
    </row>
    <row r="7" spans="1:12" ht="12.75">
      <c r="A7" s="43" t="s">
        <v>0</v>
      </c>
      <c r="B7" s="44">
        <v>10</v>
      </c>
      <c r="C7" s="45" t="str">
        <f>IF(IM=1,"in.","mm")</f>
        <v>in.</v>
      </c>
      <c r="D7" s="34"/>
      <c r="E7" s="34"/>
      <c r="F7" s="34"/>
      <c r="G7" s="34"/>
      <c r="H7" s="34"/>
      <c r="I7" s="34"/>
      <c r="J7" s="34"/>
      <c r="K7" s="25"/>
      <c r="L7" s="57"/>
    </row>
    <row r="8" spans="1:18" ht="12.75">
      <c r="A8" s="43" t="s">
        <v>1</v>
      </c>
      <c r="B8" s="44">
        <v>20</v>
      </c>
      <c r="C8" s="45" t="str">
        <f>IF(IM=1,"in.","mm")</f>
        <v>in.</v>
      </c>
      <c r="D8" s="34"/>
      <c r="E8" s="34"/>
      <c r="F8" s="34"/>
      <c r="G8" s="34"/>
      <c r="H8" s="34"/>
      <c r="I8" s="34"/>
      <c r="J8" s="34"/>
      <c r="K8" s="25"/>
      <c r="L8" s="57"/>
      <c r="P8" s="2"/>
      <c r="Q8" s="2"/>
      <c r="R8" s="2"/>
    </row>
    <row r="9" spans="1:18" ht="13.5" thickBot="1">
      <c r="A9" s="43" t="s">
        <v>6</v>
      </c>
      <c r="B9" s="44">
        <v>0.5</v>
      </c>
      <c r="C9" s="45" t="str">
        <f>IF(hn&lt;0,"f WRONG!",IF(AND(SN&lt;&gt;1,f=0),"Set f &gt; 0",IF(IM=1,"in.","mm")))</f>
        <v>in.</v>
      </c>
      <c r="D9" s="36"/>
      <c r="E9" s="36"/>
      <c r="F9" s="36"/>
      <c r="G9" s="36"/>
      <c r="H9" s="36"/>
      <c r="I9" s="36"/>
      <c r="J9" s="36"/>
      <c r="K9" s="28"/>
      <c r="L9" s="57"/>
      <c r="P9" s="2"/>
      <c r="Q9" s="2"/>
      <c r="R9" s="2"/>
    </row>
    <row r="10" spans="1:18" ht="14.25" thickBot="1" thickTop="1">
      <c r="A10" s="46" t="s">
        <v>7</v>
      </c>
      <c r="B10" s="47">
        <v>0.75</v>
      </c>
      <c r="C10" s="48" t="str">
        <f>IF(bn&lt;0,"g WRONG!",IF(AND(SN&lt;&gt;1,SN&lt;&gt;8,g=0),"Set g &gt; 0",IF(IM=1,"in.","mm")))</f>
        <v>in.</v>
      </c>
      <c r="D10" s="132" t="s">
        <v>56</v>
      </c>
      <c r="E10" s="133"/>
      <c r="F10" s="133"/>
      <c r="G10" s="133"/>
      <c r="H10" s="133"/>
      <c r="I10" s="133"/>
      <c r="J10" s="133"/>
      <c r="K10" s="134"/>
      <c r="L10" s="58"/>
      <c r="P10" s="2"/>
      <c r="Q10" s="2"/>
      <c r="R10" s="2"/>
    </row>
    <row r="11" spans="1:18" ht="13.5" thickBot="1">
      <c r="A11" s="150" t="s">
        <v>86</v>
      </c>
      <c r="B11" s="151"/>
      <c r="C11" s="37" t="s">
        <v>53</v>
      </c>
      <c r="D11" s="54">
        <f>IF(SN&lt;7,hinput,b)</f>
        <v>20</v>
      </c>
      <c r="E11" s="55" t="str">
        <f>IF(IM=1,"in.","mm")</f>
        <v>in.</v>
      </c>
      <c r="F11" s="14" t="s">
        <v>2</v>
      </c>
      <c r="G11" s="56">
        <f>IF(SN=1,b*h,IF(SN=7,3.1415926*(b^2-bn^2)/4,Ab+Ah))</f>
        <v>19.625</v>
      </c>
      <c r="H11" s="10" t="str">
        <f>IF(IM=1,"in.^2","mm^2")</f>
        <v>in.^2</v>
      </c>
      <c r="I11" s="153" t="s">
        <v>57</v>
      </c>
      <c r="J11" s="154"/>
      <c r="K11" s="155"/>
      <c r="L11" s="59"/>
      <c r="P11" s="2"/>
      <c r="Q11" s="2"/>
      <c r="R11" s="2"/>
    </row>
    <row r="12" spans="1:18" ht="13.5" thickTop="1">
      <c r="A12" s="39"/>
      <c r="B12" s="37" t="s">
        <v>48</v>
      </c>
      <c r="C12" s="3" t="s">
        <v>4</v>
      </c>
      <c r="D12" s="8">
        <f>IF(OR(SN=4,SN=6),(Ab*b/2+Ah*g/2)/Ar,b/2)</f>
        <v>1.553343949044586</v>
      </c>
      <c r="E12" s="2" t="str">
        <f>IF(IM=1,"in.","mm")</f>
        <v>in.</v>
      </c>
      <c r="F12" s="3" t="s">
        <v>5</v>
      </c>
      <c r="G12" s="8">
        <f>IF(OR(SN=5,SN=6),(Ab*f/2+Ah*(f+hn/2))/Ar,(IF(SN=7,b/2,h/2)))</f>
        <v>7.702229299363057</v>
      </c>
      <c r="H12" s="2" t="str">
        <f>IF(IM=1,"in.","mm")</f>
        <v>in.</v>
      </c>
      <c r="I12" s="156" t="s">
        <v>55</v>
      </c>
      <c r="J12" s="157"/>
      <c r="K12" s="158"/>
      <c r="L12" s="59"/>
      <c r="P12" s="2"/>
      <c r="Q12" s="2"/>
      <c r="R12" s="2"/>
    </row>
    <row r="13" spans="1:18" ht="12.75">
      <c r="A13" s="152" t="s">
        <v>47</v>
      </c>
      <c r="B13" s="152"/>
      <c r="C13" s="3" t="s">
        <v>3</v>
      </c>
      <c r="D13" s="7">
        <f>IF(SN=1,b*h^3/12,IF(OR(SN=2,SN=3,SN=4),Ab*f^2/12+Ab*(eg-f/2)^2+Ah*hn^2/12,IF(OR(SN=5,SN=6),Ab*f^2/12+Ab*(eg-f/2)^2+Ah*hn^2/12+Ah*(hn/2+f-eg)^2,3.1415926*(b^4-hn^4)/64)))</f>
        <v>836.1453191348195</v>
      </c>
      <c r="E13" s="2" t="str">
        <f>IF(IM=1,"in.^4","mm^4")</f>
        <v>in.^4</v>
      </c>
      <c r="F13" s="14" t="s">
        <v>11</v>
      </c>
      <c r="G13" s="9">
        <f>IF(SN=1,h*b^3/12,IF(SN=2,h*b^3/12-hn*bn^3/12,IF(SN=3,2*f*b^3/12+hn*g^3/12,IF(SN=4,Ah*g^2/12+Ah*(cg-g/2)^2+Ab*b^2/12+Ab*(b/2-cg)^2,IF(SN=5,f*b^3/12+hn*g^3/12,IF(SN=6,f*b^3/12+Ab*(b/2-cg)^2+Ah*g^2/12+Ah*(cg-g/2)^2,Ix))))))</f>
        <v>122.0561347200106</v>
      </c>
      <c r="H13" s="10" t="str">
        <f>IF(IM=1,"in.^4","mm^4")</f>
        <v>in.^4</v>
      </c>
      <c r="I13" s="15" t="s">
        <v>30</v>
      </c>
      <c r="J13" s="16">
        <f>IF(SN=1,"",IF(SN=2,b-2*g,IF(SN=7,b-2*f,b-g)))</f>
        <v>9.25</v>
      </c>
      <c r="K13" s="17" t="str">
        <f>IF(IM=1,"in.","mm")</f>
        <v>in.</v>
      </c>
      <c r="L13" s="60"/>
      <c r="M13" s="1"/>
      <c r="P13" s="2"/>
      <c r="Q13" s="2"/>
      <c r="R13" s="2"/>
    </row>
    <row r="14" spans="1:18" ht="12.75">
      <c r="A14" s="152" t="s">
        <v>45</v>
      </c>
      <c r="B14" s="152"/>
      <c r="C14" s="3" t="str">
        <f>IF(SN&lt;&gt;6,"ESMx =","ESMp* =")</f>
        <v>ESMp* =</v>
      </c>
      <c r="D14" s="8">
        <f>IF(SN&lt;&gt;6,IF(eg&gt;(h-eg),Ix/eg,Ix/(h-eg)),Ip/qmax)</f>
        <v>70.98429683813326</v>
      </c>
      <c r="E14" s="2" t="str">
        <f>IF(IM=1,"in.^3","mm^3")</f>
        <v>in.^3</v>
      </c>
      <c r="F14" s="4" t="str">
        <f>IF(SN&lt;&gt;6,"ESMy =","ESMq* =")</f>
        <v>ESMq* =</v>
      </c>
      <c r="G14" s="49">
        <f>IF(SN&lt;&gt;6,IF(cg&gt;(b-cg),Iy/cg,Iy/(b-cg)),Iq/pmax)</f>
        <v>12.468075793742717</v>
      </c>
      <c r="H14" t="str">
        <f>IF(IM=1,"in.^3","mm^3")</f>
        <v>in.^3</v>
      </c>
      <c r="I14" s="15" t="s">
        <v>8</v>
      </c>
      <c r="J14" s="16">
        <f>IF(SN=1,"",IF(OR(SN=2,SN=3,SN=4),h-2*f,IF(OR(SN=5,SN=6),h-f,b-2*f)))</f>
        <v>19.5</v>
      </c>
      <c r="K14" s="18" t="str">
        <f>IF(IM=1,"in.","mm")</f>
        <v>in.</v>
      </c>
      <c r="L14" s="57"/>
      <c r="P14" s="2"/>
      <c r="Q14" s="2"/>
      <c r="R14" s="2"/>
    </row>
    <row r="15" spans="1:18" ht="12.75">
      <c r="A15" s="152" t="s">
        <v>54</v>
      </c>
      <c r="B15" s="152"/>
      <c r="C15" s="4" t="s">
        <v>52</v>
      </c>
      <c r="D15" s="49">
        <f>IF(OR(SN=1,SN=2,SN=3,SN=5,SN=7),b/2,IF(Ar/2&gt;g*h,b-Ar/(2*f),Ar/(2*h)))</f>
        <v>0.490625</v>
      </c>
      <c r="E15" s="50" t="str">
        <f>IF(IM=1,"in.","mm")</f>
        <v>in.</v>
      </c>
      <c r="F15" s="4" t="s">
        <v>51</v>
      </c>
      <c r="G15" s="49">
        <f>IF(OR(SN=1,SN=2,SN=3,SN=4,SN=7),h/2,IF(Ar/2&gt;b*f,h-Ar/(2*g),Ar/(2*b)))</f>
        <v>6.916666666666666</v>
      </c>
      <c r="H15" s="50" t="str">
        <f>IF(IM=1,"in.","mm")</f>
        <v>in.</v>
      </c>
      <c r="I15" s="15" t="s">
        <v>9</v>
      </c>
      <c r="J15" s="19">
        <f>IF(SN=1,"",IF(OR(SN=2,SN=3,SN=4),2*b*f,IF(OR(SN=5,SN=6),b*f,"")))</f>
        <v>5</v>
      </c>
      <c r="K15" s="17" t="str">
        <f>IF(IM=1,"in.^2","mm^2")</f>
        <v>in.^2</v>
      </c>
      <c r="L15" s="57"/>
      <c r="P15" s="2"/>
      <c r="Q15" s="2"/>
      <c r="R15" s="2"/>
    </row>
    <row r="16" spans="1:18" ht="13.5" thickBot="1">
      <c r="A16" s="159" t="s">
        <v>46</v>
      </c>
      <c r="B16" s="159"/>
      <c r="C16" s="4" t="s">
        <v>49</v>
      </c>
      <c r="D16" s="49">
        <f>IF(SN=1,b*h^2/4,IF(SN=7,b^2*f-2*b*f^2+4*f^3/3,IF(OR(SN=2,SN=3,SN=4),b*h^2/4-bn*hn^2/4,IF(f&lt;=eg,b*f*(eg-f/2)+g*(eg-f)^2/2+g*(h-eg)^2/2,b*eg^2/2+b*(f-eg)^2/2+g*(hn/2+f-eg)^2/2))))</f>
        <v>113.42637315408332</v>
      </c>
      <c r="E16" t="str">
        <f>IF(IM=1,"in.^3","mm^3")</f>
        <v>in.^3</v>
      </c>
      <c r="F16" s="4" t="s">
        <v>50</v>
      </c>
      <c r="G16" s="49">
        <f>IF(SN=1,h*b^2/4,IF(SN=2,h*b^2/4-hn*bn^2/4,IF(OR(SN=3,SN=5),(h-hn)*b^2/4+hn*g^2/4,IF(SN=7,b^2*f-2*b*f^2+4*f^3/3,IF(g&lt;=cg,(h-hn)*f*(b/2-cg)+hn*g*(cg-g/2),h*cg^2/2+h*(g-cg)^2/2+(h-hn)*bn*(hn/2+g-cg))))))</f>
        <v>18.094944267515924</v>
      </c>
      <c r="H16" t="str">
        <f>IF(IM=1,"in.^3","mm^3")</f>
        <v>in.^3</v>
      </c>
      <c r="I16" s="51" t="s">
        <v>10</v>
      </c>
      <c r="J16" s="52">
        <f>IF(SN=1,"",IF(SN=2,2*hn*g,IF(SN=7,"",hn*g)))</f>
        <v>14.625</v>
      </c>
      <c r="K16" s="53" t="str">
        <f>IF(IM=1,"in.^2","mm^2")</f>
        <v>in.^2</v>
      </c>
      <c r="L16" s="61"/>
      <c r="P16" s="2"/>
      <c r="Q16" s="2"/>
      <c r="R16" s="2"/>
    </row>
    <row r="17" spans="1:18" ht="14.25" thickBot="1" thickTop="1">
      <c r="A17" s="160" t="s">
        <v>87</v>
      </c>
      <c r="B17" s="160"/>
      <c r="L17" s="108"/>
      <c r="M17" s="12"/>
      <c r="P17" s="2"/>
      <c r="Q17" s="2"/>
      <c r="R17" s="2"/>
    </row>
    <row r="18" spans="1:18" ht="13.5" thickTop="1">
      <c r="A18" s="69"/>
      <c r="B18" s="70"/>
      <c r="C18" s="161" t="s">
        <v>60</v>
      </c>
      <c r="D18" s="161"/>
      <c r="E18" s="113" t="s">
        <v>70</v>
      </c>
      <c r="F18" s="114"/>
      <c r="G18" s="70"/>
      <c r="H18" s="148" t="s">
        <v>88</v>
      </c>
      <c r="L18" s="108"/>
      <c r="M18" s="82"/>
      <c r="P18" s="2"/>
      <c r="Q18" s="2"/>
      <c r="R18" s="2"/>
    </row>
    <row r="19" spans="1:18" ht="12.75">
      <c r="A19" s="128" t="s">
        <v>59</v>
      </c>
      <c r="B19" s="129"/>
      <c r="C19" s="65" t="s">
        <v>89</v>
      </c>
      <c r="D19" s="66">
        <v>200</v>
      </c>
      <c r="E19" s="71" t="s">
        <v>71</v>
      </c>
      <c r="F19" s="76">
        <v>355</v>
      </c>
      <c r="G19" s="72" t="str">
        <f>IF(IM=1,"ksi","MPa")</f>
        <v>ksi</v>
      </c>
      <c r="H19" s="149"/>
      <c r="L19" s="108"/>
      <c r="P19" s="2"/>
      <c r="Q19" s="2"/>
      <c r="R19" s="2"/>
    </row>
    <row r="20" spans="1:18" ht="12.75">
      <c r="A20" s="115" t="s">
        <v>62</v>
      </c>
      <c r="B20" s="116"/>
      <c r="C20" s="67" t="s">
        <v>90</v>
      </c>
      <c r="D20" s="83">
        <f>IF(IM=1,Ar*fe,Ar*fe/1000)</f>
        <v>3925</v>
      </c>
      <c r="E20" s="77" t="s">
        <v>72</v>
      </c>
      <c r="F20" s="85">
        <f>IF(IM=1,Ar*fp,Ar*fp/1000)</f>
        <v>6966.875</v>
      </c>
      <c r="G20" s="73" t="str">
        <f>IF(IM=1,"kips","kN")</f>
        <v>kips</v>
      </c>
      <c r="H20" s="149"/>
      <c r="L20" s="108"/>
      <c r="P20" s="2"/>
      <c r="Q20" s="2"/>
      <c r="R20" s="2"/>
    </row>
    <row r="21" spans="1:18" ht="12.75">
      <c r="A21" s="115" t="s">
        <v>63</v>
      </c>
      <c r="B21" s="117"/>
      <c r="C21" s="68" t="s">
        <v>61</v>
      </c>
      <c r="D21" s="83">
        <f>IF(IM=1,ESMx*fe,ESMx*fe/10^6)</f>
        <v>14196.859367626652</v>
      </c>
      <c r="E21" s="77" t="s">
        <v>73</v>
      </c>
      <c r="F21" s="85">
        <f>IF(IM=1,PSMx*fp,PSMx*fp/10^6)</f>
        <v>40266.362469699576</v>
      </c>
      <c r="G21" s="73" t="str">
        <f>IF(IM=1,"kip-in.","kN.m")</f>
        <v>kip-in.</v>
      </c>
      <c r="H21" s="149"/>
      <c r="L21" s="108"/>
      <c r="O21" s="2"/>
      <c r="P21" s="2"/>
      <c r="Q21" s="2"/>
      <c r="R21" s="2"/>
    </row>
    <row r="22" spans="1:18" ht="13.5" thickBot="1">
      <c r="A22" s="126" t="s">
        <v>64</v>
      </c>
      <c r="B22" s="127"/>
      <c r="C22" s="74" t="s">
        <v>65</v>
      </c>
      <c r="D22" s="84">
        <f>IF(IM=1,ESMy*fe,ESMy*fe/10^6)</f>
        <v>2493.6151587485433</v>
      </c>
      <c r="E22" s="78" t="s">
        <v>74</v>
      </c>
      <c r="F22" s="86">
        <f>IF(IM=1,PSMy*fp,PSMy*fp/10^6)</f>
        <v>6423.705214968153</v>
      </c>
      <c r="G22" s="75" t="str">
        <f>IF(IM=1,"kip-in.","kN.m")</f>
        <v>kip-in.</v>
      </c>
      <c r="H22" s="149"/>
      <c r="L22" s="108"/>
      <c r="M22" s="2"/>
      <c r="O22" s="2"/>
      <c r="P22" s="2"/>
      <c r="Q22" s="2"/>
      <c r="R22" s="2"/>
    </row>
    <row r="23" spans="1:18" ht="14.25" thickBot="1" thickTop="1">
      <c r="A23" s="125" t="s">
        <v>85</v>
      </c>
      <c r="B23" s="125"/>
      <c r="C23" s="64" t="s">
        <v>68</v>
      </c>
      <c r="D23" s="88">
        <v>205000</v>
      </c>
      <c r="E23" t="str">
        <f>IF(IM=1,"ksi","MPa")</f>
        <v>ksi</v>
      </c>
      <c r="F23" s="87" t="s">
        <v>84</v>
      </c>
      <c r="L23" s="108"/>
      <c r="M23" s="2"/>
      <c r="O23" s="2"/>
      <c r="P23" s="2"/>
      <c r="Q23" s="2"/>
      <c r="R23" s="2"/>
    </row>
    <row r="24" spans="1:18" ht="13.5" thickTop="1">
      <c r="A24" s="89"/>
      <c r="B24" s="90" t="s">
        <v>80</v>
      </c>
      <c r="C24" s="90" t="s">
        <v>81</v>
      </c>
      <c r="D24" s="106"/>
      <c r="E24" s="91"/>
      <c r="F24" s="90" t="s">
        <v>80</v>
      </c>
      <c r="G24" s="90" t="s">
        <v>81</v>
      </c>
      <c r="H24" s="92"/>
      <c r="L24" s="108"/>
      <c r="M24" s="2"/>
      <c r="O24" s="2"/>
      <c r="P24" s="2"/>
      <c r="Q24" s="2"/>
      <c r="R24" s="2"/>
    </row>
    <row r="25" spans="1:18" ht="12.75">
      <c r="A25" s="93" t="s">
        <v>67</v>
      </c>
      <c r="B25" s="94">
        <v>1000</v>
      </c>
      <c r="C25" s="94">
        <v>300</v>
      </c>
      <c r="D25" s="100" t="str">
        <f>IF(IM=1,"in.","mm")</f>
        <v>in.</v>
      </c>
      <c r="E25" s="80" t="s">
        <v>77</v>
      </c>
      <c r="F25" s="81">
        <f>PI()^2*E/kLbyrx^2</f>
        <v>86.20365971694636</v>
      </c>
      <c r="G25" s="95">
        <f>PI()^2*E/kLbyry^2</f>
        <v>285.34151589996947</v>
      </c>
      <c r="H25" s="96" t="str">
        <f>IF(IM=1,"ksi","MPa")</f>
        <v>ksi</v>
      </c>
      <c r="L25" s="108"/>
      <c r="M25" s="2"/>
      <c r="O25" s="2"/>
      <c r="P25" s="2"/>
      <c r="Q25" s="2"/>
      <c r="R25" s="2"/>
    </row>
    <row r="26" spans="1:18" ht="12.75">
      <c r="A26" s="93" t="s">
        <v>66</v>
      </c>
      <c r="B26" s="97">
        <v>1</v>
      </c>
      <c r="C26" s="97">
        <v>0.7</v>
      </c>
      <c r="D26" s="100"/>
      <c r="E26" s="79" t="s">
        <v>78</v>
      </c>
      <c r="F26" s="95">
        <f>fe*((1+(1+etax)*Focx/fp)/2-(((1+(1+etax)*Focx/fp)/2)^2-Focx/fp)^0.5)</f>
        <v>40.01295678703502</v>
      </c>
      <c r="G26" s="95">
        <f>fe*((1+(1+etay)*Focy/fp)/2-(((1+(1+etay)*Focy/fp)/2)^2-Focy/fp)^0.5)</f>
        <v>114.73785990962362</v>
      </c>
      <c r="H26" s="96" t="str">
        <f>IF(IM=1,"ksi","MPa")</f>
        <v>ksi</v>
      </c>
      <c r="L26" s="108"/>
      <c r="M26" s="10"/>
      <c r="O26" s="10"/>
      <c r="P26" s="2"/>
      <c r="Q26" s="2"/>
      <c r="R26" s="2"/>
    </row>
    <row r="27" spans="1:15" ht="12.75">
      <c r="A27" s="98" t="s">
        <v>69</v>
      </c>
      <c r="B27" s="99">
        <f>(Ix/Ar)^0.5</f>
        <v>6.5273371991439495</v>
      </c>
      <c r="C27" s="99">
        <f>(Iy/Ar)^0.5</f>
        <v>2.493876676472349</v>
      </c>
      <c r="D27" s="96" t="str">
        <f>IF(IM=1,"in.","mm")</f>
        <v>in.</v>
      </c>
      <c r="E27" s="79" t="s">
        <v>79</v>
      </c>
      <c r="F27" s="95">
        <f>fp*((1+(1+etax)*Focx/fp)/2-(((1+(1+etax)*Focx/fp)/2)^2-Focx/fp)^0.5)</f>
        <v>71.02299829698717</v>
      </c>
      <c r="G27" s="95">
        <f>fp*((1+(1+etay)*Focy/fp)/2-(((1+(1+etay)*Focy/fp)/2)^2-Focy/fp)^0.5)</f>
        <v>203.65970133958191</v>
      </c>
      <c r="H27" s="96" t="str">
        <f>IF(IM=1,"ksi","MPa")</f>
        <v>ksi</v>
      </c>
      <c r="L27" s="108"/>
      <c r="O27" s="1"/>
    </row>
    <row r="28" spans="1:12" ht="12.75">
      <c r="A28" s="98" t="s">
        <v>75</v>
      </c>
      <c r="B28" s="99">
        <f>kx*Lx/rx</f>
        <v>153.2018293970087</v>
      </c>
      <c r="C28" s="99">
        <f>ky*Ly/ry</f>
        <v>84.2062488418835</v>
      </c>
      <c r="D28" s="96"/>
      <c r="E28" s="79" t="s">
        <v>82</v>
      </c>
      <c r="F28" s="95">
        <f>IF(IM=1,fcex*Ar,fcex*Ar/1000)</f>
        <v>785.2542769455623</v>
      </c>
      <c r="G28" s="95">
        <f>IF(fcey*Ar,fcey*Ar/1000)</f>
        <v>2.2517305007263637</v>
      </c>
      <c r="H28" s="100" t="str">
        <f>IF(IM=1,"kips","kN")</f>
        <v>kips</v>
      </c>
      <c r="L28" s="108"/>
    </row>
    <row r="29" spans="1:12" ht="13.5" thickBot="1">
      <c r="A29" s="101" t="s">
        <v>76</v>
      </c>
      <c r="B29" s="102">
        <f>0.00003*kLbyrx^2</f>
        <v>0.7041240159177048</v>
      </c>
      <c r="C29" s="102">
        <f>0.00003*kLbyry^2</f>
        <v>0.21272077032063616</v>
      </c>
      <c r="D29" s="107"/>
      <c r="E29" s="103" t="s">
        <v>83</v>
      </c>
      <c r="F29" s="104">
        <f>IF(IM=1,fcpx*Ar,fcpx*Ar/1000)</f>
        <v>1393.826341578373</v>
      </c>
      <c r="G29" s="104">
        <f>IF(IM=1,fcpy*Ar,fcpy*Ar/1000)</f>
        <v>3996.821638789295</v>
      </c>
      <c r="H29" s="105" t="str">
        <f>IF(IM=1,"kips","kN")</f>
        <v>kips</v>
      </c>
      <c r="L29" s="108"/>
    </row>
    <row r="30" spans="1:12" ht="14.25" thickBot="1" thickTop="1">
      <c r="A30" s="163" t="s">
        <v>91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08"/>
    </row>
    <row r="31" spans="1:12" ht="13.5" thickTop="1">
      <c r="A31" s="118" t="s">
        <v>36</v>
      </c>
      <c r="B31" s="119"/>
      <c r="C31" s="31" t="s">
        <v>12</v>
      </c>
      <c r="D31" s="20">
        <f>Ab*(b/2-cg)*(eg-f/2)+Ah*(g/2-cg)*(eg-hn/2-f)</f>
        <v>172.3328025477707</v>
      </c>
      <c r="E31" s="22" t="str">
        <f>IF(IM=1,"in.^4","mm^4")</f>
        <v>in.^4</v>
      </c>
      <c r="F31" s="31" t="s">
        <v>18</v>
      </c>
      <c r="G31" s="20">
        <f>Ia+Ib</f>
        <v>875.5593447660499</v>
      </c>
      <c r="H31" s="22" t="str">
        <f>IF(IM=1,"in.^4","mm^4")</f>
        <v>in.^4</v>
      </c>
      <c r="I31" s="31" t="s">
        <v>24</v>
      </c>
      <c r="J31" s="21">
        <f>ABS(-(cg-g)*CT+(h-eg)*ST)</f>
        <v>1.9586898671749733</v>
      </c>
      <c r="K31" s="22" t="str">
        <f aca="true" t="shared" si="0" ref="K31:K36">IF(IM=1,"in.","mm")</f>
        <v>in.</v>
      </c>
      <c r="L31" s="62"/>
    </row>
    <row r="32" spans="1:12" ht="12.75">
      <c r="A32" s="130" t="s">
        <v>37</v>
      </c>
      <c r="B32" s="131"/>
      <c r="C32" s="32" t="s">
        <v>13</v>
      </c>
      <c r="D32" s="23">
        <f>IF(Ix=Iy,0.7853981,SIGN(Ix-Iy)*ATAN(2*Ixy/(Ix-Iy))/2)</f>
        <v>0.2248416996717777</v>
      </c>
      <c r="E32" s="25" t="s">
        <v>14</v>
      </c>
      <c r="F32" s="32" t="s">
        <v>19</v>
      </c>
      <c r="G32" s="19">
        <f>Ia-Ib</f>
        <v>82.64210908878027</v>
      </c>
      <c r="H32" s="25" t="str">
        <f>IF(IM=1,"in.^4","mm^4")</f>
        <v>in.^4</v>
      </c>
      <c r="I32" s="29" t="s">
        <v>25</v>
      </c>
      <c r="J32" s="16">
        <f>ABS((h-eg)*CT+cg*ST)</f>
        <v>12.33454980560846</v>
      </c>
      <c r="K32" s="25" t="str">
        <f t="shared" si="0"/>
        <v>in.</v>
      </c>
      <c r="L32" s="62"/>
    </row>
    <row r="33" spans="1:12" ht="12.75">
      <c r="A33" s="123" t="s">
        <v>42</v>
      </c>
      <c r="B33" s="124"/>
      <c r="C33" s="110" t="s">
        <v>43</v>
      </c>
      <c r="D33" s="111"/>
      <c r="E33" s="112"/>
      <c r="F33" s="32" t="s">
        <v>20</v>
      </c>
      <c r="G33" s="24">
        <f>COS(Tr)</f>
        <v>0.97482941266547</v>
      </c>
      <c r="H33" s="25"/>
      <c r="I33" s="29" t="s">
        <v>26</v>
      </c>
      <c r="J33" s="16">
        <f>ABS(-cg*CT-eg*ST)</f>
        <v>3.2314731745217538</v>
      </c>
      <c r="K33" s="25" t="str">
        <f t="shared" si="0"/>
        <v>in.</v>
      </c>
      <c r="L33" s="59"/>
    </row>
    <row r="34" spans="1:12" ht="12.75">
      <c r="A34" s="123" t="s">
        <v>38</v>
      </c>
      <c r="B34" s="124"/>
      <c r="C34" s="32" t="s">
        <v>41</v>
      </c>
      <c r="D34" s="16">
        <f>Tr*57.295779</f>
        <v>12.882480334378547</v>
      </c>
      <c r="E34" s="25" t="s">
        <v>15</v>
      </c>
      <c r="F34" s="32" t="s">
        <v>21</v>
      </c>
      <c r="G34" s="24">
        <f>SIN(Tr)</f>
        <v>0.22295204910988126</v>
      </c>
      <c r="H34" s="25"/>
      <c r="I34" s="29" t="s">
        <v>27</v>
      </c>
      <c r="J34" s="16">
        <f>ABS(-eg*CT+cg*ST)</f>
        <v>7.162038447700938</v>
      </c>
      <c r="K34" s="25" t="str">
        <f t="shared" si="0"/>
        <v>in.</v>
      </c>
      <c r="L34" s="59"/>
    </row>
    <row r="35" spans="1:12" ht="12.75">
      <c r="A35" s="123" t="s">
        <v>39</v>
      </c>
      <c r="B35" s="124"/>
      <c r="C35" s="32" t="s">
        <v>16</v>
      </c>
      <c r="D35" s="19">
        <f>(Ix+Iy)/2</f>
        <v>479.10072692741505</v>
      </c>
      <c r="E35" s="25" t="str">
        <f>IF(IM=1,"in.^4","mm^4")</f>
        <v>in.^4</v>
      </c>
      <c r="F35" s="32" t="s">
        <v>22</v>
      </c>
      <c r="G35" s="16">
        <f>ABS(b-cg)*CT-(eg-f)*ST</f>
        <v>6.628296976687887</v>
      </c>
      <c r="H35" s="25" t="str">
        <f>IF(IM=1,"in.","mm")</f>
        <v>in.</v>
      </c>
      <c r="I35" s="29" t="s">
        <v>28</v>
      </c>
      <c r="J35" s="16">
        <f>MAX(Pa,Pb,Pc)</f>
        <v>6.628296976687887</v>
      </c>
      <c r="K35" s="25" t="str">
        <f t="shared" si="0"/>
        <v>in.</v>
      </c>
      <c r="L35" s="59"/>
    </row>
    <row r="36" spans="1:12" ht="13.5" thickBot="1">
      <c r="A36" s="120" t="s">
        <v>44</v>
      </c>
      <c r="B36" s="121"/>
      <c r="C36" s="33" t="s">
        <v>17</v>
      </c>
      <c r="D36" s="26">
        <f>SQRT((Ix-Iy)^2/4+Ixy^2)</f>
        <v>396.4586178386348</v>
      </c>
      <c r="E36" s="28" t="str">
        <f>IF(IM=1,"in.^4","mm^4")</f>
        <v>in.^4</v>
      </c>
      <c r="F36" s="33" t="s">
        <v>23</v>
      </c>
      <c r="G36" s="27">
        <f>ABS(-eg*CT-(b-cg)*ST)</f>
        <v>9.39155893879975</v>
      </c>
      <c r="H36" s="28" t="str">
        <f>IF(IM=1,"in.","mm")</f>
        <v>in.</v>
      </c>
      <c r="I36" s="30" t="s">
        <v>29</v>
      </c>
      <c r="J36" s="27">
        <f>MAX(Qa,Qb,Qc)</f>
        <v>12.33454980560846</v>
      </c>
      <c r="K36" s="28" t="str">
        <f t="shared" si="0"/>
        <v>in.</v>
      </c>
      <c r="L36" s="59"/>
    </row>
    <row r="37" spans="1:12" ht="13.5" thickTop="1">
      <c r="A37" s="109" t="s">
        <v>31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</row>
  </sheetData>
  <sheetProtection password="8D05" sheet="1" objects="1" scenarios="1" selectLockedCells="1"/>
  <mergeCells count="33">
    <mergeCell ref="A30:K30"/>
    <mergeCell ref="H18:H22"/>
    <mergeCell ref="A11:B11"/>
    <mergeCell ref="A15:B15"/>
    <mergeCell ref="I11:K11"/>
    <mergeCell ref="I12:K12"/>
    <mergeCell ref="A14:B14"/>
    <mergeCell ref="A13:B13"/>
    <mergeCell ref="A16:B16"/>
    <mergeCell ref="A17:B17"/>
    <mergeCell ref="C18:D18"/>
    <mergeCell ref="D10:K10"/>
    <mergeCell ref="A1:K1"/>
    <mergeCell ref="M1:O1"/>
    <mergeCell ref="B2:C2"/>
    <mergeCell ref="A4:B4"/>
    <mergeCell ref="A3:B3"/>
    <mergeCell ref="A5:C5"/>
    <mergeCell ref="A6:B6"/>
    <mergeCell ref="A36:B36"/>
    <mergeCell ref="A37:L37"/>
    <mergeCell ref="A34:B34"/>
    <mergeCell ref="A35:B35"/>
    <mergeCell ref="C33:E33"/>
    <mergeCell ref="E18:F18"/>
    <mergeCell ref="A20:B20"/>
    <mergeCell ref="A21:B21"/>
    <mergeCell ref="A31:B31"/>
    <mergeCell ref="A33:B33"/>
    <mergeCell ref="A23:B23"/>
    <mergeCell ref="A22:B22"/>
    <mergeCell ref="A19:B19"/>
    <mergeCell ref="A32:B32"/>
  </mergeCells>
  <conditionalFormatting sqref="C31:K36">
    <cfRule type="expression" priority="1" dxfId="0" stopIfTrue="1">
      <formula>SN&lt;&gt;6</formula>
    </cfRule>
  </conditionalFormatting>
  <conditionalFormatting sqref="A9:C9">
    <cfRule type="expression" priority="2" dxfId="1" stopIfTrue="1">
      <formula>SN=1</formula>
    </cfRule>
  </conditionalFormatting>
  <conditionalFormatting sqref="I15:K16">
    <cfRule type="expression" priority="3" dxfId="2" stopIfTrue="1">
      <formula>OR(SN=1,SN=7)</formula>
    </cfRule>
  </conditionalFormatting>
  <conditionalFormatting sqref="E24">
    <cfRule type="expression" priority="4" dxfId="1" stopIfTrue="1">
      <formula>SwC=0</formula>
    </cfRule>
  </conditionalFormatting>
  <conditionalFormatting sqref="A8:C8">
    <cfRule type="expression" priority="5" dxfId="1" stopIfTrue="1">
      <formula>SN=7</formula>
    </cfRule>
  </conditionalFormatting>
  <conditionalFormatting sqref="A10:C10">
    <cfRule type="expression" priority="6" dxfId="1" stopIfTrue="1">
      <formula>OR(SN=1,SN=7)</formula>
    </cfRule>
  </conditionalFormatting>
  <conditionalFormatting sqref="C14 F14">
    <cfRule type="expression" priority="7" dxfId="3" stopIfTrue="1">
      <formula>SN=6</formula>
    </cfRule>
  </conditionalFormatting>
  <conditionalFormatting sqref="C11:E11">
    <cfRule type="expression" priority="8" dxfId="1" stopIfTrue="1">
      <formula>SN&lt;&gt;7</formula>
    </cfRule>
  </conditionalFormatting>
  <conditionalFormatting sqref="I13:K14">
    <cfRule type="expression" priority="9" dxfId="2" stopIfTrue="1">
      <formula>SN=1</formula>
    </cfRule>
  </conditionalFormatting>
  <conditionalFormatting sqref="H18:H22">
    <cfRule type="expression" priority="10" dxfId="4" stopIfTrue="1">
      <formula>SN&lt;&gt;6</formula>
    </cfRule>
  </conditionalFormatting>
  <dataValidations count="3">
    <dataValidation type="whole" showErrorMessage="1" errorTitle="Section No. Error" error="Section No. must be between 1 and 7!" sqref="C4">
      <formula1>1</formula1>
      <formula2>8</formula2>
    </dataValidation>
    <dataValidation type="decimal" operator="greaterThan" showInputMessage="1" showErrorMessage="1" errorTitle="b,h Error" error="Must be &gt; 0 !" sqref="B7:B8">
      <formula1>0</formula1>
    </dataValidation>
    <dataValidation type="whole" showErrorMessage="1" errorTitle="Units" error="Unit Code can only be 1 or 2 !" sqref="C3">
      <formula1>1</formula1>
      <formula2>2</formula2>
    </dataValidation>
  </dataValidations>
  <printOptions/>
  <pageMargins left="0.75" right="0.75" top="1" bottom="1" header="0.5" footer="0.5"/>
  <pageSetup orientation="landscape" r:id="rId2"/>
  <ignoredErrors>
    <ignoredError sqref="E15 H15" formula="1"/>
    <ignoredError sqref="G31:G32 D31 D3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Krishnamurthy</dc:creator>
  <cp:keywords/>
  <dc:description/>
  <cp:lastModifiedBy>N. Krishnamurthy</cp:lastModifiedBy>
  <cp:lastPrinted>2004-04-19T08:51:12Z</cp:lastPrinted>
  <dcterms:created xsi:type="dcterms:W3CDTF">2004-04-16T01:59:35Z</dcterms:created>
  <dcterms:modified xsi:type="dcterms:W3CDTF">2006-05-16T15:44:23Z</dcterms:modified>
  <cp:category/>
  <cp:version/>
  <cp:contentType/>
  <cp:contentStatus/>
</cp:coreProperties>
</file>